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5.xml" ContentType="application/vnd.openxmlformats-officedocument.drawing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inancial Reports 2015 to 2017\2016\"/>
    </mc:Choice>
  </mc:AlternateContent>
  <bookViews>
    <workbookView xWindow="0" yWindow="0" windowWidth="20490" windowHeight="7755" firstSheet="3" activeTab="3"/>
  </bookViews>
  <sheets>
    <sheet name="fmr-denr" sheetId="16" state="hidden" r:id="rId1"/>
    <sheet name="fmr" sheetId="1" state="hidden" r:id="rId2"/>
    <sheet name="detailed fund u" sheetId="9" state="hidden" r:id="rId3"/>
    <sheet name="far 1" sheetId="11" r:id="rId4"/>
    <sheet name="far 1 a(for internal use only)" sheetId="13" state="hidden" r:id="rId5"/>
    <sheet name="far 1a" sheetId="15" r:id="rId6"/>
    <sheet name="far 1b regular" sheetId="7" r:id="rId7"/>
    <sheet name="SUMMARY" sheetId="14" state="hidden" r:id="rId8"/>
    <sheet name="Sheet1" sheetId="17" r:id="rId9"/>
  </sheets>
  <externalReferences>
    <externalReference r:id="rId10"/>
    <externalReference r:id="rId11"/>
    <externalReference r:id="rId12"/>
  </externalReferences>
  <definedNames>
    <definedName name="A" localSheetId="2">#REF!</definedName>
    <definedName name="A" localSheetId="3">#REF!</definedName>
    <definedName name="A" localSheetId="4">#REF!</definedName>
    <definedName name="A" localSheetId="5">#REF!</definedName>
    <definedName name="A">#REF!</definedName>
    <definedName name="_xlnm.Print_Area" localSheetId="2">'detailed fund u'!#REF!</definedName>
    <definedName name="_xlnm.Print_Area" localSheetId="3">'far 1'!#REF!</definedName>
    <definedName name="_xlnm.Print_Area" localSheetId="4">'far 1 a(for internal use only)'!#REF!</definedName>
    <definedName name="_xlnm.Print_Area" localSheetId="5">'far 1a'!#REF!</definedName>
    <definedName name="_xlnm.Print_Area" localSheetId="6">'far 1b regular'!$A$1:$S$54</definedName>
    <definedName name="_xlnm.Print_Area" localSheetId="1">fmr!$A$1:$B$90</definedName>
    <definedName name="_xlnm.Print_Titles" localSheetId="2">'detailed fund u'!$A:$E,'detailed fund u'!#REF!</definedName>
    <definedName name="_xlnm.Print_Titles" localSheetId="3">'far 1'!$A:$E,'far 1'!#REF!</definedName>
    <definedName name="_xlnm.Print_Titles" localSheetId="4">'far 1 a(for internal use only)'!$A:$E,'far 1 a(for internal use only)'!#REF!</definedName>
    <definedName name="_xlnm.Print_Titles" localSheetId="5">'far 1a'!$A:$E,'far 1a'!#REF!</definedName>
    <definedName name="_xlnm.Print_Titles" localSheetId="6">'far 1b regular'!$2:$7</definedName>
  </definedNames>
  <calcPr calcId="152511"/>
</workbook>
</file>

<file path=xl/calcChain.xml><?xml version="1.0" encoding="utf-8"?>
<calcChain xmlns="http://schemas.openxmlformats.org/spreadsheetml/2006/main">
  <c r="X156" i="11" l="1"/>
  <c r="N67" i="11"/>
  <c r="N154" i="11" l="1"/>
  <c r="W4" i="15" l="1"/>
  <c r="K357" i="13"/>
  <c r="BH212" i="9"/>
  <c r="BH221" i="9"/>
  <c r="AN221" i="9"/>
  <c r="AN212" i="9"/>
  <c r="BG123" i="9"/>
  <c r="AM123" i="9"/>
  <c r="AM18" i="9"/>
  <c r="BG18" i="9"/>
  <c r="AN123" i="9"/>
  <c r="AN126" i="9"/>
  <c r="AN140" i="9"/>
  <c r="AA150" i="11"/>
  <c r="W625" i="13"/>
  <c r="R625" i="13"/>
  <c r="W626" i="13"/>
  <c r="R626" i="13"/>
  <c r="W618" i="13"/>
  <c r="R618" i="13"/>
  <c r="W166" i="13"/>
  <c r="R166" i="13"/>
  <c r="W376" i="13"/>
  <c r="R376" i="13"/>
  <c r="W506" i="13"/>
  <c r="R506" i="13"/>
  <c r="W505" i="13"/>
  <c r="R505" i="13"/>
  <c r="W375" i="13"/>
  <c r="R375" i="13"/>
  <c r="W165" i="13"/>
  <c r="W164" i="13"/>
  <c r="R165" i="13"/>
  <c r="R164" i="13"/>
  <c r="W504" i="13"/>
  <c r="R504" i="13"/>
  <c r="W374" i="13"/>
  <c r="R374" i="13"/>
  <c r="W368" i="13"/>
  <c r="R368" i="13"/>
  <c r="W158" i="13"/>
  <c r="R158" i="13"/>
  <c r="W502" i="13"/>
  <c r="R502" i="13"/>
  <c r="W372" i="13"/>
  <c r="R372" i="13"/>
  <c r="W162" i="13"/>
  <c r="R162" i="13"/>
  <c r="W500" i="13"/>
  <c r="R500" i="13"/>
  <c r="W370" i="13"/>
  <c r="R370" i="13"/>
  <c r="W160" i="13"/>
  <c r="R160" i="13"/>
  <c r="W154" i="13"/>
  <c r="R154" i="13"/>
  <c r="W159" i="13"/>
  <c r="R159" i="13"/>
  <c r="W492" i="13"/>
  <c r="W493" i="13"/>
  <c r="R492" i="13"/>
  <c r="R493" i="13"/>
  <c r="W362" i="13"/>
  <c r="W363" i="13"/>
  <c r="R362" i="13"/>
  <c r="R363" i="13"/>
  <c r="W152" i="13"/>
  <c r="W153" i="13"/>
  <c r="R152" i="13"/>
  <c r="R153" i="13"/>
  <c r="W151" i="13"/>
  <c r="R151" i="13"/>
  <c r="W489" i="13"/>
  <c r="R489" i="13"/>
  <c r="W491" i="13"/>
  <c r="R491" i="13"/>
  <c r="W361" i="13"/>
  <c r="R361" i="13"/>
  <c r="W359" i="13"/>
  <c r="R359" i="13"/>
  <c r="W149" i="13"/>
  <c r="R149" i="13"/>
  <c r="W727" i="13"/>
  <c r="R727" i="13"/>
  <c r="BG61" i="9" l="1"/>
  <c r="AM147" i="9"/>
  <c r="BG147" i="9"/>
  <c r="AM164" i="9"/>
  <c r="BG164" i="9"/>
  <c r="BG165" i="9"/>
  <c r="BG156" i="9"/>
  <c r="AM165" i="9"/>
  <c r="AM156" i="9"/>
  <c r="AM61" i="9"/>
  <c r="R528" i="13"/>
  <c r="R397" i="13"/>
  <c r="R393" i="13"/>
  <c r="R520" i="13"/>
  <c r="R390" i="13"/>
  <c r="R513" i="13"/>
  <c r="R383" i="13"/>
  <c r="AN62" i="9"/>
  <c r="AN127" i="9"/>
  <c r="AN125" i="9"/>
  <c r="AN119" i="9"/>
  <c r="AN118" i="9"/>
  <c r="AN117" i="9"/>
  <c r="AN116" i="9"/>
  <c r="AN114" i="9"/>
  <c r="AN113" i="9"/>
  <c r="AN111" i="9"/>
  <c r="AN110" i="9"/>
  <c r="AN109" i="9"/>
  <c r="AN108" i="9"/>
  <c r="AN107" i="9"/>
  <c r="AN106" i="9"/>
  <c r="AN105" i="9"/>
  <c r="AN102" i="9"/>
  <c r="AN99" i="9"/>
  <c r="AN97" i="9"/>
  <c r="AN96" i="9"/>
  <c r="AN83" i="9"/>
  <c r="AN139" i="9"/>
  <c r="AN88" i="9"/>
  <c r="AN77" i="9"/>
  <c r="AN70" i="9"/>
  <c r="AN67" i="9"/>
  <c r="AN63" i="9"/>
  <c r="AN61" i="9"/>
  <c r="R452" i="13"/>
  <c r="W520" i="13"/>
  <c r="BH123" i="9"/>
  <c r="BH115" i="9"/>
  <c r="AN115" i="9"/>
  <c r="W417" i="13"/>
  <c r="R417" i="13"/>
  <c r="BH61" i="9"/>
  <c r="BH63" i="9"/>
  <c r="BH88" i="9"/>
  <c r="BH62" i="9"/>
  <c r="BH67" i="9"/>
  <c r="BH70" i="9"/>
  <c r="BH77" i="9"/>
  <c r="L88" i="9"/>
  <c r="H173" i="11" s="1"/>
  <c r="L67" i="9"/>
  <c r="L63" i="9"/>
  <c r="H170" i="11" s="1"/>
  <c r="K417" i="13"/>
  <c r="K420" i="13"/>
  <c r="W420" i="13"/>
  <c r="R420" i="13"/>
  <c r="W383" i="13"/>
  <c r="BH167" i="9"/>
  <c r="AN167" i="9"/>
  <c r="D16" i="16" l="1"/>
  <c r="BH113" i="9"/>
  <c r="BH107" i="9"/>
  <c r="BH106" i="9"/>
  <c r="BH105" i="9"/>
  <c r="BH102" i="9"/>
  <c r="BH99" i="9"/>
  <c r="BH97" i="9"/>
  <c r="BH83" i="9"/>
  <c r="BH48" i="9"/>
  <c r="BH35" i="9"/>
  <c r="BH20" i="9"/>
  <c r="BH19" i="9"/>
  <c r="BH125" i="9"/>
  <c r="BH18" i="9"/>
  <c r="BH117" i="9"/>
  <c r="BH116" i="9"/>
  <c r="BH114" i="9"/>
  <c r="BH111" i="9"/>
  <c r="BH110" i="9"/>
  <c r="BH186" i="9"/>
  <c r="BH276" i="9"/>
  <c r="BH264" i="9"/>
  <c r="BH247" i="9"/>
  <c r="BH127" i="9"/>
  <c r="BH119" i="9"/>
  <c r="BH118" i="9"/>
  <c r="BH109" i="9"/>
  <c r="BH108" i="9"/>
  <c r="BH96" i="9"/>
  <c r="BH23" i="9"/>
  <c r="W446" i="13"/>
  <c r="W431" i="13"/>
  <c r="W555" i="13"/>
  <c r="W425" i="13"/>
  <c r="W215" i="13"/>
  <c r="W390" i="13"/>
  <c r="W513" i="13"/>
  <c r="W192" i="13"/>
  <c r="W402" i="13"/>
  <c r="W393" i="13"/>
  <c r="W528" i="13"/>
  <c r="W397" i="13"/>
  <c r="W532" i="13"/>
  <c r="W959" i="13"/>
  <c r="W1135" i="13"/>
  <c r="W444" i="13"/>
  <c r="W534" i="13"/>
  <c r="W415" i="13"/>
  <c r="W178" i="13"/>
  <c r="W401" i="13"/>
  <c r="W531" i="13"/>
  <c r="W196" i="13"/>
  <c r="W316" i="13"/>
  <c r="W206" i="13"/>
  <c r="W320" i="13"/>
  <c r="R446" i="13"/>
  <c r="R431" i="13"/>
  <c r="R555" i="13"/>
  <c r="R425" i="13"/>
  <c r="R215" i="13"/>
  <c r="R192" i="13"/>
  <c r="R402" i="13"/>
  <c r="R532" i="13"/>
  <c r="R959" i="13"/>
  <c r="R1135" i="13"/>
  <c r="R444" i="13"/>
  <c r="R534" i="13"/>
  <c r="R415" i="13"/>
  <c r="R178" i="13"/>
  <c r="R401" i="13"/>
  <c r="AN48" i="9"/>
  <c r="AN35" i="9"/>
  <c r="AN20" i="9"/>
  <c r="AN19" i="9"/>
  <c r="AN18" i="9"/>
  <c r="AN186" i="9"/>
  <c r="AN276" i="9"/>
  <c r="AN264" i="9"/>
  <c r="AN247" i="9"/>
  <c r="AN23" i="9"/>
  <c r="R531" i="13"/>
  <c r="R196" i="13"/>
  <c r="R316" i="13"/>
  <c r="R206" i="13"/>
  <c r="W1201" i="13"/>
  <c r="R1201" i="13"/>
  <c r="W1095" i="13"/>
  <c r="R1095" i="13"/>
  <c r="BH171" i="9"/>
  <c r="U16" i="16"/>
  <c r="W530" i="13"/>
  <c r="W191" i="13"/>
  <c r="W210" i="13"/>
  <c r="W411" i="13"/>
  <c r="R320" i="13"/>
  <c r="R191" i="13"/>
  <c r="R210" i="13"/>
  <c r="R530" i="13" l="1"/>
  <c r="W394" i="13"/>
  <c r="R394" i="13"/>
  <c r="R411" i="13"/>
  <c r="G43" i="7" l="1"/>
  <c r="Q36" i="7"/>
  <c r="P36" i="7"/>
  <c r="O36" i="7"/>
  <c r="R36" i="7" s="1"/>
  <c r="N36" i="7"/>
  <c r="J36" i="7"/>
  <c r="W259" i="15"/>
  <c r="W1029" i="13"/>
  <c r="Q180" i="13"/>
  <c r="R1029" i="13"/>
  <c r="H46" i="7"/>
  <c r="R259" i="15"/>
  <c r="S727" i="13"/>
  <c r="X727" i="13"/>
  <c r="U26" i="13"/>
  <c r="P26" i="13"/>
  <c r="W27" i="13"/>
  <c r="W28" i="15" s="1"/>
  <c r="W26" i="13"/>
  <c r="W27" i="15" s="1"/>
  <c r="R26" i="13"/>
  <c r="R27" i="15" s="1"/>
  <c r="U50" i="16"/>
  <c r="D38" i="16"/>
  <c r="R27" i="13"/>
  <c r="R28" i="15" s="1"/>
  <c r="M28" i="13"/>
  <c r="M27" i="13"/>
  <c r="M28" i="15" s="1"/>
  <c r="M26" i="13"/>
  <c r="M27" i="15" s="1"/>
  <c r="K26" i="13"/>
  <c r="Q34" i="7"/>
  <c r="P34" i="7"/>
  <c r="O34" i="7"/>
  <c r="N34" i="7"/>
  <c r="J34" i="7"/>
  <c r="G27" i="13"/>
  <c r="G28" i="15" s="1"/>
  <c r="G26" i="13"/>
  <c r="G27" i="15" s="1"/>
  <c r="X496" i="13"/>
  <c r="S496" i="13"/>
  <c r="I496" i="13"/>
  <c r="X495" i="13"/>
  <c r="S495" i="13"/>
  <c r="I495" i="13"/>
  <c r="X366" i="13"/>
  <c r="S366" i="13"/>
  <c r="I366" i="13"/>
  <c r="X365" i="13"/>
  <c r="S365" i="13"/>
  <c r="I365" i="13"/>
  <c r="X156" i="13"/>
  <c r="S156" i="13"/>
  <c r="I156" i="13"/>
  <c r="J156" i="13" s="1"/>
  <c r="N156" i="13" s="1"/>
  <c r="X155" i="13"/>
  <c r="S155" i="13"/>
  <c r="I155" i="13"/>
  <c r="J155" i="13" s="1"/>
  <c r="N155" i="13" s="1"/>
  <c r="AA28" i="15"/>
  <c r="V28" i="15"/>
  <c r="U28" i="15"/>
  <c r="T28" i="15"/>
  <c r="Q28" i="15"/>
  <c r="P28" i="15"/>
  <c r="O28" i="15"/>
  <c r="L28" i="15"/>
  <c r="K28" i="15"/>
  <c r="H28" i="15"/>
  <c r="AA27" i="15"/>
  <c r="V27" i="15"/>
  <c r="U27" i="15"/>
  <c r="T27" i="15"/>
  <c r="Q27" i="15"/>
  <c r="P27" i="15"/>
  <c r="O27" i="15"/>
  <c r="L27" i="15"/>
  <c r="K27" i="15"/>
  <c r="H27" i="15"/>
  <c r="AA27" i="13"/>
  <c r="V27" i="13"/>
  <c r="U27" i="13"/>
  <c r="T27" i="13"/>
  <c r="Q27" i="13"/>
  <c r="P27" i="13"/>
  <c r="O27" i="13"/>
  <c r="L27" i="13"/>
  <c r="K27" i="13"/>
  <c r="H27" i="13"/>
  <c r="AA26" i="13"/>
  <c r="V26" i="13"/>
  <c r="T26" i="13"/>
  <c r="Q26" i="13"/>
  <c r="O26" i="13"/>
  <c r="L26" i="13"/>
  <c r="H26" i="13"/>
  <c r="R34" i="7" l="1"/>
  <c r="X26" i="13"/>
  <c r="AB155" i="13"/>
  <c r="AB156" i="13"/>
  <c r="AB496" i="13"/>
  <c r="I27" i="15"/>
  <c r="J27" i="15" s="1"/>
  <c r="N27" i="15" s="1"/>
  <c r="Y27" i="15" s="1"/>
  <c r="AB495" i="13"/>
  <c r="AB365" i="13"/>
  <c r="X27" i="13"/>
  <c r="AB366" i="13"/>
  <c r="I28" i="15"/>
  <c r="J28" i="15" s="1"/>
  <c r="N28" i="15" s="1"/>
  <c r="AB727" i="13"/>
  <c r="S27" i="13"/>
  <c r="AB27" i="13" s="1"/>
  <c r="I26" i="13"/>
  <c r="J26" i="13" s="1"/>
  <c r="N26" i="13" s="1"/>
  <c r="J495" i="13"/>
  <c r="N495" i="13" s="1"/>
  <c r="Z495" i="13" s="1"/>
  <c r="J496" i="13"/>
  <c r="N496" i="13" s="1"/>
  <c r="Z496" i="13" s="1"/>
  <c r="J365" i="13"/>
  <c r="N365" i="13" s="1"/>
  <c r="Z365" i="13" s="1"/>
  <c r="J366" i="13"/>
  <c r="N366" i="13" s="1"/>
  <c r="Z366" i="13" s="1"/>
  <c r="Z155" i="13"/>
  <c r="Y155" i="13"/>
  <c r="Z156" i="13"/>
  <c r="Y156" i="13"/>
  <c r="I27" i="13"/>
  <c r="S26" i="13"/>
  <c r="S28" i="15"/>
  <c r="X28" i="15"/>
  <c r="S27" i="15"/>
  <c r="X27" i="15"/>
  <c r="Y365" i="13" l="1"/>
  <c r="Y366" i="13"/>
  <c r="Y496" i="13"/>
  <c r="Y495" i="13"/>
  <c r="Z28" i="15"/>
  <c r="AB28" i="15"/>
  <c r="Z26" i="13"/>
  <c r="J27" i="13"/>
  <c r="N27" i="13" s="1"/>
  <c r="Z27" i="13" s="1"/>
  <c r="Y26" i="13"/>
  <c r="AB26" i="13"/>
  <c r="Z27" i="15"/>
  <c r="Y28" i="15"/>
  <c r="AB27" i="15"/>
  <c r="Y27" i="13" l="1"/>
  <c r="V228" i="13"/>
  <c r="Q228" i="13"/>
  <c r="V898" i="13"/>
  <c r="Q898" i="13"/>
  <c r="AJ172" i="9"/>
  <c r="BD172" i="9"/>
  <c r="BD19" i="9"/>
  <c r="BD18" i="9"/>
  <c r="BD20" i="9"/>
  <c r="AJ20" i="9"/>
  <c r="AJ19" i="9"/>
  <c r="AJ18" i="9"/>
  <c r="V1007" i="13"/>
  <c r="V440" i="13"/>
  <c r="V230" i="13"/>
  <c r="V149" i="13"/>
  <c r="BD70" i="9"/>
  <c r="BD61" i="9"/>
  <c r="BD48" i="9"/>
  <c r="BD35" i="9"/>
  <c r="BD264" i="9"/>
  <c r="BD212" i="9"/>
  <c r="BD199" i="9"/>
  <c r="BD186" i="9"/>
  <c r="BC18" i="9"/>
  <c r="V165" i="13"/>
  <c r="V164" i="13"/>
  <c r="V375" i="13"/>
  <c r="V374" i="13"/>
  <c r="V505" i="13"/>
  <c r="V504" i="13"/>
  <c r="BC61" i="9"/>
  <c r="BC123" i="9"/>
  <c r="BD167" i="9"/>
  <c r="Q541" i="13"/>
  <c r="AJ123" i="9"/>
  <c r="AJ119" i="9"/>
  <c r="AJ117" i="9"/>
  <c r="Q1007" i="13"/>
  <c r="Q230" i="13"/>
  <c r="AJ264" i="9"/>
  <c r="AJ212" i="9"/>
  <c r="AJ199" i="9"/>
  <c r="AJ186" i="9"/>
  <c r="AJ70" i="9"/>
  <c r="AJ61" i="9"/>
  <c r="AJ48" i="9"/>
  <c r="AJ35" i="9"/>
  <c r="V417" i="13"/>
  <c r="V491" i="13"/>
  <c r="V361" i="13"/>
  <c r="V151" i="13"/>
  <c r="V166" i="13"/>
  <c r="V376" i="13"/>
  <c r="V506" i="13"/>
  <c r="V618" i="13"/>
  <c r="V625" i="13"/>
  <c r="V626" i="13"/>
  <c r="BC165" i="9"/>
  <c r="BC164" i="9"/>
  <c r="BC156" i="9"/>
  <c r="AJ167" i="9"/>
  <c r="BD113" i="9"/>
  <c r="BD116" i="9"/>
  <c r="V398" i="13"/>
  <c r="V513" i="13"/>
  <c r="V445" i="13"/>
  <c r="V900" i="13"/>
  <c r="V383" i="13"/>
  <c r="V446" i="13"/>
  <c r="V390" i="13"/>
  <c r="V401" i="13"/>
  <c r="V431" i="13"/>
  <c r="V394" i="13"/>
  <c r="V215" i="13"/>
  <c r="V411" i="13"/>
  <c r="V415" i="13"/>
  <c r="V541" i="13"/>
  <c r="V311" i="13"/>
  <c r="Q417" i="13"/>
  <c r="Q513" i="13"/>
  <c r="BD83" i="9"/>
  <c r="BD88" i="9"/>
  <c r="BD96" i="9"/>
  <c r="BD123" i="9"/>
  <c r="BD67" i="9"/>
  <c r="BD171" i="9"/>
  <c r="BD63" i="9"/>
  <c r="BD99" i="9"/>
  <c r="V297" i="13"/>
  <c r="Q236" i="13"/>
  <c r="V180" i="13"/>
  <c r="V533" i="13"/>
  <c r="V331" i="13"/>
  <c r="V444" i="13"/>
  <c r="BD117" i="9"/>
  <c r="Q398" i="13"/>
  <c r="Q445" i="13"/>
  <c r="Q900" i="13"/>
  <c r="AJ83" i="9"/>
  <c r="AJ88" i="9"/>
  <c r="AJ96" i="9"/>
  <c r="AJ67" i="9"/>
  <c r="AJ171" i="9"/>
  <c r="Q390" i="13"/>
  <c r="Q383" i="13"/>
  <c r="Q446" i="13"/>
  <c r="AJ63" i="9"/>
  <c r="AJ99" i="9"/>
  <c r="AI18" i="9"/>
  <c r="Q401" i="13"/>
  <c r="Q431" i="13"/>
  <c r="Q394" i="13"/>
  <c r="Q149" i="13"/>
  <c r="Q215" i="13"/>
  <c r="Q297" i="13"/>
  <c r="Q415" i="13"/>
  <c r="Q411" i="13"/>
  <c r="BD105" i="9"/>
  <c r="BD102" i="9"/>
  <c r="BD97" i="9"/>
  <c r="V363" i="13"/>
  <c r="V362" i="13"/>
  <c r="V534" i="13"/>
  <c r="Q363" i="13"/>
  <c r="Q362" i="13"/>
  <c r="Q533" i="13"/>
  <c r="Q444" i="13"/>
  <c r="Q331" i="13"/>
  <c r="Q166" i="13"/>
  <c r="Q165" i="13"/>
  <c r="Q164" i="13"/>
  <c r="Q376" i="13"/>
  <c r="Q375" i="13"/>
  <c r="Q374" i="13"/>
  <c r="Q506" i="13"/>
  <c r="Q505" i="13"/>
  <c r="Q504" i="13"/>
  <c r="Q626" i="13"/>
  <c r="Q625" i="13"/>
  <c r="Q618" i="13"/>
  <c r="Q151" i="13"/>
  <c r="Q361" i="13"/>
  <c r="Q491" i="13"/>
  <c r="AJ116" i="9"/>
  <c r="AI61" i="9"/>
  <c r="AI123" i="9"/>
  <c r="AI165" i="9"/>
  <c r="AI164" i="9"/>
  <c r="AI156" i="9"/>
  <c r="Q534" i="13"/>
  <c r="AJ105" i="9"/>
  <c r="AJ102" i="9"/>
  <c r="AJ97" i="9"/>
  <c r="V1029" i="13"/>
  <c r="V359" i="13"/>
  <c r="V489" i="13"/>
  <c r="Q905" i="13"/>
  <c r="V905" i="13"/>
  <c r="V899" i="13"/>
  <c r="Q899" i="13"/>
  <c r="V192" i="13"/>
  <c r="V532" i="13"/>
  <c r="V402" i="13"/>
  <c r="BD125" i="9"/>
  <c r="BD108" i="9"/>
  <c r="Q1029" i="13"/>
  <c r="V531" i="13"/>
  <c r="Q531" i="13"/>
  <c r="BD119" i="9"/>
  <c r="BD118" i="9"/>
  <c r="Q532" i="13"/>
  <c r="Q192" i="13"/>
  <c r="V153" i="13"/>
  <c r="V152" i="13"/>
  <c r="Q153" i="13"/>
  <c r="Q152" i="13"/>
  <c r="Q402" i="13"/>
  <c r="V191" i="13"/>
  <c r="Q191" i="13"/>
  <c r="V196" i="13"/>
  <c r="Q196" i="13"/>
  <c r="V493" i="13"/>
  <c r="V492" i="13"/>
  <c r="Q493" i="13"/>
  <c r="Q492" i="13"/>
  <c r="V221" i="13"/>
  <c r="Q221" i="13"/>
  <c r="AJ125" i="9"/>
  <c r="AJ108" i="9"/>
  <c r="AJ118" i="9"/>
  <c r="BD114" i="9" l="1"/>
  <c r="V1037" i="13"/>
  <c r="V178" i="13"/>
  <c r="V400" i="13"/>
  <c r="V1095" i="13"/>
  <c r="V391" i="13"/>
  <c r="V393" i="13"/>
  <c r="BD111" i="9"/>
  <c r="BD23" i="9"/>
  <c r="BD110" i="9"/>
  <c r="V210" i="13" l="1"/>
  <c r="V1195" i="13"/>
  <c r="Q311" i="13"/>
  <c r="BD247" i="9"/>
  <c r="Q1037" i="13"/>
  <c r="Q178" i="13"/>
  <c r="Q400" i="13"/>
  <c r="Q1095" i="13"/>
  <c r="Q391" i="13"/>
  <c r="Q393" i="13"/>
  <c r="AJ114" i="9"/>
  <c r="AJ113" i="9"/>
  <c r="AJ111" i="9"/>
  <c r="AJ23" i="9"/>
  <c r="AJ110" i="9"/>
  <c r="Q489" i="13"/>
  <c r="Q359" i="13"/>
  <c r="V1033" i="13"/>
  <c r="V425" i="13"/>
  <c r="V912" i="13"/>
  <c r="V575" i="13"/>
  <c r="V404" i="13"/>
  <c r="M85" i="11"/>
  <c r="M81" i="11"/>
  <c r="V187" i="13"/>
  <c r="Q210" i="13"/>
  <c r="Q1195" i="13"/>
  <c r="Q404" i="13"/>
  <c r="Q187" i="13"/>
  <c r="Q575" i="13"/>
  <c r="Q1033" i="13"/>
  <c r="Q912" i="13"/>
  <c r="Q425" i="13"/>
  <c r="AL221" i="9"/>
  <c r="V1164" i="13"/>
  <c r="V982" i="13"/>
  <c r="V875" i="13"/>
  <c r="V201" i="13"/>
  <c r="V953" i="13"/>
  <c r="Q1164" i="13"/>
  <c r="Q201" i="13"/>
  <c r="Q953" i="13"/>
  <c r="V959" i="13"/>
  <c r="V1194" i="13"/>
  <c r="Q959" i="13"/>
  <c r="V1149" i="13"/>
  <c r="Q1149" i="13"/>
  <c r="Q1194" i="13"/>
  <c r="Q982" i="13"/>
  <c r="Q875" i="13"/>
  <c r="AZ212" i="9"/>
  <c r="AF212" i="9"/>
  <c r="AZ247" i="9"/>
  <c r="AF247" i="9"/>
  <c r="U403" i="13"/>
  <c r="U402" i="13"/>
  <c r="P402" i="13"/>
  <c r="P403" i="13"/>
  <c r="P180" i="13"/>
  <c r="P520" i="13"/>
  <c r="P1033" i="13"/>
  <c r="U180" i="13"/>
  <c r="U1033" i="13"/>
  <c r="U187" i="13"/>
  <c r="P187" i="13"/>
  <c r="U445" i="13"/>
  <c r="P445" i="13"/>
  <c r="U1149" i="13"/>
  <c r="P1149" i="13"/>
  <c r="U300" i="13"/>
  <c r="P300" i="13"/>
  <c r="U532" i="13"/>
  <c r="P532" i="13"/>
  <c r="U1151" i="13"/>
  <c r="P1151" i="13"/>
  <c r="U192" i="13"/>
  <c r="P192" i="13"/>
  <c r="U961" i="13"/>
  <c r="P961" i="13"/>
  <c r="U390" i="13"/>
  <c r="P390" i="13"/>
  <c r="U394" i="13"/>
  <c r="P394" i="13"/>
  <c r="U352" i="13"/>
  <c r="P352" i="13"/>
  <c r="AF19" i="9"/>
  <c r="AZ19" i="9"/>
  <c r="AZ20" i="9"/>
  <c r="AF20" i="9"/>
  <c r="AZ264" i="9"/>
  <c r="AF264" i="9"/>
  <c r="AF221" i="9"/>
  <c r="AZ218" i="9"/>
  <c r="AF218" i="9"/>
  <c r="AZ61" i="9"/>
  <c r="AF61" i="9"/>
  <c r="AZ35" i="9"/>
  <c r="AF35" i="9"/>
  <c r="AZ48" i="9"/>
  <c r="AF48" i="9"/>
  <c r="AZ97" i="9"/>
  <c r="AF97" i="9"/>
  <c r="AZ63" i="9"/>
  <c r="AF63" i="9"/>
  <c r="AZ199" i="9"/>
  <c r="AF199" i="9"/>
  <c r="AZ70" i="9"/>
  <c r="AF70" i="9"/>
  <c r="AZ171" i="9"/>
  <c r="AF171" i="9"/>
  <c r="AF125" i="9"/>
  <c r="AF123" i="9"/>
  <c r="AF115" i="9"/>
  <c r="AF114" i="9"/>
  <c r="AY156" i="9"/>
  <c r="U398" i="13"/>
  <c r="U149" i="13"/>
  <c r="U359" i="13"/>
  <c r="U489" i="13"/>
  <c r="U626" i="13"/>
  <c r="U625" i="13"/>
  <c r="U618" i="13"/>
  <c r="AY165" i="9"/>
  <c r="AY164" i="9"/>
  <c r="AY18" i="9"/>
  <c r="AY123" i="9"/>
  <c r="AY61" i="9"/>
  <c r="U431" i="13"/>
  <c r="U383" i="13"/>
  <c r="U417" i="13"/>
  <c r="U191" i="13" l="1"/>
  <c r="U541" i="13"/>
  <c r="U151" i="13"/>
  <c r="U491" i="13"/>
  <c r="U166" i="13"/>
  <c r="U165" i="13"/>
  <c r="U164" i="13"/>
  <c r="U376" i="13"/>
  <c r="U375" i="13"/>
  <c r="U374" i="13"/>
  <c r="U506" i="13"/>
  <c r="U505" i="13"/>
  <c r="U504" i="13"/>
  <c r="U848" i="13"/>
  <c r="U178" i="13"/>
  <c r="U201" i="13"/>
  <c r="U415" i="13"/>
  <c r="U404" i="13"/>
  <c r="U513" i="13"/>
  <c r="U393" i="13"/>
  <c r="U363" i="13"/>
  <c r="U362" i="13"/>
  <c r="U401" i="13"/>
  <c r="U1195" i="13"/>
  <c r="U361" i="13"/>
  <c r="AZ23" i="9"/>
  <c r="AZ113" i="9"/>
  <c r="AZ123" i="9"/>
  <c r="AZ125" i="9"/>
  <c r="AZ83" i="9"/>
  <c r="AZ107" i="9"/>
  <c r="P398" i="13"/>
  <c r="P191" i="13"/>
  <c r="P626" i="13"/>
  <c r="P625" i="13"/>
  <c r="P618" i="13"/>
  <c r="P541" i="13"/>
  <c r="P506" i="13"/>
  <c r="P505" i="13"/>
  <c r="P504" i="13"/>
  <c r="P489" i="13"/>
  <c r="P376" i="13"/>
  <c r="P375" i="13"/>
  <c r="P374" i="13"/>
  <c r="P359" i="13"/>
  <c r="P166" i="13"/>
  <c r="P165" i="13"/>
  <c r="P164" i="13"/>
  <c r="P149" i="13"/>
  <c r="AE123" i="9"/>
  <c r="AE61" i="9"/>
  <c r="AE18" i="9"/>
  <c r="AE165" i="9"/>
  <c r="AE164" i="9"/>
  <c r="AE156" i="9"/>
  <c r="AF107" i="9"/>
  <c r="P383" i="13"/>
  <c r="AF62" i="9"/>
  <c r="P201" i="13"/>
  <c r="P415" i="13"/>
  <c r="P491" i="13"/>
  <c r="P361" i="13"/>
  <c r="P151" i="13"/>
  <c r="AF113" i="9"/>
  <c r="P1195" i="13"/>
  <c r="P513" i="13"/>
  <c r="P401" i="13"/>
  <c r="P363" i="13"/>
  <c r="P362" i="13"/>
  <c r="P393" i="13"/>
  <c r="AF83" i="9"/>
  <c r="P846" i="13"/>
  <c r="AF172" i="9"/>
  <c r="F16" i="16"/>
  <c r="P190" i="13"/>
  <c r="U190" i="13"/>
  <c r="U173" i="13"/>
  <c r="U196" i="13"/>
  <c r="AZ67" i="9"/>
  <c r="AZ110" i="9"/>
  <c r="AZ109" i="9"/>
  <c r="AZ114" i="9"/>
  <c r="P404" i="13"/>
  <c r="U221" i="13"/>
  <c r="AZ18" i="9"/>
  <c r="P173" i="13"/>
  <c r="P196" i="13"/>
  <c r="AF110" i="9"/>
  <c r="AF67" i="9"/>
  <c r="U533" i="13"/>
  <c r="AZ96" i="9"/>
  <c r="AZ88" i="9"/>
  <c r="P221" i="13"/>
  <c r="AF18" i="9"/>
  <c r="AF23" i="9"/>
  <c r="P178" i="13"/>
  <c r="P848" i="13"/>
  <c r="AF109" i="9"/>
  <c r="U446" i="13"/>
  <c r="U1132" i="13"/>
  <c r="P446" i="13"/>
  <c r="P425" i="13"/>
  <c r="U425" i="13"/>
  <c r="U315" i="13"/>
  <c r="AZ276" i="9"/>
  <c r="AZ62" i="9"/>
  <c r="P1132" i="13" l="1"/>
  <c r="P417" i="13"/>
  <c r="AF88" i="9"/>
  <c r="AF96" i="9"/>
  <c r="AF276" i="9"/>
  <c r="AH97" i="9" l="1"/>
  <c r="P1026" i="13"/>
  <c r="U153" i="13"/>
  <c r="U152" i="13"/>
  <c r="P315" i="13"/>
  <c r="C46" i="16"/>
  <c r="E16" i="16"/>
  <c r="AA259" i="15"/>
  <c r="V259" i="15"/>
  <c r="U259" i="15"/>
  <c r="T259" i="15"/>
  <c r="Q259" i="15"/>
  <c r="P259" i="15"/>
  <c r="O259" i="15"/>
  <c r="M259" i="15"/>
  <c r="L259" i="15"/>
  <c r="K259" i="15"/>
  <c r="H259" i="15"/>
  <c r="G259" i="15"/>
  <c r="H61" i="9"/>
  <c r="G156" i="9"/>
  <c r="G18" i="9"/>
  <c r="I259" i="15" l="1"/>
  <c r="J259" i="15" s="1"/>
  <c r="N259" i="15" s="1"/>
  <c r="S259" i="15"/>
  <c r="X259" i="15"/>
  <c r="AB259" i="15" l="1"/>
  <c r="Z259" i="15"/>
  <c r="Y259" i="15"/>
  <c r="N727" i="13" l="1"/>
  <c r="H42" i="7"/>
  <c r="H47" i="7"/>
  <c r="U75" i="11"/>
  <c r="Z727" i="13" l="1"/>
  <c r="Y727" i="13"/>
  <c r="U520" i="13"/>
  <c r="U411" i="13"/>
  <c r="U215" i="13"/>
  <c r="U205" i="13"/>
  <c r="AF186" i="9"/>
  <c r="AZ186" i="9"/>
  <c r="P153" i="13" l="1"/>
  <c r="P152" i="13"/>
  <c r="P215" i="13"/>
  <c r="U439" i="13"/>
  <c r="P439" i="13"/>
  <c r="U1026" i="13"/>
  <c r="P493" i="13"/>
  <c r="P492" i="13"/>
  <c r="U492" i="13"/>
  <c r="U493" i="13"/>
  <c r="P411" i="13"/>
  <c r="U242" i="13"/>
  <c r="P242" i="13"/>
  <c r="AY155" i="9" l="1"/>
  <c r="P123" i="11" l="1"/>
  <c r="P126" i="11"/>
  <c r="P129" i="11"/>
  <c r="P743" i="13"/>
  <c r="P82" i="11"/>
  <c r="T182" i="16"/>
  <c r="O182" i="16"/>
  <c r="N182" i="16"/>
  <c r="M182" i="16"/>
  <c r="K182" i="16"/>
  <c r="G182" i="16"/>
  <c r="T181" i="16"/>
  <c r="O181" i="16"/>
  <c r="N181" i="16"/>
  <c r="M181" i="16"/>
  <c r="P181" i="16" s="1"/>
  <c r="L181" i="16"/>
  <c r="K181" i="16"/>
  <c r="G181" i="16"/>
  <c r="O180" i="16"/>
  <c r="M180" i="16"/>
  <c r="T179" i="16"/>
  <c r="V179" i="16" s="1"/>
  <c r="O179" i="16"/>
  <c r="N179" i="16"/>
  <c r="M179" i="16"/>
  <c r="K179" i="16"/>
  <c r="G179" i="16"/>
  <c r="T178" i="16"/>
  <c r="V178" i="16" s="1"/>
  <c r="O178" i="16"/>
  <c r="N178" i="16"/>
  <c r="M178" i="16"/>
  <c r="K178" i="16"/>
  <c r="G178" i="16"/>
  <c r="T177" i="16"/>
  <c r="O177" i="16"/>
  <c r="N177" i="16"/>
  <c r="M177" i="16"/>
  <c r="K177" i="16"/>
  <c r="G177" i="16"/>
  <c r="T176" i="16"/>
  <c r="O176" i="16"/>
  <c r="N176" i="16"/>
  <c r="M176" i="16"/>
  <c r="K176" i="16"/>
  <c r="L176" i="16" s="1"/>
  <c r="G176" i="16"/>
  <c r="T175" i="16"/>
  <c r="V175" i="16" s="1"/>
  <c r="O175" i="16"/>
  <c r="N175" i="16"/>
  <c r="M175" i="16"/>
  <c r="K175" i="16"/>
  <c r="G175" i="16"/>
  <c r="T174" i="16"/>
  <c r="V174" i="16" s="1"/>
  <c r="O174" i="16"/>
  <c r="N174" i="16"/>
  <c r="M174" i="16"/>
  <c r="K174" i="16"/>
  <c r="G174" i="16"/>
  <c r="T173" i="16"/>
  <c r="O173" i="16"/>
  <c r="N173" i="16"/>
  <c r="M173" i="16"/>
  <c r="K173" i="16"/>
  <c r="X173" i="16" s="1"/>
  <c r="G173" i="16"/>
  <c r="T172" i="16"/>
  <c r="V172" i="16" s="1"/>
  <c r="O172" i="16"/>
  <c r="N172" i="16"/>
  <c r="M172" i="16"/>
  <c r="K172" i="16"/>
  <c r="G172" i="16"/>
  <c r="T171" i="16"/>
  <c r="V171" i="16" s="1"/>
  <c r="O171" i="16"/>
  <c r="N171" i="16"/>
  <c r="M171" i="16"/>
  <c r="K171" i="16"/>
  <c r="G171" i="16"/>
  <c r="T170" i="16"/>
  <c r="V170" i="16" s="1"/>
  <c r="O170" i="16"/>
  <c r="N170" i="16"/>
  <c r="M170" i="16"/>
  <c r="K170" i="16"/>
  <c r="G170" i="16"/>
  <c r="T169" i="16"/>
  <c r="O169" i="16"/>
  <c r="N169" i="16"/>
  <c r="M169" i="16"/>
  <c r="K169" i="16"/>
  <c r="G169" i="16"/>
  <c r="L169" i="16" s="1"/>
  <c r="T168" i="16"/>
  <c r="V168" i="16" s="1"/>
  <c r="O168" i="16"/>
  <c r="N168" i="16"/>
  <c r="M168" i="16"/>
  <c r="K168" i="16"/>
  <c r="G168" i="16"/>
  <c r="W168" i="16" s="1"/>
  <c r="V167" i="16"/>
  <c r="T167" i="16"/>
  <c r="O167" i="16"/>
  <c r="N167" i="16"/>
  <c r="M167" i="16"/>
  <c r="K167" i="16"/>
  <c r="G167" i="16"/>
  <c r="T166" i="16"/>
  <c r="O166" i="16"/>
  <c r="N166" i="16"/>
  <c r="M166" i="16"/>
  <c r="K166" i="16"/>
  <c r="G166" i="16"/>
  <c r="T165" i="16"/>
  <c r="O165" i="16"/>
  <c r="N165" i="16"/>
  <c r="M165" i="16"/>
  <c r="K165" i="16"/>
  <c r="G165" i="16"/>
  <c r="T164" i="16"/>
  <c r="V164" i="16" s="1"/>
  <c r="O164" i="16"/>
  <c r="N164" i="16"/>
  <c r="M164" i="16"/>
  <c r="K164" i="16"/>
  <c r="G164" i="16"/>
  <c r="T163" i="16"/>
  <c r="V163" i="16" s="1"/>
  <c r="O163" i="16"/>
  <c r="N163" i="16"/>
  <c r="M163" i="16"/>
  <c r="K163" i="16"/>
  <c r="G163" i="16"/>
  <c r="T162" i="16"/>
  <c r="V162" i="16" s="1"/>
  <c r="O162" i="16"/>
  <c r="N162" i="16"/>
  <c r="M162" i="16"/>
  <c r="K162" i="16"/>
  <c r="G162" i="16"/>
  <c r="U161" i="16"/>
  <c r="U159" i="16" s="1"/>
  <c r="S161" i="16"/>
  <c r="S159" i="16" s="1"/>
  <c r="R161" i="16"/>
  <c r="Q161" i="16"/>
  <c r="Q159" i="16" s="1"/>
  <c r="J161" i="16"/>
  <c r="I161" i="16"/>
  <c r="H161" i="16"/>
  <c r="F161" i="16"/>
  <c r="F159" i="16" s="1"/>
  <c r="E161" i="16"/>
  <c r="D161" i="16"/>
  <c r="C161" i="16"/>
  <c r="J159" i="16"/>
  <c r="T157" i="16"/>
  <c r="X157" i="16" s="1"/>
  <c r="O157" i="16"/>
  <c r="N157" i="16"/>
  <c r="M157" i="16"/>
  <c r="K157" i="16"/>
  <c r="L157" i="16" s="1"/>
  <c r="G157" i="16"/>
  <c r="T156" i="16"/>
  <c r="V156" i="16" s="1"/>
  <c r="P156" i="16"/>
  <c r="O156" i="16"/>
  <c r="N156" i="16"/>
  <c r="M156" i="16"/>
  <c r="L156" i="16"/>
  <c r="K156" i="16"/>
  <c r="X156" i="16" s="1"/>
  <c r="G156" i="16"/>
  <c r="W156" i="16" s="1"/>
  <c r="O155" i="16"/>
  <c r="T154" i="16"/>
  <c r="V154" i="16" s="1"/>
  <c r="O154" i="16"/>
  <c r="N154" i="16"/>
  <c r="M154" i="16"/>
  <c r="K154" i="16"/>
  <c r="G154" i="16"/>
  <c r="T153" i="16"/>
  <c r="O153" i="16"/>
  <c r="N153" i="16"/>
  <c r="M153" i="16"/>
  <c r="K153" i="16"/>
  <c r="G153" i="16"/>
  <c r="T152" i="16"/>
  <c r="V152" i="16" s="1"/>
  <c r="O152" i="16"/>
  <c r="O127" i="16" s="1"/>
  <c r="N152" i="16"/>
  <c r="M152" i="16"/>
  <c r="K152" i="16"/>
  <c r="L152" i="16" s="1"/>
  <c r="G152" i="16"/>
  <c r="V151" i="16"/>
  <c r="T151" i="16"/>
  <c r="O151" i="16"/>
  <c r="O126" i="16" s="1"/>
  <c r="N151" i="16"/>
  <c r="M151" i="16"/>
  <c r="K151" i="16"/>
  <c r="G151" i="16"/>
  <c r="T150" i="16"/>
  <c r="O150" i="16"/>
  <c r="N150" i="16"/>
  <c r="M150" i="16"/>
  <c r="K150" i="16"/>
  <c r="G150" i="16"/>
  <c r="T149" i="16"/>
  <c r="O149" i="16"/>
  <c r="N149" i="16"/>
  <c r="M149" i="16"/>
  <c r="K149" i="16"/>
  <c r="G149" i="16"/>
  <c r="T148" i="16"/>
  <c r="V148" i="16" s="1"/>
  <c r="O148" i="16"/>
  <c r="N148" i="16"/>
  <c r="M148" i="16"/>
  <c r="K148" i="16"/>
  <c r="G148" i="16"/>
  <c r="T147" i="16"/>
  <c r="V147" i="16" s="1"/>
  <c r="O147" i="16"/>
  <c r="O122" i="16" s="1"/>
  <c r="N147" i="16"/>
  <c r="M147" i="16"/>
  <c r="K147" i="16"/>
  <c r="G147" i="16"/>
  <c r="W147" i="16" s="1"/>
  <c r="V146" i="16"/>
  <c r="T146" i="16"/>
  <c r="O146" i="16"/>
  <c r="N146" i="16"/>
  <c r="M146" i="16"/>
  <c r="K146" i="16"/>
  <c r="G146" i="16"/>
  <c r="X145" i="16"/>
  <c r="T145" i="16"/>
  <c r="O145" i="16"/>
  <c r="N145" i="16"/>
  <c r="M145" i="16"/>
  <c r="P145" i="16" s="1"/>
  <c r="K145" i="16"/>
  <c r="L145" i="16" s="1"/>
  <c r="G145" i="16"/>
  <c r="T144" i="16"/>
  <c r="V144" i="16" s="1"/>
  <c r="O144" i="16"/>
  <c r="N144" i="16"/>
  <c r="M144" i="16"/>
  <c r="K144" i="16"/>
  <c r="X144" i="16" s="1"/>
  <c r="G144" i="16"/>
  <c r="T143" i="16"/>
  <c r="V143" i="16" s="1"/>
  <c r="O143" i="16"/>
  <c r="N143" i="16"/>
  <c r="M143" i="16"/>
  <c r="K143" i="16"/>
  <c r="G143" i="16"/>
  <c r="T142" i="16"/>
  <c r="V142" i="16" s="1"/>
  <c r="O142" i="16"/>
  <c r="O117" i="16" s="1"/>
  <c r="N142" i="16"/>
  <c r="M142" i="16"/>
  <c r="K142" i="16"/>
  <c r="G142" i="16"/>
  <c r="T141" i="16"/>
  <c r="O141" i="16"/>
  <c r="N141" i="16"/>
  <c r="M141" i="16"/>
  <c r="K141" i="16"/>
  <c r="X141" i="16" s="1"/>
  <c r="G141" i="16"/>
  <c r="T140" i="16"/>
  <c r="V140" i="16" s="1"/>
  <c r="O140" i="16"/>
  <c r="N140" i="16"/>
  <c r="M140" i="16"/>
  <c r="P140" i="16" s="1"/>
  <c r="L140" i="16"/>
  <c r="K140" i="16"/>
  <c r="G140" i="16"/>
  <c r="V139" i="16"/>
  <c r="T139" i="16"/>
  <c r="W139" i="16" s="1"/>
  <c r="O139" i="16"/>
  <c r="N139" i="16"/>
  <c r="M139" i="16"/>
  <c r="M114" i="16" s="1"/>
  <c r="K139" i="16"/>
  <c r="G139" i="16"/>
  <c r="T138" i="16"/>
  <c r="V138" i="16" s="1"/>
  <c r="O138" i="16"/>
  <c r="N138" i="16"/>
  <c r="M138" i="16"/>
  <c r="K138" i="16"/>
  <c r="G138" i="16"/>
  <c r="T137" i="16"/>
  <c r="O137" i="16"/>
  <c r="O136" i="16" s="1"/>
  <c r="N137" i="16"/>
  <c r="M137" i="16"/>
  <c r="K137" i="16"/>
  <c r="G137" i="16"/>
  <c r="U136" i="16"/>
  <c r="U134" i="16" s="1"/>
  <c r="S136" i="16"/>
  <c r="R136" i="16"/>
  <c r="Q136" i="16"/>
  <c r="J136" i="16"/>
  <c r="J134" i="16" s="1"/>
  <c r="I136" i="16"/>
  <c r="H136" i="16"/>
  <c r="F136" i="16"/>
  <c r="F134" i="16" s="1"/>
  <c r="E136" i="16"/>
  <c r="D136" i="16"/>
  <c r="C136" i="16"/>
  <c r="C133" i="16"/>
  <c r="U132" i="16"/>
  <c r="S132" i="16"/>
  <c r="R132" i="16"/>
  <c r="Q132" i="16"/>
  <c r="J132" i="16"/>
  <c r="I132" i="16"/>
  <c r="H132" i="16"/>
  <c r="F132" i="16"/>
  <c r="E132" i="16"/>
  <c r="D132" i="16"/>
  <c r="C132" i="16"/>
  <c r="U131" i="16"/>
  <c r="S131" i="16"/>
  <c r="R131" i="16"/>
  <c r="Q131" i="16"/>
  <c r="T131" i="16" s="1"/>
  <c r="O131" i="16"/>
  <c r="N131" i="16"/>
  <c r="J131" i="16"/>
  <c r="I131" i="16"/>
  <c r="H131" i="16"/>
  <c r="F131" i="16"/>
  <c r="E131" i="16"/>
  <c r="D131" i="16"/>
  <c r="C131" i="16"/>
  <c r="U130" i="16"/>
  <c r="S130" i="16"/>
  <c r="J130" i="16"/>
  <c r="F130" i="16"/>
  <c r="U129" i="16"/>
  <c r="S129" i="16"/>
  <c r="R129" i="16"/>
  <c r="Q129" i="16"/>
  <c r="J129" i="16"/>
  <c r="I129" i="16"/>
  <c r="H129" i="16"/>
  <c r="F129" i="16"/>
  <c r="E129" i="16"/>
  <c r="D129" i="16"/>
  <c r="C129" i="16"/>
  <c r="U128" i="16"/>
  <c r="S128" i="16"/>
  <c r="R128" i="16"/>
  <c r="Q128" i="16"/>
  <c r="J128" i="16"/>
  <c r="I128" i="16"/>
  <c r="H128" i="16"/>
  <c r="F128" i="16"/>
  <c r="E128" i="16"/>
  <c r="D128" i="16"/>
  <c r="C128" i="16"/>
  <c r="U127" i="16"/>
  <c r="S127" i="16"/>
  <c r="R127" i="16"/>
  <c r="Q127" i="16"/>
  <c r="J127" i="16"/>
  <c r="I127" i="16"/>
  <c r="H127" i="16"/>
  <c r="F127" i="16"/>
  <c r="E127" i="16"/>
  <c r="D127" i="16"/>
  <c r="C127" i="16"/>
  <c r="U126" i="16"/>
  <c r="S126" i="16"/>
  <c r="R126" i="16"/>
  <c r="Q126" i="16"/>
  <c r="J126" i="16"/>
  <c r="I126" i="16"/>
  <c r="H126" i="16"/>
  <c r="F126" i="16"/>
  <c r="E126" i="16"/>
  <c r="D126" i="16"/>
  <c r="C126" i="16"/>
  <c r="U125" i="16"/>
  <c r="S125" i="16"/>
  <c r="R125" i="16"/>
  <c r="Q125" i="16"/>
  <c r="J125" i="16"/>
  <c r="I125" i="16"/>
  <c r="H125" i="16"/>
  <c r="F125" i="16"/>
  <c r="E125" i="16"/>
  <c r="D125" i="16"/>
  <c r="C125" i="16"/>
  <c r="U124" i="16"/>
  <c r="S124" i="16"/>
  <c r="R124" i="16"/>
  <c r="Q124" i="16"/>
  <c r="M124" i="16"/>
  <c r="J124" i="16"/>
  <c r="I124" i="16"/>
  <c r="H124" i="16"/>
  <c r="F124" i="16"/>
  <c r="E124" i="16"/>
  <c r="D124" i="16"/>
  <c r="C124" i="16"/>
  <c r="U123" i="16"/>
  <c r="S123" i="16"/>
  <c r="R123" i="16"/>
  <c r="Q123" i="16"/>
  <c r="J123" i="16"/>
  <c r="I123" i="16"/>
  <c r="H123" i="16"/>
  <c r="F123" i="16"/>
  <c r="E123" i="16"/>
  <c r="D123" i="16"/>
  <c r="C123" i="16"/>
  <c r="U122" i="16"/>
  <c r="S122" i="16"/>
  <c r="R122" i="16"/>
  <c r="Q122" i="16"/>
  <c r="J122" i="16"/>
  <c r="I122" i="16"/>
  <c r="H122" i="16"/>
  <c r="F122" i="16"/>
  <c r="E122" i="16"/>
  <c r="D122" i="16"/>
  <c r="C122" i="16"/>
  <c r="U121" i="16"/>
  <c r="S121" i="16"/>
  <c r="R121" i="16"/>
  <c r="Q121" i="16"/>
  <c r="J121" i="16"/>
  <c r="I121" i="16"/>
  <c r="H121" i="16"/>
  <c r="F121" i="16"/>
  <c r="E121" i="16"/>
  <c r="D121" i="16"/>
  <c r="C121" i="16"/>
  <c r="U120" i="16"/>
  <c r="S120" i="16"/>
  <c r="R120" i="16"/>
  <c r="Q120" i="16"/>
  <c r="O120" i="16"/>
  <c r="J120" i="16"/>
  <c r="I120" i="16"/>
  <c r="H120" i="16"/>
  <c r="F120" i="16"/>
  <c r="E120" i="16"/>
  <c r="D120" i="16"/>
  <c r="C120" i="16"/>
  <c r="U119" i="16"/>
  <c r="S119" i="16"/>
  <c r="R119" i="16"/>
  <c r="Q119" i="16"/>
  <c r="J119" i="16"/>
  <c r="I119" i="16"/>
  <c r="H119" i="16"/>
  <c r="F119" i="16"/>
  <c r="E119" i="16"/>
  <c r="D119" i="16"/>
  <c r="C119" i="16"/>
  <c r="U118" i="16"/>
  <c r="S118" i="16"/>
  <c r="R118" i="16"/>
  <c r="Q118" i="16"/>
  <c r="M118" i="16"/>
  <c r="J118" i="16"/>
  <c r="I118" i="16"/>
  <c r="H118" i="16"/>
  <c r="F118" i="16"/>
  <c r="E118" i="16"/>
  <c r="D118" i="16"/>
  <c r="C118" i="16"/>
  <c r="U117" i="16"/>
  <c r="S117" i="16"/>
  <c r="R117" i="16"/>
  <c r="Q117" i="16"/>
  <c r="J117" i="16"/>
  <c r="I117" i="16"/>
  <c r="H117" i="16"/>
  <c r="F117" i="16"/>
  <c r="E117" i="16"/>
  <c r="D117" i="16"/>
  <c r="C117" i="16"/>
  <c r="U116" i="16"/>
  <c r="S116" i="16"/>
  <c r="R116" i="16"/>
  <c r="Q116" i="16"/>
  <c r="J116" i="16"/>
  <c r="I116" i="16"/>
  <c r="H116" i="16"/>
  <c r="F116" i="16"/>
  <c r="E116" i="16"/>
  <c r="D116" i="16"/>
  <c r="C116" i="16"/>
  <c r="U115" i="16"/>
  <c r="S115" i="16"/>
  <c r="R115" i="16"/>
  <c r="Q115" i="16"/>
  <c r="O115" i="16"/>
  <c r="J115" i="16"/>
  <c r="I115" i="16"/>
  <c r="H115" i="16"/>
  <c r="F115" i="16"/>
  <c r="E115" i="16"/>
  <c r="D115" i="16"/>
  <c r="C115" i="16"/>
  <c r="U114" i="16"/>
  <c r="S114" i="16"/>
  <c r="R114" i="16"/>
  <c r="Q114" i="16"/>
  <c r="J114" i="16"/>
  <c r="I114" i="16"/>
  <c r="H114" i="16"/>
  <c r="F114" i="16"/>
  <c r="E114" i="16"/>
  <c r="D114" i="16"/>
  <c r="C114" i="16"/>
  <c r="U113" i="16"/>
  <c r="S113" i="16"/>
  <c r="R113" i="16"/>
  <c r="Q113" i="16"/>
  <c r="J113" i="16"/>
  <c r="I113" i="16"/>
  <c r="H113" i="16"/>
  <c r="F113" i="16"/>
  <c r="E113" i="16"/>
  <c r="D113" i="16"/>
  <c r="C113" i="16"/>
  <c r="U112" i="16"/>
  <c r="S112" i="16"/>
  <c r="R112" i="16"/>
  <c r="Q112" i="16"/>
  <c r="J112" i="16"/>
  <c r="J111" i="16" s="1"/>
  <c r="I112" i="16"/>
  <c r="H112" i="16"/>
  <c r="F112" i="16"/>
  <c r="E112" i="16"/>
  <c r="D112" i="16"/>
  <c r="C112" i="16"/>
  <c r="T101" i="16"/>
  <c r="V101" i="16" s="1"/>
  <c r="P101" i="16"/>
  <c r="K101" i="16"/>
  <c r="G101" i="16"/>
  <c r="T97" i="16"/>
  <c r="O97" i="16"/>
  <c r="N97" i="16"/>
  <c r="M97" i="16"/>
  <c r="K97" i="16"/>
  <c r="G97" i="16"/>
  <c r="T96" i="16"/>
  <c r="O96" i="16"/>
  <c r="N96" i="16"/>
  <c r="M96" i="16"/>
  <c r="K96" i="16"/>
  <c r="G96" i="16"/>
  <c r="T95" i="16"/>
  <c r="O95" i="16"/>
  <c r="N95" i="16"/>
  <c r="M95" i="16"/>
  <c r="K95" i="16"/>
  <c r="G95" i="16"/>
  <c r="T94" i="16"/>
  <c r="O94" i="16"/>
  <c r="N94" i="16"/>
  <c r="M94" i="16"/>
  <c r="K94" i="16"/>
  <c r="X94" i="16" s="1"/>
  <c r="G94" i="16"/>
  <c r="T93" i="16"/>
  <c r="V93" i="16" s="1"/>
  <c r="O93" i="16"/>
  <c r="N93" i="16"/>
  <c r="M93" i="16"/>
  <c r="K93" i="16"/>
  <c r="G93" i="16"/>
  <c r="T92" i="16"/>
  <c r="V92" i="16" s="1"/>
  <c r="O92" i="16"/>
  <c r="N92" i="16"/>
  <c r="M92" i="16"/>
  <c r="K92" i="16"/>
  <c r="G92" i="16"/>
  <c r="W92" i="16" s="1"/>
  <c r="T91" i="16"/>
  <c r="V91" i="16" s="1"/>
  <c r="O91" i="16"/>
  <c r="N91" i="16"/>
  <c r="M91" i="16"/>
  <c r="K91" i="16"/>
  <c r="G91" i="16"/>
  <c r="T90" i="16"/>
  <c r="O90" i="16"/>
  <c r="N90" i="16"/>
  <c r="M90" i="16"/>
  <c r="K90" i="16"/>
  <c r="L90" i="16" s="1"/>
  <c r="G90" i="16"/>
  <c r="T89" i="16"/>
  <c r="O89" i="16"/>
  <c r="N89" i="16"/>
  <c r="M89" i="16"/>
  <c r="K89" i="16"/>
  <c r="X89" i="16" s="1"/>
  <c r="G89" i="16"/>
  <c r="U88" i="16"/>
  <c r="S88" i="16"/>
  <c r="R88" i="16"/>
  <c r="Q88" i="16"/>
  <c r="J88" i="16"/>
  <c r="I88" i="16"/>
  <c r="H88" i="16"/>
  <c r="F88" i="16"/>
  <c r="E88" i="16"/>
  <c r="D88" i="16"/>
  <c r="C88" i="16"/>
  <c r="T87" i="16"/>
  <c r="X87" i="16" s="1"/>
  <c r="O87" i="16"/>
  <c r="N87" i="16"/>
  <c r="M87" i="16"/>
  <c r="K87" i="16"/>
  <c r="G87" i="16"/>
  <c r="T86" i="16"/>
  <c r="V86" i="16" s="1"/>
  <c r="O86" i="16"/>
  <c r="N86" i="16"/>
  <c r="M86" i="16"/>
  <c r="K86" i="16"/>
  <c r="G86" i="16"/>
  <c r="T85" i="16"/>
  <c r="V85" i="16" s="1"/>
  <c r="O85" i="16"/>
  <c r="N85" i="16"/>
  <c r="M85" i="16"/>
  <c r="K85" i="16"/>
  <c r="G85" i="16"/>
  <c r="T84" i="16"/>
  <c r="V84" i="16" s="1"/>
  <c r="O84" i="16"/>
  <c r="N84" i="16"/>
  <c r="M84" i="16"/>
  <c r="K84" i="16"/>
  <c r="G84" i="16"/>
  <c r="T83" i="16"/>
  <c r="O83" i="16"/>
  <c r="N83" i="16"/>
  <c r="M83" i="16"/>
  <c r="K83" i="16"/>
  <c r="L83" i="16" s="1"/>
  <c r="G83" i="16"/>
  <c r="U82" i="16"/>
  <c r="S82" i="16"/>
  <c r="R82" i="16"/>
  <c r="Q82" i="16"/>
  <c r="J82" i="16"/>
  <c r="I82" i="16"/>
  <c r="H82" i="16"/>
  <c r="K82" i="16" s="1"/>
  <c r="F82" i="16"/>
  <c r="E82" i="16"/>
  <c r="D82" i="16"/>
  <c r="C82" i="16"/>
  <c r="T81" i="16"/>
  <c r="V81" i="16" s="1"/>
  <c r="O81" i="16"/>
  <c r="N81" i="16"/>
  <c r="M81" i="16"/>
  <c r="K81" i="16"/>
  <c r="G81" i="16"/>
  <c r="L81" i="16" s="1"/>
  <c r="T80" i="16"/>
  <c r="O80" i="16"/>
  <c r="N80" i="16"/>
  <c r="M80" i="16"/>
  <c r="K80" i="16"/>
  <c r="G80" i="16"/>
  <c r="T79" i="16"/>
  <c r="V79" i="16" s="1"/>
  <c r="O79" i="16"/>
  <c r="N79" i="16"/>
  <c r="M79" i="16"/>
  <c r="K79" i="16"/>
  <c r="X79" i="16" s="1"/>
  <c r="G79" i="16"/>
  <c r="T78" i="16"/>
  <c r="W78" i="16" s="1"/>
  <c r="O78" i="16"/>
  <c r="N78" i="16"/>
  <c r="M78" i="16"/>
  <c r="K78" i="16"/>
  <c r="L78" i="16" s="1"/>
  <c r="G78" i="16"/>
  <c r="T77" i="16"/>
  <c r="V77" i="16" s="1"/>
  <c r="O77" i="16"/>
  <c r="N77" i="16"/>
  <c r="M77" i="16"/>
  <c r="K77" i="16"/>
  <c r="G77" i="16"/>
  <c r="U76" i="16"/>
  <c r="U75" i="16" s="1"/>
  <c r="S76" i="16"/>
  <c r="S75" i="16" s="1"/>
  <c r="R76" i="16"/>
  <c r="Q76" i="16"/>
  <c r="J76" i="16"/>
  <c r="I76" i="16"/>
  <c r="I75" i="16" s="1"/>
  <c r="H76" i="16"/>
  <c r="F76" i="16"/>
  <c r="E76" i="16"/>
  <c r="E75" i="16" s="1"/>
  <c r="D76" i="16"/>
  <c r="C76" i="16"/>
  <c r="T74" i="16"/>
  <c r="O74" i="16"/>
  <c r="N74" i="16"/>
  <c r="M74" i="16"/>
  <c r="K74" i="16"/>
  <c r="X74" i="16" s="1"/>
  <c r="G74" i="16"/>
  <c r="C74" i="16" s="1"/>
  <c r="T73" i="16"/>
  <c r="O73" i="16"/>
  <c r="N73" i="16"/>
  <c r="M73" i="16"/>
  <c r="K73" i="16"/>
  <c r="L73" i="16" s="1"/>
  <c r="G73" i="16"/>
  <c r="C73" i="16" s="1"/>
  <c r="T72" i="16"/>
  <c r="O72" i="16"/>
  <c r="N72" i="16"/>
  <c r="M72" i="16"/>
  <c r="K72" i="16"/>
  <c r="G72" i="16"/>
  <c r="C72" i="16" s="1"/>
  <c r="T71" i="16"/>
  <c r="O71" i="16"/>
  <c r="N71" i="16"/>
  <c r="M71" i="16"/>
  <c r="K71" i="16"/>
  <c r="G71" i="16"/>
  <c r="C71" i="16" s="1"/>
  <c r="T70" i="16"/>
  <c r="O70" i="16"/>
  <c r="N70" i="16"/>
  <c r="M70" i="16"/>
  <c r="K70" i="16"/>
  <c r="G70" i="16"/>
  <c r="C70" i="16" s="1"/>
  <c r="T69" i="16"/>
  <c r="O69" i="16"/>
  <c r="N69" i="16"/>
  <c r="M69" i="16"/>
  <c r="K69" i="16"/>
  <c r="L69" i="16" s="1"/>
  <c r="G69" i="16"/>
  <c r="C69" i="16" s="1"/>
  <c r="U68" i="16"/>
  <c r="S68" i="16"/>
  <c r="R68" i="16"/>
  <c r="Q68" i="16"/>
  <c r="J68" i="16"/>
  <c r="I68" i="16"/>
  <c r="H68" i="16"/>
  <c r="F68" i="16"/>
  <c r="E68" i="16"/>
  <c r="D68" i="16"/>
  <c r="T67" i="16"/>
  <c r="V67" i="16" s="1"/>
  <c r="O67" i="16"/>
  <c r="N67" i="16"/>
  <c r="M67" i="16"/>
  <c r="K67" i="16"/>
  <c r="L67" i="16" s="1"/>
  <c r="G67" i="16"/>
  <c r="C67" i="16" s="1"/>
  <c r="T66" i="16"/>
  <c r="V66" i="16" s="1"/>
  <c r="O66" i="16"/>
  <c r="N66" i="16"/>
  <c r="M66" i="16"/>
  <c r="K66" i="16"/>
  <c r="G66" i="16"/>
  <c r="C66" i="16" s="1"/>
  <c r="O65" i="16"/>
  <c r="M65" i="16"/>
  <c r="T63" i="16"/>
  <c r="P63" i="16"/>
  <c r="K63" i="16"/>
  <c r="W63" i="16" s="1"/>
  <c r="T62" i="16"/>
  <c r="V62" i="16" s="1"/>
  <c r="P62" i="16"/>
  <c r="K62" i="16"/>
  <c r="G62" i="16"/>
  <c r="T61" i="16"/>
  <c r="V61" i="16" s="1"/>
  <c r="O61" i="16"/>
  <c r="N61" i="16"/>
  <c r="M61" i="16"/>
  <c r="K61" i="16"/>
  <c r="G61" i="16"/>
  <c r="T60" i="16"/>
  <c r="O60" i="16"/>
  <c r="N60" i="16"/>
  <c r="M60" i="16"/>
  <c r="K60" i="16"/>
  <c r="G60" i="16"/>
  <c r="T59" i="16"/>
  <c r="O59" i="16"/>
  <c r="N59" i="16"/>
  <c r="M59" i="16"/>
  <c r="K59" i="16"/>
  <c r="L59" i="16" s="1"/>
  <c r="G59" i="16"/>
  <c r="T58" i="16"/>
  <c r="O58" i="16"/>
  <c r="N58" i="16"/>
  <c r="M58" i="16"/>
  <c r="K58" i="16"/>
  <c r="G58" i="16"/>
  <c r="T57" i="16"/>
  <c r="V57" i="16" s="1"/>
  <c r="O57" i="16"/>
  <c r="N57" i="16"/>
  <c r="M57" i="16"/>
  <c r="K57" i="16"/>
  <c r="G57" i="16"/>
  <c r="T56" i="16"/>
  <c r="V56" i="16" s="1"/>
  <c r="O56" i="16"/>
  <c r="N56" i="16"/>
  <c r="M56" i="16"/>
  <c r="K56" i="16"/>
  <c r="G56" i="16"/>
  <c r="T55" i="16"/>
  <c r="O55" i="16"/>
  <c r="N55" i="16"/>
  <c r="M55" i="16"/>
  <c r="K55" i="16"/>
  <c r="L55" i="16" s="1"/>
  <c r="G55" i="16"/>
  <c r="T54" i="16"/>
  <c r="V54" i="16" s="1"/>
  <c r="O54" i="16"/>
  <c r="N54" i="16"/>
  <c r="M54" i="16"/>
  <c r="K54" i="16"/>
  <c r="G54" i="16"/>
  <c r="V53" i="16"/>
  <c r="T53" i="16"/>
  <c r="O53" i="16"/>
  <c r="N53" i="16"/>
  <c r="M53" i="16"/>
  <c r="K53" i="16"/>
  <c r="G53" i="16"/>
  <c r="U52" i="16"/>
  <c r="U45" i="16" s="1"/>
  <c r="S52" i="16"/>
  <c r="R52" i="16"/>
  <c r="Q52" i="16"/>
  <c r="J52" i="16"/>
  <c r="J45" i="16" s="1"/>
  <c r="I52" i="16"/>
  <c r="H52" i="16"/>
  <c r="F52" i="16"/>
  <c r="F45" i="16" s="1"/>
  <c r="E52" i="16"/>
  <c r="E45" i="16" s="1"/>
  <c r="D52" i="16"/>
  <c r="D45" i="16" s="1"/>
  <c r="C52" i="16"/>
  <c r="T51" i="16"/>
  <c r="V51" i="16" s="1"/>
  <c r="O51" i="16"/>
  <c r="N51" i="16"/>
  <c r="M51" i="16"/>
  <c r="K51" i="16"/>
  <c r="G51" i="16"/>
  <c r="O50" i="16"/>
  <c r="M50" i="16"/>
  <c r="G50" i="16"/>
  <c r="T49" i="16"/>
  <c r="V49" i="16" s="1"/>
  <c r="O49" i="16"/>
  <c r="N49" i="16"/>
  <c r="M49" i="16"/>
  <c r="K49" i="16"/>
  <c r="G49" i="16"/>
  <c r="T48" i="16"/>
  <c r="O48" i="16"/>
  <c r="N48" i="16"/>
  <c r="M48" i="16"/>
  <c r="K48" i="16"/>
  <c r="G48" i="16"/>
  <c r="T47" i="16"/>
  <c r="O47" i="16"/>
  <c r="N47" i="16"/>
  <c r="M47" i="16"/>
  <c r="K47" i="16"/>
  <c r="G47" i="16"/>
  <c r="O46" i="16"/>
  <c r="N46" i="16"/>
  <c r="G46" i="16"/>
  <c r="S45" i="16"/>
  <c r="T44" i="16"/>
  <c r="V44" i="16" s="1"/>
  <c r="O44" i="16"/>
  <c r="N44" i="16"/>
  <c r="M44" i="16"/>
  <c r="K44" i="16"/>
  <c r="G44" i="16"/>
  <c r="T43" i="16"/>
  <c r="V43" i="16" s="1"/>
  <c r="O43" i="16"/>
  <c r="N43" i="16"/>
  <c r="M43" i="16"/>
  <c r="K43" i="16"/>
  <c r="G43" i="16"/>
  <c r="T42" i="16"/>
  <c r="O42" i="16"/>
  <c r="N42" i="16"/>
  <c r="M42" i="16"/>
  <c r="K42" i="16"/>
  <c r="G42" i="16"/>
  <c r="T41" i="16"/>
  <c r="V41" i="16" s="1"/>
  <c r="O41" i="16"/>
  <c r="N41" i="16"/>
  <c r="M41" i="16"/>
  <c r="K41" i="16"/>
  <c r="X41" i="16" s="1"/>
  <c r="G41" i="16"/>
  <c r="T40" i="16"/>
  <c r="V40" i="16" s="1"/>
  <c r="O40" i="16"/>
  <c r="N40" i="16"/>
  <c r="M40" i="16"/>
  <c r="K40" i="16"/>
  <c r="G40" i="16"/>
  <c r="T39" i="16"/>
  <c r="V39" i="16" s="1"/>
  <c r="O39" i="16"/>
  <c r="N39" i="16"/>
  <c r="M39" i="16"/>
  <c r="K39" i="16"/>
  <c r="G39" i="16"/>
  <c r="O38" i="16"/>
  <c r="N38" i="16"/>
  <c r="G38" i="16"/>
  <c r="T37" i="16"/>
  <c r="W37" i="16" s="1"/>
  <c r="O37" i="16"/>
  <c r="N37" i="16"/>
  <c r="M37" i="16"/>
  <c r="K37" i="16"/>
  <c r="L37" i="16" s="1"/>
  <c r="G37" i="16"/>
  <c r="T36" i="16"/>
  <c r="O36" i="16"/>
  <c r="N36" i="16"/>
  <c r="M36" i="16"/>
  <c r="K36" i="16"/>
  <c r="G36" i="16"/>
  <c r="V35" i="16"/>
  <c r="T35" i="16"/>
  <c r="O35" i="16"/>
  <c r="N35" i="16"/>
  <c r="M35" i="16"/>
  <c r="K35" i="16"/>
  <c r="G35" i="16"/>
  <c r="T34" i="16"/>
  <c r="O34" i="16"/>
  <c r="N34" i="16"/>
  <c r="M34" i="16"/>
  <c r="K34" i="16"/>
  <c r="G34" i="16"/>
  <c r="T33" i="16"/>
  <c r="O33" i="16"/>
  <c r="N33" i="16"/>
  <c r="M33" i="16"/>
  <c r="K33" i="16"/>
  <c r="G33" i="16"/>
  <c r="U32" i="16"/>
  <c r="S32" i="16"/>
  <c r="R32" i="16"/>
  <c r="J32" i="16"/>
  <c r="I32" i="16"/>
  <c r="F32" i="16"/>
  <c r="E32" i="16"/>
  <c r="D32" i="16"/>
  <c r="C32" i="16"/>
  <c r="T31" i="16"/>
  <c r="V31" i="16" s="1"/>
  <c r="O31" i="16"/>
  <c r="N31" i="16"/>
  <c r="M31" i="16"/>
  <c r="K31" i="16"/>
  <c r="G31" i="16"/>
  <c r="T30" i="16"/>
  <c r="O30" i="16"/>
  <c r="N30" i="16"/>
  <c r="M30" i="16"/>
  <c r="K30" i="16"/>
  <c r="G30" i="16"/>
  <c r="T29" i="16"/>
  <c r="O29" i="16"/>
  <c r="N29" i="16"/>
  <c r="M29" i="16"/>
  <c r="K29" i="16"/>
  <c r="L29" i="16" s="1"/>
  <c r="G29" i="16"/>
  <c r="T28" i="16"/>
  <c r="V28" i="16" s="1"/>
  <c r="O28" i="16"/>
  <c r="N28" i="16"/>
  <c r="M28" i="16"/>
  <c r="K28" i="16"/>
  <c r="G28" i="16"/>
  <c r="V27" i="16"/>
  <c r="T27" i="16"/>
  <c r="O27" i="16"/>
  <c r="N27" i="16"/>
  <c r="M27" i="16"/>
  <c r="K27" i="16"/>
  <c r="G27" i="16"/>
  <c r="U26" i="16"/>
  <c r="S26" i="16"/>
  <c r="R26" i="16"/>
  <c r="Q26" i="16"/>
  <c r="J26" i="16"/>
  <c r="I26" i="16"/>
  <c r="H26" i="16"/>
  <c r="F26" i="16"/>
  <c r="E26" i="16"/>
  <c r="D26" i="16"/>
  <c r="C26" i="16"/>
  <c r="T25" i="16"/>
  <c r="O25" i="16"/>
  <c r="N25" i="16"/>
  <c r="M25" i="16"/>
  <c r="K25" i="16"/>
  <c r="G25" i="16"/>
  <c r="T24" i="16"/>
  <c r="O24" i="16"/>
  <c r="N24" i="16"/>
  <c r="M24" i="16"/>
  <c r="K24" i="16"/>
  <c r="G24" i="16"/>
  <c r="T23" i="16"/>
  <c r="O23" i="16"/>
  <c r="N23" i="16"/>
  <c r="M23" i="16"/>
  <c r="K23" i="16"/>
  <c r="G23" i="16"/>
  <c r="T22" i="16"/>
  <c r="O22" i="16"/>
  <c r="N22" i="16"/>
  <c r="M22" i="16"/>
  <c r="K22" i="16"/>
  <c r="L22" i="16" s="1"/>
  <c r="G22" i="16"/>
  <c r="T21" i="16"/>
  <c r="V21" i="16" s="1"/>
  <c r="O21" i="16"/>
  <c r="N21" i="16"/>
  <c r="M21" i="16"/>
  <c r="K21" i="16"/>
  <c r="G21" i="16"/>
  <c r="U20" i="16"/>
  <c r="U19" i="16" s="1"/>
  <c r="S20" i="16"/>
  <c r="R20" i="16"/>
  <c r="Q20" i="16"/>
  <c r="J20" i="16"/>
  <c r="J19" i="16" s="1"/>
  <c r="I20" i="16"/>
  <c r="H20" i="16"/>
  <c r="F20" i="16"/>
  <c r="E20" i="16"/>
  <c r="E19" i="16" s="1"/>
  <c r="D20" i="16"/>
  <c r="C20" i="16"/>
  <c r="T18" i="16"/>
  <c r="V18" i="16" s="1"/>
  <c r="O18" i="16"/>
  <c r="N18" i="16"/>
  <c r="M18" i="16"/>
  <c r="K18" i="16"/>
  <c r="G18" i="16"/>
  <c r="T17" i="16"/>
  <c r="V17" i="16" s="1"/>
  <c r="O17" i="16"/>
  <c r="N17" i="16"/>
  <c r="M17" i="16"/>
  <c r="K17" i="16"/>
  <c r="G17" i="16"/>
  <c r="G16" i="16"/>
  <c r="U15" i="16"/>
  <c r="F15" i="16"/>
  <c r="E15" i="16"/>
  <c r="D15" i="16"/>
  <c r="D10" i="16"/>
  <c r="X59" i="16" l="1"/>
  <c r="X70" i="16"/>
  <c r="L72" i="16"/>
  <c r="O116" i="16"/>
  <c r="X80" i="16"/>
  <c r="L25" i="16"/>
  <c r="L36" i="16"/>
  <c r="W36" i="16"/>
  <c r="W58" i="16"/>
  <c r="R75" i="16"/>
  <c r="P93" i="16"/>
  <c r="G129" i="16"/>
  <c r="N127" i="16"/>
  <c r="L153" i="16"/>
  <c r="X177" i="16"/>
  <c r="L62" i="16"/>
  <c r="L63" i="16"/>
  <c r="X69" i="16"/>
  <c r="N68" i="16"/>
  <c r="L71" i="16"/>
  <c r="P79" i="16"/>
  <c r="F75" i="16"/>
  <c r="T82" i="16"/>
  <c r="V82" i="16" s="1"/>
  <c r="E111" i="16"/>
  <c r="P157" i="16"/>
  <c r="F19" i="16"/>
  <c r="Q19" i="16"/>
  <c r="L34" i="16"/>
  <c r="V37" i="16"/>
  <c r="V58" i="16"/>
  <c r="P59" i="16"/>
  <c r="L79" i="16"/>
  <c r="W89" i="16"/>
  <c r="X90" i="16"/>
  <c r="L95" i="16"/>
  <c r="L97" i="16"/>
  <c r="P144" i="16"/>
  <c r="L163" i="16"/>
  <c r="N115" i="16"/>
  <c r="N117" i="16"/>
  <c r="N123" i="16"/>
  <c r="N125" i="16"/>
  <c r="X55" i="16"/>
  <c r="X63" i="16"/>
  <c r="L70" i="16"/>
  <c r="X72" i="16"/>
  <c r="G82" i="16"/>
  <c r="X83" i="16"/>
  <c r="K88" i="16"/>
  <c r="V89" i="16"/>
  <c r="N129" i="16"/>
  <c r="M161" i="16"/>
  <c r="L165" i="16"/>
  <c r="X181" i="16"/>
  <c r="P51" i="16"/>
  <c r="L54" i="16"/>
  <c r="W79" i="16"/>
  <c r="L80" i="16"/>
  <c r="L94" i="16"/>
  <c r="W144" i="16"/>
  <c r="N126" i="16"/>
  <c r="N113" i="16"/>
  <c r="W164" i="16"/>
  <c r="X165" i="16"/>
  <c r="N119" i="16"/>
  <c r="W47" i="16"/>
  <c r="L48" i="16"/>
  <c r="D19" i="16"/>
  <c r="G19" i="16" s="1"/>
  <c r="W28" i="16"/>
  <c r="W18" i="16"/>
  <c r="P21" i="16"/>
  <c r="C19" i="16"/>
  <c r="H19" i="16"/>
  <c r="W25" i="16"/>
  <c r="I19" i="16"/>
  <c r="S19" i="16"/>
  <c r="P41" i="16"/>
  <c r="W41" i="16"/>
  <c r="X42" i="16"/>
  <c r="L47" i="16"/>
  <c r="X47" i="16"/>
  <c r="P47" i="16"/>
  <c r="V47" i="16"/>
  <c r="X48" i="16"/>
  <c r="L42" i="16"/>
  <c r="L43" i="16"/>
  <c r="L41" i="16"/>
  <c r="P37" i="16"/>
  <c r="X37" i="16"/>
  <c r="W33" i="16"/>
  <c r="P28" i="16"/>
  <c r="V25" i="16"/>
  <c r="L31" i="16"/>
  <c r="L21" i="16"/>
  <c r="L24" i="16"/>
  <c r="W24" i="16"/>
  <c r="L28" i="16"/>
  <c r="L30" i="16"/>
  <c r="W21" i="16"/>
  <c r="N20" i="16"/>
  <c r="X28" i="16"/>
  <c r="P25" i="16"/>
  <c r="N26" i="16"/>
  <c r="W44" i="16"/>
  <c r="P54" i="16"/>
  <c r="W61" i="16"/>
  <c r="T68" i="16"/>
  <c r="P80" i="16"/>
  <c r="W93" i="16"/>
  <c r="P94" i="16"/>
  <c r="K129" i="16"/>
  <c r="P172" i="16"/>
  <c r="K20" i="16"/>
  <c r="X21" i="16"/>
  <c r="L23" i="16"/>
  <c r="L27" i="16"/>
  <c r="W27" i="16"/>
  <c r="P33" i="16"/>
  <c r="V33" i="16"/>
  <c r="V36" i="16"/>
  <c r="P48" i="16"/>
  <c r="L57" i="16"/>
  <c r="P70" i="16"/>
  <c r="O68" i="16"/>
  <c r="P72" i="16"/>
  <c r="X73" i="16"/>
  <c r="P74" i="16"/>
  <c r="V78" i="16"/>
  <c r="L87" i="16"/>
  <c r="G88" i="16"/>
  <c r="N88" i="16"/>
  <c r="D111" i="16"/>
  <c r="I111" i="16"/>
  <c r="K131" i="16"/>
  <c r="X131" i="16" s="1"/>
  <c r="L137" i="16"/>
  <c r="L141" i="16"/>
  <c r="L144" i="16"/>
  <c r="L146" i="16"/>
  <c r="L149" i="16"/>
  <c r="L151" i="16"/>
  <c r="W167" i="16"/>
  <c r="L168" i="16"/>
  <c r="X168" i="16"/>
  <c r="O119" i="16"/>
  <c r="L172" i="16"/>
  <c r="W176" i="16"/>
  <c r="L178" i="16"/>
  <c r="O128" i="16"/>
  <c r="L179" i="16"/>
  <c r="M131" i="16"/>
  <c r="P131" i="16" s="1"/>
  <c r="L33" i="16"/>
  <c r="P42" i="16"/>
  <c r="W85" i="16"/>
  <c r="K113" i="16"/>
  <c r="L142" i="16"/>
  <c r="N122" i="16"/>
  <c r="P165" i="16"/>
  <c r="G20" i="16"/>
  <c r="X25" i="16"/>
  <c r="P35" i="16"/>
  <c r="L49" i="16"/>
  <c r="L56" i="16"/>
  <c r="X71" i="16"/>
  <c r="J75" i="16"/>
  <c r="J64" i="16" s="1"/>
  <c r="W86" i="16"/>
  <c r="P86" i="16"/>
  <c r="P87" i="16"/>
  <c r="G115" i="16"/>
  <c r="G131" i="16"/>
  <c r="P149" i="16"/>
  <c r="L150" i="16"/>
  <c r="P151" i="16"/>
  <c r="P152" i="16"/>
  <c r="P168" i="16"/>
  <c r="N120" i="16"/>
  <c r="W171" i="16"/>
  <c r="O121" i="16"/>
  <c r="X172" i="16"/>
  <c r="O124" i="16"/>
  <c r="P176" i="16"/>
  <c r="L177" i="16"/>
  <c r="G65" i="16"/>
  <c r="C65" i="16"/>
  <c r="T132" i="16"/>
  <c r="V132" i="16" s="1"/>
  <c r="L182" i="16"/>
  <c r="O132" i="16"/>
  <c r="G122" i="16"/>
  <c r="G113" i="16"/>
  <c r="T116" i="16"/>
  <c r="V116" i="16" s="1"/>
  <c r="K117" i="16"/>
  <c r="K119" i="16"/>
  <c r="M122" i="16"/>
  <c r="K125" i="16"/>
  <c r="N118" i="16"/>
  <c r="L167" i="16"/>
  <c r="L170" i="16"/>
  <c r="L171" i="16"/>
  <c r="W172" i="16"/>
  <c r="L173" i="16"/>
  <c r="V176" i="16"/>
  <c r="U111" i="16"/>
  <c r="U109" i="16" s="1"/>
  <c r="G121" i="16"/>
  <c r="G123" i="16"/>
  <c r="G127" i="16"/>
  <c r="L162" i="16"/>
  <c r="P170" i="16"/>
  <c r="L174" i="16"/>
  <c r="X176" i="16"/>
  <c r="W179" i="16"/>
  <c r="K115" i="16"/>
  <c r="G117" i="16"/>
  <c r="G119" i="16"/>
  <c r="K121" i="16"/>
  <c r="T122" i="16"/>
  <c r="V122" i="16" s="1"/>
  <c r="K123" i="16"/>
  <c r="L123" i="16" s="1"/>
  <c r="K124" i="16"/>
  <c r="G125" i="16"/>
  <c r="T125" i="16"/>
  <c r="K127" i="16"/>
  <c r="T128" i="16"/>
  <c r="V128" i="16" s="1"/>
  <c r="O118" i="16"/>
  <c r="P118" i="16" s="1"/>
  <c r="W163" i="16"/>
  <c r="O161" i="16"/>
  <c r="O159" i="16" s="1"/>
  <c r="L166" i="16"/>
  <c r="P167" i="16"/>
  <c r="W175" i="16"/>
  <c r="N132" i="16"/>
  <c r="X149" i="16"/>
  <c r="X152" i="16"/>
  <c r="W148" i="16"/>
  <c r="W151" i="16"/>
  <c r="W152" i="16"/>
  <c r="M127" i="16"/>
  <c r="N128" i="16"/>
  <c r="O129" i="16"/>
  <c r="M126" i="16"/>
  <c r="P126" i="16" s="1"/>
  <c r="L154" i="16"/>
  <c r="T124" i="16"/>
  <c r="T126" i="16"/>
  <c r="V126" i="16" s="1"/>
  <c r="G128" i="16"/>
  <c r="O134" i="16"/>
  <c r="M123" i="16"/>
  <c r="N124" i="16"/>
  <c r="P124" i="16" s="1"/>
  <c r="O125" i="16"/>
  <c r="H111" i="16"/>
  <c r="X140" i="16"/>
  <c r="W143" i="16"/>
  <c r="M115" i="16"/>
  <c r="P115" i="16" s="1"/>
  <c r="O112" i="16"/>
  <c r="F111" i="16"/>
  <c r="F109" i="16" s="1"/>
  <c r="R111" i="16"/>
  <c r="T115" i="16"/>
  <c r="V115" i="16" s="1"/>
  <c r="T118" i="16"/>
  <c r="V118" i="16" s="1"/>
  <c r="L138" i="16"/>
  <c r="L139" i="16"/>
  <c r="W140" i="16"/>
  <c r="N121" i="16"/>
  <c r="N116" i="16"/>
  <c r="T112" i="16"/>
  <c r="V112" i="16" s="1"/>
  <c r="P141" i="16"/>
  <c r="Q111" i="16"/>
  <c r="S111" i="16"/>
  <c r="S109" i="16" s="1"/>
  <c r="T114" i="16"/>
  <c r="V114" i="16" s="1"/>
  <c r="T120" i="16"/>
  <c r="V120" i="16" s="1"/>
  <c r="N136" i="16"/>
  <c r="L147" i="16"/>
  <c r="X101" i="16"/>
  <c r="W101" i="16"/>
  <c r="C68" i="16"/>
  <c r="P69" i="16"/>
  <c r="S64" i="16"/>
  <c r="L66" i="16"/>
  <c r="P67" i="16"/>
  <c r="P73" i="16"/>
  <c r="L74" i="16"/>
  <c r="M82" i="16"/>
  <c r="N82" i="16"/>
  <c r="L89" i="16"/>
  <c r="P89" i="16"/>
  <c r="M88" i="16"/>
  <c r="L101" i="16"/>
  <c r="F64" i="16"/>
  <c r="C75" i="16"/>
  <c r="L77" i="16"/>
  <c r="L96" i="16"/>
  <c r="P66" i="16"/>
  <c r="P71" i="16"/>
  <c r="E64" i="16"/>
  <c r="U64" i="16"/>
  <c r="L84" i="16"/>
  <c r="L85" i="16"/>
  <c r="L91" i="16"/>
  <c r="L92" i="16"/>
  <c r="L60" i="16"/>
  <c r="P61" i="16"/>
  <c r="W53" i="16"/>
  <c r="O52" i="16"/>
  <c r="W54" i="16"/>
  <c r="P58" i="16"/>
  <c r="L61" i="16"/>
  <c r="W62" i="16"/>
  <c r="X54" i="16"/>
  <c r="P55" i="16"/>
  <c r="W57" i="16"/>
  <c r="C45" i="16"/>
  <c r="N52" i="16"/>
  <c r="W51" i="16"/>
  <c r="W40" i="16"/>
  <c r="L39" i="16"/>
  <c r="L44" i="16"/>
  <c r="O32" i="16"/>
  <c r="X33" i="16"/>
  <c r="L35" i="16"/>
  <c r="N32" i="16"/>
  <c r="U14" i="16"/>
  <c r="U99" i="16" s="1"/>
  <c r="U106" i="16" s="1"/>
  <c r="G26" i="16"/>
  <c r="F14" i="16"/>
  <c r="W23" i="16"/>
  <c r="V24" i="16"/>
  <c r="W30" i="16"/>
  <c r="P31" i="16"/>
  <c r="X31" i="16"/>
  <c r="O20" i="16"/>
  <c r="W31" i="16"/>
  <c r="V23" i="16"/>
  <c r="K26" i="16"/>
  <c r="O26" i="16"/>
  <c r="P30" i="16"/>
  <c r="V30" i="16"/>
  <c r="L17" i="16"/>
  <c r="E14" i="16"/>
  <c r="G15" i="16"/>
  <c r="W96" i="16"/>
  <c r="X96" i="16"/>
  <c r="V96" i="16"/>
  <c r="M136" i="16"/>
  <c r="M112" i="16"/>
  <c r="P137" i="16"/>
  <c r="V153" i="16"/>
  <c r="W153" i="16"/>
  <c r="X153" i="16"/>
  <c r="H159" i="16"/>
  <c r="K161" i="16"/>
  <c r="V68" i="16"/>
  <c r="Q75" i="16"/>
  <c r="T76" i="16"/>
  <c r="X17" i="16"/>
  <c r="W17" i="16"/>
  <c r="P34" i="16"/>
  <c r="X51" i="16"/>
  <c r="L51" i="16"/>
  <c r="W60" i="16"/>
  <c r="X60" i="16"/>
  <c r="V60" i="16"/>
  <c r="M20" i="16"/>
  <c r="P22" i="16"/>
  <c r="X29" i="16"/>
  <c r="V29" i="16"/>
  <c r="W29" i="16"/>
  <c r="V34" i="16"/>
  <c r="W34" i="16"/>
  <c r="X34" i="16"/>
  <c r="X58" i="16"/>
  <c r="L58" i="16"/>
  <c r="P77" i="16"/>
  <c r="M76" i="16"/>
  <c r="X86" i="16"/>
  <c r="L86" i="16"/>
  <c r="X93" i="16"/>
  <c r="L93" i="16"/>
  <c r="K118" i="16"/>
  <c r="W125" i="16"/>
  <c r="P148" i="16"/>
  <c r="O123" i="16"/>
  <c r="P153" i="16"/>
  <c r="M128" i="16"/>
  <c r="V169" i="16"/>
  <c r="W169" i="16"/>
  <c r="X169" i="16"/>
  <c r="W182" i="16"/>
  <c r="X182" i="16"/>
  <c r="V182" i="16"/>
  <c r="L82" i="16"/>
  <c r="X163" i="16"/>
  <c r="R19" i="16"/>
  <c r="T26" i="16"/>
  <c r="X147" i="16"/>
  <c r="P27" i="16"/>
  <c r="X57" i="16"/>
  <c r="X85" i="16"/>
  <c r="L18" i="16"/>
  <c r="X18" i="16"/>
  <c r="X24" i="16"/>
  <c r="X27" i="16"/>
  <c r="X44" i="16"/>
  <c r="O82" i="16"/>
  <c r="O88" i="16"/>
  <c r="V125" i="16"/>
  <c r="L131" i="16"/>
  <c r="X179" i="16"/>
  <c r="X22" i="16"/>
  <c r="V22" i="16"/>
  <c r="W22" i="16"/>
  <c r="W131" i="16"/>
  <c r="W166" i="16"/>
  <c r="X166" i="16"/>
  <c r="V166" i="16"/>
  <c r="V137" i="16"/>
  <c r="W137" i="16"/>
  <c r="X137" i="16"/>
  <c r="W150" i="16"/>
  <c r="X150" i="16"/>
  <c r="V150" i="16"/>
  <c r="P154" i="16"/>
  <c r="M129" i="16"/>
  <c r="M159" i="16"/>
  <c r="X164" i="16"/>
  <c r="L164" i="16"/>
  <c r="P29" i="16"/>
  <c r="M26" i="16"/>
  <c r="W95" i="16"/>
  <c r="X95" i="16"/>
  <c r="V95" i="16"/>
  <c r="W97" i="16"/>
  <c r="X97" i="16"/>
  <c r="V97" i="16"/>
  <c r="S134" i="16"/>
  <c r="T136" i="16"/>
  <c r="P138" i="16"/>
  <c r="M113" i="16"/>
  <c r="N114" i="16"/>
  <c r="X148" i="16"/>
  <c r="L148" i="16"/>
  <c r="P164" i="16"/>
  <c r="M119" i="16"/>
  <c r="P169" i="16"/>
  <c r="V131" i="16"/>
  <c r="P17" i="16"/>
  <c r="P23" i="16"/>
  <c r="D14" i="16"/>
  <c r="P18" i="16"/>
  <c r="T20" i="16"/>
  <c r="P24" i="16"/>
  <c r="G32" i="16"/>
  <c r="X92" i="16"/>
  <c r="W35" i="16"/>
  <c r="X35" i="16"/>
  <c r="V69" i="16"/>
  <c r="W69" i="16"/>
  <c r="V73" i="16"/>
  <c r="W73" i="16"/>
  <c r="D75" i="16"/>
  <c r="G76" i="16"/>
  <c r="W138" i="16"/>
  <c r="X138" i="16"/>
  <c r="V141" i="16"/>
  <c r="W141" i="16"/>
  <c r="W154" i="16"/>
  <c r="X154" i="16"/>
  <c r="V157" i="16"/>
  <c r="W157" i="16"/>
  <c r="W170" i="16"/>
  <c r="X170" i="16"/>
  <c r="V173" i="16"/>
  <c r="W173" i="16"/>
  <c r="V42" i="16"/>
  <c r="W42" i="16"/>
  <c r="V48" i="16"/>
  <c r="W48" i="16"/>
  <c r="W43" i="16"/>
  <c r="X43" i="16"/>
  <c r="W49" i="16"/>
  <c r="X49" i="16"/>
  <c r="W56" i="16"/>
  <c r="X56" i="16"/>
  <c r="V59" i="16"/>
  <c r="W59" i="16"/>
  <c r="V70" i="16"/>
  <c r="W70" i="16"/>
  <c r="V72" i="16"/>
  <c r="W72" i="16"/>
  <c r="V74" i="16"/>
  <c r="W74" i="16"/>
  <c r="W84" i="16"/>
  <c r="X84" i="16"/>
  <c r="V87" i="16"/>
  <c r="W87" i="16"/>
  <c r="W91" i="16"/>
  <c r="X91" i="16"/>
  <c r="V94" i="16"/>
  <c r="W94" i="16"/>
  <c r="W146" i="16"/>
  <c r="X146" i="16"/>
  <c r="V149" i="16"/>
  <c r="W149" i="16"/>
  <c r="P150" i="16"/>
  <c r="M125" i="16"/>
  <c r="D159" i="16"/>
  <c r="G161" i="16"/>
  <c r="W162" i="16"/>
  <c r="X162" i="16"/>
  <c r="V165" i="16"/>
  <c r="W165" i="16"/>
  <c r="W178" i="16"/>
  <c r="X178" i="16"/>
  <c r="V181" i="16"/>
  <c r="W181" i="16"/>
  <c r="P36" i="16"/>
  <c r="G52" i="16"/>
  <c r="T52" i="16"/>
  <c r="X61" i="16"/>
  <c r="P78" i="16"/>
  <c r="P81" i="16"/>
  <c r="T119" i="16"/>
  <c r="K122" i="16"/>
  <c r="K128" i="16"/>
  <c r="T129" i="16"/>
  <c r="X167" i="16"/>
  <c r="X23" i="16"/>
  <c r="X30" i="16"/>
  <c r="X36" i="16"/>
  <c r="P40" i="16"/>
  <c r="P43" i="16"/>
  <c r="K52" i="16"/>
  <c r="L40" i="16"/>
  <c r="X40" i="16"/>
  <c r="P44" i="16"/>
  <c r="O45" i="16"/>
  <c r="M52" i="16"/>
  <c r="L53" i="16"/>
  <c r="X53" i="16"/>
  <c r="P57" i="16"/>
  <c r="P60" i="16"/>
  <c r="W66" i="16"/>
  <c r="W67" i="16"/>
  <c r="K68" i="16"/>
  <c r="M68" i="16"/>
  <c r="N76" i="16"/>
  <c r="O76" i="16"/>
  <c r="W82" i="16"/>
  <c r="P83" i="16"/>
  <c r="P85" i="16"/>
  <c r="P90" i="16"/>
  <c r="P92" i="16"/>
  <c r="P95" i="16"/>
  <c r="P96" i="16"/>
  <c r="P97" i="16"/>
  <c r="K114" i="16"/>
  <c r="G118" i="16"/>
  <c r="W118" i="16" s="1"/>
  <c r="K120" i="16"/>
  <c r="M120" i="16"/>
  <c r="P120" i="16" s="1"/>
  <c r="T121" i="16"/>
  <c r="G124" i="16"/>
  <c r="T127" i="16"/>
  <c r="O114" i="16"/>
  <c r="L143" i="16"/>
  <c r="X143" i="16"/>
  <c r="P147" i="16"/>
  <c r="O130" i="16"/>
  <c r="T161" i="16"/>
  <c r="P163" i="16"/>
  <c r="P166" i="16"/>
  <c r="L175" i="16"/>
  <c r="X175" i="16"/>
  <c r="P177" i="16"/>
  <c r="P179" i="16"/>
  <c r="P182" i="16"/>
  <c r="V71" i="16"/>
  <c r="W71" i="16"/>
  <c r="W77" i="16"/>
  <c r="X77" i="16"/>
  <c r="V80" i="16"/>
  <c r="W80" i="16"/>
  <c r="P142" i="16"/>
  <c r="M117" i="16"/>
  <c r="N161" i="16"/>
  <c r="N112" i="16"/>
  <c r="N111" i="16" s="1"/>
  <c r="W39" i="16"/>
  <c r="X39" i="16"/>
  <c r="V55" i="16"/>
  <c r="W55" i="16"/>
  <c r="H75" i="16"/>
  <c r="K76" i="16"/>
  <c r="W81" i="16"/>
  <c r="X81" i="16"/>
  <c r="V83" i="16"/>
  <c r="W83" i="16"/>
  <c r="V90" i="16"/>
  <c r="W90" i="16"/>
  <c r="W142" i="16"/>
  <c r="X142" i="16"/>
  <c r="V145" i="16"/>
  <c r="W145" i="16"/>
  <c r="P146" i="16"/>
  <c r="M121" i="16"/>
  <c r="W174" i="16"/>
  <c r="X174" i="16"/>
  <c r="V177" i="16"/>
  <c r="W177" i="16"/>
  <c r="P39" i="16"/>
  <c r="G45" i="16"/>
  <c r="X66" i="16"/>
  <c r="X67" i="16"/>
  <c r="J109" i="16"/>
  <c r="T113" i="16"/>
  <c r="G116" i="16"/>
  <c r="G126" i="16"/>
  <c r="G132" i="16"/>
  <c r="P139" i="16"/>
  <c r="X151" i="16"/>
  <c r="P171" i="16"/>
  <c r="P174" i="16"/>
  <c r="P49" i="16"/>
  <c r="P53" i="16"/>
  <c r="P56" i="16"/>
  <c r="X62" i="16"/>
  <c r="G68" i="16"/>
  <c r="W68" i="16" s="1"/>
  <c r="X78" i="16"/>
  <c r="X82" i="16"/>
  <c r="P84" i="16"/>
  <c r="T88" i="16"/>
  <c r="P91" i="16"/>
  <c r="C96" i="16"/>
  <c r="C97" i="16"/>
  <c r="C111" i="16"/>
  <c r="G112" i="16"/>
  <c r="K112" i="16"/>
  <c r="O113" i="16"/>
  <c r="G114" i="16"/>
  <c r="K116" i="16"/>
  <c r="M116" i="16"/>
  <c r="T117" i="16"/>
  <c r="G120" i="16"/>
  <c r="T123" i="16"/>
  <c r="K126" i="16"/>
  <c r="K132" i="16"/>
  <c r="L132" i="16" s="1"/>
  <c r="M132" i="16"/>
  <c r="G136" i="16"/>
  <c r="K136" i="16"/>
  <c r="X139" i="16"/>
  <c r="P143" i="16"/>
  <c r="P162" i="16"/>
  <c r="X171" i="16"/>
  <c r="P173" i="16"/>
  <c r="P175" i="16"/>
  <c r="P127" i="16"/>
  <c r="P178" i="16"/>
  <c r="P117" i="16" l="1"/>
  <c r="L129" i="16"/>
  <c r="P88" i="16"/>
  <c r="L88" i="16"/>
  <c r="P119" i="16"/>
  <c r="P68" i="16"/>
  <c r="L115" i="16"/>
  <c r="L113" i="16"/>
  <c r="O111" i="16"/>
  <c r="X115" i="16"/>
  <c r="L124" i="16"/>
  <c r="L121" i="16"/>
  <c r="L125" i="16"/>
  <c r="W112" i="16"/>
  <c r="K111" i="16"/>
  <c r="X112" i="16"/>
  <c r="X124" i="16"/>
  <c r="L127" i="16"/>
  <c r="L117" i="16"/>
  <c r="L119" i="16"/>
  <c r="W122" i="16"/>
  <c r="L128" i="16"/>
  <c r="L20" i="16"/>
  <c r="K19" i="16"/>
  <c r="L19" i="16" s="1"/>
  <c r="T19" i="16"/>
  <c r="N19" i="16"/>
  <c r="P26" i="16"/>
  <c r="L26" i="16"/>
  <c r="L122" i="16"/>
  <c r="W132" i="16"/>
  <c r="G111" i="16"/>
  <c r="X125" i="16"/>
  <c r="F99" i="16"/>
  <c r="F106" i="16" s="1"/>
  <c r="P122" i="16"/>
  <c r="P132" i="16"/>
  <c r="V124" i="16"/>
  <c r="C64" i="16"/>
  <c r="W115" i="16"/>
  <c r="W120" i="16"/>
  <c r="P161" i="16"/>
  <c r="P128" i="16"/>
  <c r="X118" i="16"/>
  <c r="L114" i="16"/>
  <c r="P123" i="16"/>
  <c r="W116" i="16"/>
  <c r="P121" i="16"/>
  <c r="L120" i="16"/>
  <c r="W128" i="16"/>
  <c r="X128" i="16"/>
  <c r="W124" i="16"/>
  <c r="W126" i="16"/>
  <c r="P125" i="16"/>
  <c r="P129" i="16"/>
  <c r="O109" i="16"/>
  <c r="P116" i="16"/>
  <c r="T111" i="16"/>
  <c r="V111" i="16" s="1"/>
  <c r="W114" i="16"/>
  <c r="L116" i="16"/>
  <c r="L76" i="16"/>
  <c r="N75" i="16"/>
  <c r="P82" i="16"/>
  <c r="E99" i="16"/>
  <c r="E106" i="16" s="1"/>
  <c r="P52" i="16"/>
  <c r="L52" i="16"/>
  <c r="G14" i="16"/>
  <c r="O19" i="16"/>
  <c r="X127" i="16"/>
  <c r="W127" i="16"/>
  <c r="V127" i="16"/>
  <c r="V136" i="16"/>
  <c r="W136" i="16"/>
  <c r="X136" i="16"/>
  <c r="V76" i="16"/>
  <c r="W76" i="16"/>
  <c r="X76" i="16"/>
  <c r="P136" i="16"/>
  <c r="X123" i="16"/>
  <c r="V123" i="16"/>
  <c r="W123" i="16"/>
  <c r="X88" i="16"/>
  <c r="V88" i="16"/>
  <c r="W88" i="16"/>
  <c r="W52" i="16"/>
  <c r="X52" i="16"/>
  <c r="V52" i="16"/>
  <c r="M75" i="16"/>
  <c r="P76" i="16"/>
  <c r="P112" i="16"/>
  <c r="M111" i="16"/>
  <c r="X117" i="16"/>
  <c r="V117" i="16"/>
  <c r="W117" i="16"/>
  <c r="X121" i="16"/>
  <c r="W121" i="16"/>
  <c r="V121" i="16"/>
  <c r="X129" i="16"/>
  <c r="V129" i="16"/>
  <c r="W129" i="16"/>
  <c r="V19" i="16"/>
  <c r="W19" i="16"/>
  <c r="P20" i="16"/>
  <c r="M19" i="16"/>
  <c r="X113" i="16"/>
  <c r="V113" i="16"/>
  <c r="W113" i="16"/>
  <c r="H64" i="16"/>
  <c r="K75" i="16"/>
  <c r="V161" i="16"/>
  <c r="W161" i="16"/>
  <c r="X161" i="16"/>
  <c r="X119" i="16"/>
  <c r="V119" i="16"/>
  <c r="W119" i="16"/>
  <c r="D64" i="16"/>
  <c r="G75" i="16"/>
  <c r="V20" i="16"/>
  <c r="X20" i="16"/>
  <c r="W20" i="16"/>
  <c r="X26" i="16"/>
  <c r="W26" i="16"/>
  <c r="V26" i="16"/>
  <c r="T75" i="16"/>
  <c r="Q64" i="16"/>
  <c r="L136" i="16"/>
  <c r="O75" i="16"/>
  <c r="O64" i="16" s="1"/>
  <c r="X120" i="16"/>
  <c r="L126" i="16"/>
  <c r="L68" i="16"/>
  <c r="P113" i="16"/>
  <c r="X126" i="16"/>
  <c r="X122" i="16"/>
  <c r="X132" i="16"/>
  <c r="X68" i="16"/>
  <c r="P114" i="16"/>
  <c r="X114" i="16"/>
  <c r="L118" i="16"/>
  <c r="L161" i="16"/>
  <c r="X116" i="16"/>
  <c r="L111" i="16" l="1"/>
  <c r="X19" i="16"/>
  <c r="W111" i="16"/>
  <c r="X111" i="16"/>
  <c r="D99" i="16"/>
  <c r="G64" i="16"/>
  <c r="P75" i="16"/>
  <c r="M64" i="16"/>
  <c r="L75" i="16"/>
  <c r="X75" i="16"/>
  <c r="W75" i="16"/>
  <c r="V75" i="16"/>
  <c r="P111" i="16"/>
  <c r="P19" i="16"/>
  <c r="D106" i="16" l="1"/>
  <c r="G106" i="16" s="1"/>
  <c r="G99" i="16"/>
  <c r="AB61" i="9" l="1"/>
  <c r="AA61" i="9"/>
  <c r="AV113" i="9"/>
  <c r="AB113" i="9"/>
  <c r="AV20" i="9"/>
  <c r="AB20" i="9"/>
  <c r="AB102" i="9"/>
  <c r="AB18" i="9"/>
  <c r="AV61" i="9"/>
  <c r="AV48" i="9"/>
  <c r="AB48" i="9"/>
  <c r="AV18" i="9"/>
  <c r="AB77" i="9"/>
  <c r="AV77" i="9"/>
  <c r="G45" i="7"/>
  <c r="AU123" i="9"/>
  <c r="AA123" i="9"/>
  <c r="AV19" i="9"/>
  <c r="AA18" i="9"/>
  <c r="AV67" i="9"/>
  <c r="AV96" i="9"/>
  <c r="AV171" i="9"/>
  <c r="AV125" i="9"/>
  <c r="AV106" i="9"/>
  <c r="AU61" i="9"/>
  <c r="AU18" i="9"/>
  <c r="AU165" i="9"/>
  <c r="AU164" i="9"/>
  <c r="AU156" i="9"/>
  <c r="AV123" i="9"/>
  <c r="AV35" i="9"/>
  <c r="AV70" i="9"/>
  <c r="AV105" i="9"/>
  <c r="AV102" i="9"/>
  <c r="AB70" i="9"/>
  <c r="AB67" i="9"/>
  <c r="AB19" i="9"/>
  <c r="AB96" i="9"/>
  <c r="AB125" i="9"/>
  <c r="AB171" i="9"/>
  <c r="AB106" i="9"/>
  <c r="AA165" i="9"/>
  <c r="AA164" i="9"/>
  <c r="AA156" i="9"/>
  <c r="AB123" i="9"/>
  <c r="AB35" i="9"/>
  <c r="AB105" i="9"/>
  <c r="AV114" i="9"/>
  <c r="AR71" i="9" l="1"/>
  <c r="AB104" i="9" l="1"/>
  <c r="AB114" i="9"/>
  <c r="AB112" i="9" s="1"/>
  <c r="AD102" i="9"/>
  <c r="AD20" i="9"/>
  <c r="AD70" i="9"/>
  <c r="AQ18" i="9"/>
  <c r="AA60" i="9"/>
  <c r="AA59" i="9" s="1"/>
  <c r="AA32" i="13"/>
  <c r="W32" i="13"/>
  <c r="V32" i="13"/>
  <c r="U32" i="13"/>
  <c r="T32" i="13"/>
  <c r="R32" i="13"/>
  <c r="Q32" i="13"/>
  <c r="P32" i="13"/>
  <c r="O32" i="13"/>
  <c r="M32" i="13"/>
  <c r="L32" i="13"/>
  <c r="K32" i="13"/>
  <c r="H32" i="13"/>
  <c r="G32" i="13"/>
  <c r="AA948" i="13"/>
  <c r="AA947" i="13" s="1"/>
  <c r="W948" i="13"/>
  <c r="W947" i="13" s="1"/>
  <c r="V948" i="13"/>
  <c r="V947" i="13" s="1"/>
  <c r="U948" i="13"/>
  <c r="U947" i="13" s="1"/>
  <c r="T948" i="13"/>
  <c r="T947" i="13" s="1"/>
  <c r="R948" i="13"/>
  <c r="R947" i="13" s="1"/>
  <c r="Q948" i="13"/>
  <c r="Q947" i="13" s="1"/>
  <c r="P948" i="13"/>
  <c r="P947" i="13" s="1"/>
  <c r="O948" i="13"/>
  <c r="O947" i="13" s="1"/>
  <c r="M948" i="13"/>
  <c r="M947" i="13" s="1"/>
  <c r="L948" i="13"/>
  <c r="L947" i="13" s="1"/>
  <c r="K948" i="13"/>
  <c r="K947" i="13" s="1"/>
  <c r="H948" i="13"/>
  <c r="H947" i="13" s="1"/>
  <c r="G948" i="13"/>
  <c r="G947" i="13" s="1"/>
  <c r="X280" i="13"/>
  <c r="X278" i="13" s="1"/>
  <c r="S280" i="13"/>
  <c r="S278" i="13" s="1"/>
  <c r="I280" i="13"/>
  <c r="J280" i="13" s="1"/>
  <c r="AA278" i="13"/>
  <c r="W278" i="13"/>
  <c r="V278" i="13"/>
  <c r="U278" i="13"/>
  <c r="T278" i="13"/>
  <c r="R278" i="13"/>
  <c r="Q278" i="13"/>
  <c r="P278" i="13"/>
  <c r="O278" i="13"/>
  <c r="M278" i="13"/>
  <c r="L278" i="13"/>
  <c r="K278" i="13"/>
  <c r="H278" i="13"/>
  <c r="G278" i="13"/>
  <c r="AX295" i="9"/>
  <c r="AS295" i="9"/>
  <c r="AR295" i="9"/>
  <c r="AR294" i="9" s="1"/>
  <c r="AQ295" i="9"/>
  <c r="AQ294" i="9" s="1"/>
  <c r="AP295" i="9"/>
  <c r="AL295" i="9"/>
  <c r="AL294" i="9" s="1"/>
  <c r="AH295" i="9"/>
  <c r="AH294" i="9" s="1"/>
  <c r="AD295" i="9"/>
  <c r="AD294" i="9" s="1"/>
  <c r="AX294" i="9"/>
  <c r="AW294" i="9"/>
  <c r="AV294" i="9"/>
  <c r="AU294" i="9"/>
  <c r="AP294" i="9"/>
  <c r="AO294" i="9"/>
  <c r="AN294" i="9"/>
  <c r="AM294" i="9"/>
  <c r="AK294" i="9"/>
  <c r="AJ294" i="9"/>
  <c r="AI294" i="9"/>
  <c r="AG294" i="9"/>
  <c r="AF294" i="9"/>
  <c r="AE294" i="9"/>
  <c r="AC294" i="9"/>
  <c r="AB294" i="9"/>
  <c r="AA294" i="9"/>
  <c r="AX293" i="9"/>
  <c r="AS293" i="9"/>
  <c r="AR293" i="9"/>
  <c r="AQ293" i="9"/>
  <c r="AP293" i="9"/>
  <c r="AL293" i="9"/>
  <c r="AH293" i="9"/>
  <c r="AD293" i="9"/>
  <c r="AX292" i="9"/>
  <c r="AP292" i="9"/>
  <c r="AL292" i="9"/>
  <c r="AH292" i="9"/>
  <c r="AD292" i="9"/>
  <c r="AX291" i="9"/>
  <c r="AS291" i="9"/>
  <c r="AR291" i="9"/>
  <c r="AQ291" i="9"/>
  <c r="AP291" i="9"/>
  <c r="AL291" i="9"/>
  <c r="AH291" i="9"/>
  <c r="AD291" i="9"/>
  <c r="AX290" i="9"/>
  <c r="AS290" i="9"/>
  <c r="AR290" i="9"/>
  <c r="AQ290" i="9"/>
  <c r="AP290" i="9"/>
  <c r="AP289" i="9" s="1"/>
  <c r="AP288" i="9" s="1"/>
  <c r="AL290" i="9"/>
  <c r="AH290" i="9"/>
  <c r="AD290" i="9"/>
  <c r="AX289" i="9"/>
  <c r="AX288" i="9" s="1"/>
  <c r="AW289" i="9"/>
  <c r="AW288" i="9" s="1"/>
  <c r="AV289" i="9"/>
  <c r="AU289" i="9"/>
  <c r="AO289" i="9"/>
  <c r="AO288" i="9" s="1"/>
  <c r="AN289" i="9"/>
  <c r="AN288" i="9" s="1"/>
  <c r="AM289" i="9"/>
  <c r="AM288" i="9" s="1"/>
  <c r="AK289" i="9"/>
  <c r="AK288" i="9" s="1"/>
  <c r="AJ289" i="9"/>
  <c r="AJ288" i="9" s="1"/>
  <c r="AI289" i="9"/>
  <c r="AI288" i="9" s="1"/>
  <c r="AG289" i="9"/>
  <c r="AF289" i="9"/>
  <c r="AE289" i="9"/>
  <c r="AE288" i="9" s="1"/>
  <c r="AC289" i="9"/>
  <c r="AB289" i="9"/>
  <c r="AB288" i="9" s="1"/>
  <c r="AA289" i="9"/>
  <c r="AA288" i="9" s="1"/>
  <c r="AV288" i="9"/>
  <c r="AU288" i="9"/>
  <c r="AG288" i="9"/>
  <c r="AF288" i="9"/>
  <c r="AC288" i="9"/>
  <c r="AX287" i="9"/>
  <c r="AS287" i="9"/>
  <c r="AR287" i="9"/>
  <c r="AQ287" i="9"/>
  <c r="AP287" i="9"/>
  <c r="AL287" i="9"/>
  <c r="AH287" i="9"/>
  <c r="AD287" i="9"/>
  <c r="AX286" i="9"/>
  <c r="AS286" i="9"/>
  <c r="AR286" i="9"/>
  <c r="AQ286" i="9"/>
  <c r="AP286" i="9"/>
  <c r="AL286" i="9"/>
  <c r="AH286" i="9"/>
  <c r="AD286" i="9"/>
  <c r="AX285" i="9"/>
  <c r="AS285" i="9"/>
  <c r="AR285" i="9"/>
  <c r="AQ285" i="9"/>
  <c r="AP285" i="9"/>
  <c r="AL285" i="9"/>
  <c r="AH285" i="9"/>
  <c r="AD285" i="9"/>
  <c r="AX284" i="9"/>
  <c r="AS284" i="9"/>
  <c r="AS283" i="9" s="1"/>
  <c r="AR284" i="9"/>
  <c r="AQ284" i="9"/>
  <c r="AP284" i="9"/>
  <c r="AL284" i="9"/>
  <c r="AL283" i="9" s="1"/>
  <c r="AH284" i="9"/>
  <c r="AD284" i="9"/>
  <c r="AD283" i="9" s="1"/>
  <c r="AX283" i="9"/>
  <c r="AW283" i="9"/>
  <c r="AW281" i="9" s="1"/>
  <c r="AV283" i="9"/>
  <c r="AU283" i="9"/>
  <c r="AU281" i="9" s="1"/>
  <c r="AP283" i="9"/>
  <c r="AO283" i="9"/>
  <c r="AO281" i="9" s="1"/>
  <c r="AN283" i="9"/>
  <c r="AM283" i="9"/>
  <c r="AM281" i="9" s="1"/>
  <c r="AK283" i="9"/>
  <c r="AK281" i="9" s="1"/>
  <c r="AJ283" i="9"/>
  <c r="AJ281" i="9" s="1"/>
  <c r="AI283" i="9"/>
  <c r="AG283" i="9"/>
  <c r="AG281" i="9" s="1"/>
  <c r="AF283" i="9"/>
  <c r="AE283" i="9"/>
  <c r="AE281" i="9" s="1"/>
  <c r="AC283" i="9"/>
  <c r="AC281" i="9" s="1"/>
  <c r="AB283" i="9"/>
  <c r="AA283" i="9"/>
  <c r="AA281" i="9" s="1"/>
  <c r="AX282" i="9"/>
  <c r="AS282" i="9"/>
  <c r="AR282" i="9"/>
  <c r="AQ282" i="9"/>
  <c r="AP282" i="9"/>
  <c r="AP281" i="9" s="1"/>
  <c r="AL282" i="9"/>
  <c r="AH282" i="9"/>
  <c r="AD282" i="9"/>
  <c r="AX281" i="9"/>
  <c r="AV281" i="9"/>
  <c r="AN281" i="9"/>
  <c r="AI281" i="9"/>
  <c r="AF281" i="9"/>
  <c r="AB281" i="9"/>
  <c r="AX280" i="9"/>
  <c r="AX279" i="9" s="1"/>
  <c r="AS280" i="9"/>
  <c r="AS279" i="9" s="1"/>
  <c r="AR280" i="9"/>
  <c r="AR279" i="9" s="1"/>
  <c r="AQ280" i="9"/>
  <c r="AP280" i="9"/>
  <c r="AL280" i="9"/>
  <c r="AL279" i="9" s="1"/>
  <c r="AH280" i="9"/>
  <c r="AH279" i="9" s="1"/>
  <c r="AD280" i="9"/>
  <c r="AD279" i="9" s="1"/>
  <c r="AW279" i="9"/>
  <c r="AV279" i="9"/>
  <c r="AU279" i="9"/>
  <c r="AQ279" i="9"/>
  <c r="AP279" i="9"/>
  <c r="AO279" i="9"/>
  <c r="AN279" i="9"/>
  <c r="AM279" i="9"/>
  <c r="AK279" i="9"/>
  <c r="AJ279" i="9"/>
  <c r="AI279" i="9"/>
  <c r="AG279" i="9"/>
  <c r="AF279" i="9"/>
  <c r="AE279" i="9"/>
  <c r="AC279" i="9"/>
  <c r="AB279" i="9"/>
  <c r="AA279" i="9"/>
  <c r="AX278" i="9"/>
  <c r="AS278" i="9"/>
  <c r="AR278" i="9"/>
  <c r="AQ278" i="9"/>
  <c r="AP278" i="9"/>
  <c r="AL278" i="9"/>
  <c r="AH278" i="9"/>
  <c r="AD278" i="9"/>
  <c r="AX277" i="9"/>
  <c r="AS277" i="9"/>
  <c r="AR277" i="9"/>
  <c r="AQ277" i="9"/>
  <c r="AP277" i="9"/>
  <c r="AL277" i="9"/>
  <c r="AH277" i="9"/>
  <c r="AD277" i="9"/>
  <c r="AX276" i="9"/>
  <c r="AX275" i="9" s="1"/>
  <c r="AS276" i="9"/>
  <c r="AR276" i="9"/>
  <c r="AR275" i="9" s="1"/>
  <c r="AQ276" i="9"/>
  <c r="AP276" i="9"/>
  <c r="AP275" i="9" s="1"/>
  <c r="AL276" i="9"/>
  <c r="AL275" i="9" s="1"/>
  <c r="AH276" i="9"/>
  <c r="AH275" i="9" s="1"/>
  <c r="AD276" i="9"/>
  <c r="AW275" i="9"/>
  <c r="AW272" i="9" s="1"/>
  <c r="AW271" i="9" s="1"/>
  <c r="AV275" i="9"/>
  <c r="AV272" i="9" s="1"/>
  <c r="AU275" i="9"/>
  <c r="AU272" i="9" s="1"/>
  <c r="AQ275" i="9"/>
  <c r="AO275" i="9"/>
  <c r="AO272" i="9" s="1"/>
  <c r="AO271" i="9" s="1"/>
  <c r="AN275" i="9"/>
  <c r="AN272" i="9" s="1"/>
  <c r="AN271" i="9" s="1"/>
  <c r="AM275" i="9"/>
  <c r="AM272" i="9" s="1"/>
  <c r="AK275" i="9"/>
  <c r="AJ275" i="9"/>
  <c r="AJ272" i="9" s="1"/>
  <c r="AJ271" i="9" s="1"/>
  <c r="AI275" i="9"/>
  <c r="AI272" i="9" s="1"/>
  <c r="AG275" i="9"/>
  <c r="AG272" i="9" s="1"/>
  <c r="AF275" i="9"/>
  <c r="AF272" i="9" s="1"/>
  <c r="AF271" i="9" s="1"/>
  <c r="AE275" i="9"/>
  <c r="AE272" i="9" s="1"/>
  <c r="AE271" i="9" s="1"/>
  <c r="AD275" i="9"/>
  <c r="AC275" i="9"/>
  <c r="AC272" i="9" s="1"/>
  <c r="AB275" i="9"/>
  <c r="AA275" i="9"/>
  <c r="AA272" i="9" s="1"/>
  <c r="AA271" i="9" s="1"/>
  <c r="AX274" i="9"/>
  <c r="AS274" i="9"/>
  <c r="AR274" i="9"/>
  <c r="AQ274" i="9"/>
  <c r="AP274" i="9"/>
  <c r="AL274" i="9"/>
  <c r="AH274" i="9"/>
  <c r="AD274" i="9"/>
  <c r="AX273" i="9"/>
  <c r="AP273" i="9"/>
  <c r="AL273" i="9"/>
  <c r="AH273" i="9"/>
  <c r="AD273" i="9"/>
  <c r="AK272" i="9"/>
  <c r="AK271" i="9" s="1"/>
  <c r="AB272" i="9"/>
  <c r="AC271" i="9"/>
  <c r="AX270" i="9"/>
  <c r="AS270" i="9"/>
  <c r="AR270" i="9"/>
  <c r="AQ270" i="9"/>
  <c r="AP270" i="9"/>
  <c r="AL270" i="9"/>
  <c r="AH270" i="9"/>
  <c r="AD270" i="9"/>
  <c r="AX269" i="9"/>
  <c r="AS269" i="9"/>
  <c r="AR269" i="9"/>
  <c r="AQ269" i="9"/>
  <c r="AP269" i="9"/>
  <c r="AL269" i="9"/>
  <c r="AH269" i="9"/>
  <c r="AD269" i="9"/>
  <c r="AX268" i="9"/>
  <c r="AS268" i="9"/>
  <c r="AR268" i="9"/>
  <c r="AQ268" i="9"/>
  <c r="AP268" i="9"/>
  <c r="AL268" i="9"/>
  <c r="AH268" i="9"/>
  <c r="AD268" i="9"/>
  <c r="AX267" i="9"/>
  <c r="AS267" i="9"/>
  <c r="AR267" i="9"/>
  <c r="AQ267" i="9"/>
  <c r="AP267" i="9"/>
  <c r="AL267" i="9"/>
  <c r="AH267" i="9"/>
  <c r="AD267" i="9"/>
  <c r="AX266" i="9"/>
  <c r="AS266" i="9"/>
  <c r="AR266" i="9"/>
  <c r="AQ266" i="9"/>
  <c r="AP266" i="9"/>
  <c r="AL266" i="9"/>
  <c r="AH266" i="9"/>
  <c r="AD266" i="9"/>
  <c r="AX265" i="9"/>
  <c r="AS265" i="9"/>
  <c r="AR265" i="9"/>
  <c r="AQ265" i="9"/>
  <c r="AP265" i="9"/>
  <c r="AL265" i="9"/>
  <c r="AH265" i="9"/>
  <c r="AD265" i="9"/>
  <c r="AX264" i="9"/>
  <c r="AX263" i="9" s="1"/>
  <c r="AS264" i="9"/>
  <c r="AR264" i="9"/>
  <c r="AQ264" i="9"/>
  <c r="AP264" i="9"/>
  <c r="AL264" i="9"/>
  <c r="AH264" i="9"/>
  <c r="AD264" i="9"/>
  <c r="AW263" i="9"/>
  <c r="AV263" i="9"/>
  <c r="AU263" i="9"/>
  <c r="AO263" i="9"/>
  <c r="AN263" i="9"/>
  <c r="AM263" i="9"/>
  <c r="AK263" i="9"/>
  <c r="AJ263" i="9"/>
  <c r="AI263" i="9"/>
  <c r="AG263" i="9"/>
  <c r="AF263" i="9"/>
  <c r="AE263" i="9"/>
  <c r="AC263" i="9"/>
  <c r="AB263" i="9"/>
  <c r="AA263" i="9"/>
  <c r="AX262" i="9"/>
  <c r="AS262" i="9"/>
  <c r="AR262" i="9"/>
  <c r="AQ262" i="9"/>
  <c r="AP262" i="9"/>
  <c r="AL262" i="9"/>
  <c r="AH262" i="9"/>
  <c r="AD262" i="9"/>
  <c r="AX261" i="9"/>
  <c r="AS261" i="9"/>
  <c r="AR261" i="9"/>
  <c r="AQ261" i="9"/>
  <c r="AP261" i="9"/>
  <c r="AL261" i="9"/>
  <c r="AH261" i="9"/>
  <c r="AD261" i="9"/>
  <c r="AX260" i="9"/>
  <c r="AS260" i="9"/>
  <c r="AR260" i="9"/>
  <c r="AQ260" i="9"/>
  <c r="AP260" i="9"/>
  <c r="AL260" i="9"/>
  <c r="AH260" i="9"/>
  <c r="AD260" i="9"/>
  <c r="AX259" i="9"/>
  <c r="AS259" i="9"/>
  <c r="AR259" i="9"/>
  <c r="AQ259" i="9"/>
  <c r="AP259" i="9"/>
  <c r="AL259" i="9"/>
  <c r="AH259" i="9"/>
  <c r="AD259" i="9"/>
  <c r="AX258" i="9"/>
  <c r="AS258" i="9"/>
  <c r="AR258" i="9"/>
  <c r="AQ258" i="9"/>
  <c r="AP258" i="9"/>
  <c r="AL258" i="9"/>
  <c r="AH258" i="9"/>
  <c r="AD258" i="9"/>
  <c r="AX257" i="9"/>
  <c r="AS257" i="9"/>
  <c r="AR257" i="9"/>
  <c r="AQ257" i="9"/>
  <c r="AP257" i="9"/>
  <c r="AL257" i="9"/>
  <c r="AH257" i="9"/>
  <c r="AD257" i="9"/>
  <c r="AX256" i="9"/>
  <c r="AS256" i="9"/>
  <c r="AR256" i="9"/>
  <c r="AQ256" i="9"/>
  <c r="AQ255" i="9" s="1"/>
  <c r="AP256" i="9"/>
  <c r="AP255" i="9" s="1"/>
  <c r="AL256" i="9"/>
  <c r="AH256" i="9"/>
  <c r="AD256" i="9"/>
  <c r="AD255" i="9" s="1"/>
  <c r="AX255" i="9"/>
  <c r="AW255" i="9"/>
  <c r="AV255" i="9"/>
  <c r="AU255" i="9"/>
  <c r="AO255" i="9"/>
  <c r="AN255" i="9"/>
  <c r="AM255" i="9"/>
  <c r="AK255" i="9"/>
  <c r="AJ255" i="9"/>
  <c r="AI255" i="9"/>
  <c r="AH255" i="9"/>
  <c r="AG255" i="9"/>
  <c r="AF255" i="9"/>
  <c r="AE255" i="9"/>
  <c r="AC255" i="9"/>
  <c r="AB255" i="9"/>
  <c r="AA255" i="9"/>
  <c r="AX254" i="9"/>
  <c r="AS254" i="9"/>
  <c r="AR254" i="9"/>
  <c r="AQ254" i="9"/>
  <c r="AP254" i="9"/>
  <c r="AL254" i="9"/>
  <c r="AH254" i="9"/>
  <c r="AD254" i="9"/>
  <c r="AX253" i="9"/>
  <c r="AS253" i="9"/>
  <c r="AS252" i="9" s="1"/>
  <c r="AS251" i="9" s="1"/>
  <c r="AR253" i="9"/>
  <c r="AR252" i="9" s="1"/>
  <c r="AR251" i="9" s="1"/>
  <c r="AQ253" i="9"/>
  <c r="AP253" i="9"/>
  <c r="AP252" i="9" s="1"/>
  <c r="AP251" i="9" s="1"/>
  <c r="AL253" i="9"/>
  <c r="AL252" i="9" s="1"/>
  <c r="AL251" i="9" s="1"/>
  <c r="AH253" i="9"/>
  <c r="AH252" i="9" s="1"/>
  <c r="AH251" i="9" s="1"/>
  <c r="AD253" i="9"/>
  <c r="AW252" i="9"/>
  <c r="AW251" i="9" s="1"/>
  <c r="AV252" i="9"/>
  <c r="AV251" i="9" s="1"/>
  <c r="AU252" i="9"/>
  <c r="AU251" i="9" s="1"/>
  <c r="AO252" i="9"/>
  <c r="AO251" i="9" s="1"/>
  <c r="AN252" i="9"/>
  <c r="AN251" i="9" s="1"/>
  <c r="AM252" i="9"/>
  <c r="AM251" i="9" s="1"/>
  <c r="AK252" i="9"/>
  <c r="AK251" i="9" s="1"/>
  <c r="AJ252" i="9"/>
  <c r="AJ251" i="9" s="1"/>
  <c r="AI252" i="9"/>
  <c r="AG252" i="9"/>
  <c r="AG251" i="9" s="1"/>
  <c r="AF252" i="9"/>
  <c r="AF251" i="9" s="1"/>
  <c r="AE252" i="9"/>
  <c r="AE251" i="9" s="1"/>
  <c r="AC252" i="9"/>
  <c r="AC251" i="9" s="1"/>
  <c r="AB252" i="9"/>
  <c r="AA252" i="9"/>
  <c r="AI251" i="9"/>
  <c r="AB251" i="9"/>
  <c r="AA251" i="9"/>
  <c r="AX250" i="9"/>
  <c r="AS250" i="9"/>
  <c r="AR250" i="9"/>
  <c r="AQ250" i="9"/>
  <c r="AP250" i="9"/>
  <c r="AL250" i="9"/>
  <c r="AH250" i="9"/>
  <c r="AD250" i="9"/>
  <c r="AX249" i="9"/>
  <c r="AS249" i="9"/>
  <c r="AR249" i="9"/>
  <c r="AQ249" i="9"/>
  <c r="AP249" i="9"/>
  <c r="AL249" i="9"/>
  <c r="AH249" i="9"/>
  <c r="AD249" i="9"/>
  <c r="AX248" i="9"/>
  <c r="AS248" i="9"/>
  <c r="AR248" i="9"/>
  <c r="AQ248" i="9"/>
  <c r="AP248" i="9"/>
  <c r="AL248" i="9"/>
  <c r="AH248" i="9"/>
  <c r="AD248" i="9"/>
  <c r="AX247" i="9"/>
  <c r="AS247" i="9"/>
  <c r="AS246" i="9" s="1"/>
  <c r="AS245" i="9" s="1"/>
  <c r="AR247" i="9"/>
  <c r="AQ247" i="9"/>
  <c r="AP247" i="9"/>
  <c r="AL247" i="9"/>
  <c r="AL246" i="9" s="1"/>
  <c r="AL245" i="9" s="1"/>
  <c r="AH247" i="9"/>
  <c r="AH246" i="9" s="1"/>
  <c r="AH245" i="9" s="1"/>
  <c r="AD247" i="9"/>
  <c r="AW246" i="9"/>
  <c r="AW245" i="9" s="1"/>
  <c r="AV246" i="9"/>
  <c r="AV245" i="9" s="1"/>
  <c r="AU246" i="9"/>
  <c r="AU245" i="9" s="1"/>
  <c r="AO246" i="9"/>
  <c r="AO245" i="9" s="1"/>
  <c r="AO244" i="9" s="1"/>
  <c r="AO243" i="9" s="1"/>
  <c r="AN246" i="9"/>
  <c r="AN245" i="9" s="1"/>
  <c r="AM246" i="9"/>
  <c r="AM245" i="9" s="1"/>
  <c r="AK246" i="9"/>
  <c r="AJ246" i="9"/>
  <c r="AJ245" i="9" s="1"/>
  <c r="AJ244" i="9" s="1"/>
  <c r="AI246" i="9"/>
  <c r="AI245" i="9" s="1"/>
  <c r="AG246" i="9"/>
  <c r="AG245" i="9" s="1"/>
  <c r="AF246" i="9"/>
  <c r="AF245" i="9" s="1"/>
  <c r="AE246" i="9"/>
  <c r="AE245" i="9" s="1"/>
  <c r="AE244" i="9" s="1"/>
  <c r="AE243" i="9" s="1"/>
  <c r="AC246" i="9"/>
  <c r="AC245" i="9" s="1"/>
  <c r="AB246" i="9"/>
  <c r="AB245" i="9" s="1"/>
  <c r="AB244" i="9" s="1"/>
  <c r="AB243" i="9" s="1"/>
  <c r="AA246" i="9"/>
  <c r="AK245" i="9"/>
  <c r="AA245" i="9"/>
  <c r="AX241" i="9"/>
  <c r="AS241" i="9"/>
  <c r="AS240" i="9" s="1"/>
  <c r="AR241" i="9"/>
  <c r="AR240" i="9" s="1"/>
  <c r="AQ241" i="9"/>
  <c r="AQ240" i="9" s="1"/>
  <c r="AP241" i="9"/>
  <c r="AL241" i="9"/>
  <c r="AL240" i="9" s="1"/>
  <c r="AH241" i="9"/>
  <c r="AH240" i="9" s="1"/>
  <c r="AD241" i="9"/>
  <c r="AD240" i="9" s="1"/>
  <c r="AX240" i="9"/>
  <c r="AW240" i="9"/>
  <c r="AV240" i="9"/>
  <c r="AU240" i="9"/>
  <c r="AP240" i="9"/>
  <c r="AO240" i="9"/>
  <c r="AN240" i="9"/>
  <c r="AM240" i="9"/>
  <c r="AK240" i="9"/>
  <c r="AJ240" i="9"/>
  <c r="AI240" i="9"/>
  <c r="AG240" i="9"/>
  <c r="AF240" i="9"/>
  <c r="AE240" i="9"/>
  <c r="AC240" i="9"/>
  <c r="AB240" i="9"/>
  <c r="AA240" i="9"/>
  <c r="AX239" i="9"/>
  <c r="AX238" i="9" s="1"/>
  <c r="AS239" i="9"/>
  <c r="AS238" i="9" s="1"/>
  <c r="AR239" i="9"/>
  <c r="AR238" i="9" s="1"/>
  <c r="AQ239" i="9"/>
  <c r="AP239" i="9"/>
  <c r="AL239" i="9"/>
  <c r="AL238" i="9" s="1"/>
  <c r="AH239" i="9"/>
  <c r="AD239" i="9"/>
  <c r="AD238" i="9" s="1"/>
  <c r="AW238" i="9"/>
  <c r="AV238" i="9"/>
  <c r="AU238" i="9"/>
  <c r="AP238" i="9"/>
  <c r="AO238" i="9"/>
  <c r="AN238" i="9"/>
  <c r="AM238" i="9"/>
  <c r="AK238" i="9"/>
  <c r="AJ238" i="9"/>
  <c r="AI238" i="9"/>
  <c r="AH238" i="9"/>
  <c r="AG238" i="9"/>
  <c r="AF238" i="9"/>
  <c r="AE238" i="9"/>
  <c r="AC238" i="9"/>
  <c r="AB238" i="9"/>
  <c r="AA238" i="9"/>
  <c r="AX237" i="9"/>
  <c r="AS237" i="9"/>
  <c r="AR237" i="9"/>
  <c r="AQ237" i="9"/>
  <c r="AP237" i="9"/>
  <c r="AL237" i="9"/>
  <c r="AH237" i="9"/>
  <c r="AD237" i="9"/>
  <c r="AX236" i="9"/>
  <c r="AS236" i="9"/>
  <c r="AR236" i="9"/>
  <c r="AQ236" i="9"/>
  <c r="AP236" i="9"/>
  <c r="AL236" i="9"/>
  <c r="AH236" i="9"/>
  <c r="AD236" i="9"/>
  <c r="AX235" i="9"/>
  <c r="AS235" i="9"/>
  <c r="AR235" i="9"/>
  <c r="AQ235" i="9"/>
  <c r="AP235" i="9"/>
  <c r="AL235" i="9"/>
  <c r="AH235" i="9"/>
  <c r="AD235" i="9"/>
  <c r="AX234" i="9"/>
  <c r="AX233" i="9" s="1"/>
  <c r="AS234" i="9"/>
  <c r="AR234" i="9"/>
  <c r="AQ234" i="9"/>
  <c r="AP234" i="9"/>
  <c r="AL234" i="9"/>
  <c r="AH234" i="9"/>
  <c r="AH233" i="9" s="1"/>
  <c r="AD234" i="9"/>
  <c r="AD233" i="9" s="1"/>
  <c r="AW233" i="9"/>
  <c r="AV233" i="9"/>
  <c r="AU233" i="9"/>
  <c r="AO233" i="9"/>
  <c r="AN233" i="9"/>
  <c r="AM233" i="9"/>
  <c r="AL233" i="9"/>
  <c r="AK233" i="9"/>
  <c r="AJ233" i="9"/>
  <c r="AI233" i="9"/>
  <c r="AG233" i="9"/>
  <c r="AF233" i="9"/>
  <c r="AE233" i="9"/>
  <c r="AC233" i="9"/>
  <c r="AB233" i="9"/>
  <c r="AA233" i="9"/>
  <c r="AX232" i="9"/>
  <c r="AP232" i="9"/>
  <c r="AL232" i="9"/>
  <c r="AH232" i="9"/>
  <c r="AD232" i="9"/>
  <c r="AX231" i="9"/>
  <c r="AS231" i="9"/>
  <c r="AR231" i="9"/>
  <c r="AQ231" i="9"/>
  <c r="AP231" i="9"/>
  <c r="AL231" i="9"/>
  <c r="AH231" i="9"/>
  <c r="AD231" i="9"/>
  <c r="AX230" i="9"/>
  <c r="AS230" i="9"/>
  <c r="AS229" i="9" s="1"/>
  <c r="AR230" i="9"/>
  <c r="AQ230" i="9"/>
  <c r="AP230" i="9"/>
  <c r="AP229" i="9" s="1"/>
  <c r="AL230" i="9"/>
  <c r="AL229" i="9" s="1"/>
  <c r="AH230" i="9"/>
  <c r="AH229" i="9" s="1"/>
  <c r="AD230" i="9"/>
  <c r="AX229" i="9"/>
  <c r="AW229" i="9"/>
  <c r="AV229" i="9"/>
  <c r="AU229" i="9"/>
  <c r="AO229" i="9"/>
  <c r="AN229" i="9"/>
  <c r="AM229" i="9"/>
  <c r="AK229" i="9"/>
  <c r="AJ229" i="9"/>
  <c r="AI229" i="9"/>
  <c r="AG229" i="9"/>
  <c r="AF229" i="9"/>
  <c r="AE229" i="9"/>
  <c r="AD229" i="9"/>
  <c r="AC229" i="9"/>
  <c r="AB229" i="9"/>
  <c r="AA229" i="9"/>
  <c r="AX228" i="9"/>
  <c r="AX227" i="9" s="1"/>
  <c r="AX226" i="9" s="1"/>
  <c r="AS228" i="9"/>
  <c r="AS227" i="9" s="1"/>
  <c r="AR228" i="9"/>
  <c r="AR227" i="9" s="1"/>
  <c r="AQ228" i="9"/>
  <c r="AP228" i="9"/>
  <c r="AP227" i="9" s="1"/>
  <c r="AL228" i="9"/>
  <c r="AL227" i="9" s="1"/>
  <c r="AH228" i="9"/>
  <c r="AH227" i="9" s="1"/>
  <c r="AH226" i="9" s="1"/>
  <c r="AD228" i="9"/>
  <c r="AW227" i="9"/>
  <c r="AV227" i="9"/>
  <c r="AU227" i="9"/>
  <c r="AU226" i="9" s="1"/>
  <c r="AO227" i="9"/>
  <c r="AN227" i="9"/>
  <c r="AM227" i="9"/>
  <c r="AK227" i="9"/>
  <c r="AJ227" i="9"/>
  <c r="AI227" i="9"/>
  <c r="AI226" i="9" s="1"/>
  <c r="AG227" i="9"/>
  <c r="AF227" i="9"/>
  <c r="AE227" i="9"/>
  <c r="AD227" i="9"/>
  <c r="AC227" i="9"/>
  <c r="AB227" i="9"/>
  <c r="AB226" i="9" s="1"/>
  <c r="AA227" i="9"/>
  <c r="AX225" i="9"/>
  <c r="AS225" i="9"/>
  <c r="AR225" i="9"/>
  <c r="AQ225" i="9"/>
  <c r="AP225" i="9"/>
  <c r="AL225" i="9"/>
  <c r="AH225" i="9"/>
  <c r="AD225" i="9"/>
  <c r="AX224" i="9"/>
  <c r="AS224" i="9"/>
  <c r="AR224" i="9"/>
  <c r="AQ224" i="9"/>
  <c r="AP224" i="9"/>
  <c r="AL224" i="9"/>
  <c r="AH224" i="9"/>
  <c r="AD224" i="9"/>
  <c r="AX223" i="9"/>
  <c r="AS223" i="9"/>
  <c r="AR223" i="9"/>
  <c r="AQ223" i="9"/>
  <c r="AP223" i="9"/>
  <c r="AL223" i="9"/>
  <c r="AH223" i="9"/>
  <c r="AD223" i="9"/>
  <c r="AX222" i="9"/>
  <c r="AS222" i="9"/>
  <c r="AR222" i="9"/>
  <c r="AQ222" i="9"/>
  <c r="AP222" i="9"/>
  <c r="AL222" i="9"/>
  <c r="AH222" i="9"/>
  <c r="AD222" i="9"/>
  <c r="AX221" i="9"/>
  <c r="AX220" i="9" s="1"/>
  <c r="AS221" i="9"/>
  <c r="AR221" i="9"/>
  <c r="AR220" i="9" s="1"/>
  <c r="AQ221" i="9"/>
  <c r="AP221" i="9"/>
  <c r="AH221" i="9"/>
  <c r="AH220" i="9" s="1"/>
  <c r="AD221" i="9"/>
  <c r="AW220" i="9"/>
  <c r="AV220" i="9"/>
  <c r="AU220" i="9"/>
  <c r="AO220" i="9"/>
  <c r="AN220" i="9"/>
  <c r="AM220" i="9"/>
  <c r="AK220" i="9"/>
  <c r="AJ220" i="9"/>
  <c r="AI220" i="9"/>
  <c r="AG220" i="9"/>
  <c r="AF220" i="9"/>
  <c r="AE220" i="9"/>
  <c r="AC220" i="9"/>
  <c r="AB220" i="9"/>
  <c r="AA220" i="9"/>
  <c r="AX219" i="9"/>
  <c r="AS219" i="9"/>
  <c r="AR219" i="9"/>
  <c r="AQ219" i="9"/>
  <c r="AP219" i="9"/>
  <c r="AL219" i="9"/>
  <c r="AH219" i="9"/>
  <c r="AD219" i="9"/>
  <c r="AX218" i="9"/>
  <c r="AS218" i="9"/>
  <c r="AR218" i="9"/>
  <c r="AQ218" i="9"/>
  <c r="AP218" i="9"/>
  <c r="AL218" i="9"/>
  <c r="AH218" i="9"/>
  <c r="AD218" i="9"/>
  <c r="AX217" i="9"/>
  <c r="AS217" i="9"/>
  <c r="AR217" i="9"/>
  <c r="AQ217" i="9"/>
  <c r="AP217" i="9"/>
  <c r="AL217" i="9"/>
  <c r="AH217" i="9"/>
  <c r="AD217" i="9"/>
  <c r="AX216" i="9"/>
  <c r="AS216" i="9"/>
  <c r="AR216" i="9"/>
  <c r="AQ216" i="9"/>
  <c r="AP216" i="9"/>
  <c r="AL216" i="9"/>
  <c r="AH216" i="9"/>
  <c r="AD216" i="9"/>
  <c r="AX215" i="9"/>
  <c r="AS215" i="9"/>
  <c r="AR215" i="9"/>
  <c r="AQ215" i="9"/>
  <c r="AP215" i="9"/>
  <c r="AL215" i="9"/>
  <c r="AH215" i="9"/>
  <c r="AD215" i="9"/>
  <c r="AX214" i="9"/>
  <c r="AS214" i="9"/>
  <c r="AR214" i="9"/>
  <c r="AQ214" i="9"/>
  <c r="AT214" i="9" s="1"/>
  <c r="AP214" i="9"/>
  <c r="AL214" i="9"/>
  <c r="AH214" i="9"/>
  <c r="AD214" i="9"/>
  <c r="AX213" i="9"/>
  <c r="AS213" i="9"/>
  <c r="AR213" i="9"/>
  <c r="AQ213" i="9"/>
  <c r="AP213" i="9"/>
  <c r="AL213" i="9"/>
  <c r="AH213" i="9"/>
  <c r="AD213" i="9"/>
  <c r="AX212" i="9"/>
  <c r="AX211" i="9" s="1"/>
  <c r="AX210" i="9" s="1"/>
  <c r="AX209" i="9" s="1"/>
  <c r="AS212" i="9"/>
  <c r="AR212" i="9"/>
  <c r="AR211" i="9" s="1"/>
  <c r="AQ212" i="9"/>
  <c r="AP212" i="9"/>
  <c r="AL212" i="9"/>
  <c r="AH212" i="9"/>
  <c r="AH211" i="9" s="1"/>
  <c r="AD212" i="9"/>
  <c r="AD211" i="9" s="1"/>
  <c r="AW211" i="9"/>
  <c r="AW210" i="9" s="1"/>
  <c r="AW209" i="9" s="1"/>
  <c r="AV211" i="9"/>
  <c r="AU211" i="9"/>
  <c r="AU210" i="9" s="1"/>
  <c r="AU209" i="9" s="1"/>
  <c r="AU208" i="9" s="1"/>
  <c r="AO211" i="9"/>
  <c r="AO210" i="9" s="1"/>
  <c r="AO209" i="9" s="1"/>
  <c r="AN211" i="9"/>
  <c r="AN210" i="9" s="1"/>
  <c r="AN209" i="9" s="1"/>
  <c r="AM211" i="9"/>
  <c r="AK211" i="9"/>
  <c r="AJ211" i="9"/>
  <c r="AJ210" i="9" s="1"/>
  <c r="AI211" i="9"/>
  <c r="AI210" i="9" s="1"/>
  <c r="AI209" i="9" s="1"/>
  <c r="AG211" i="9"/>
  <c r="AF211" i="9"/>
  <c r="AF210" i="9" s="1"/>
  <c r="AF209" i="9" s="1"/>
  <c r="AE211" i="9"/>
  <c r="AE210" i="9" s="1"/>
  <c r="AE209" i="9" s="1"/>
  <c r="AC211" i="9"/>
  <c r="AC210" i="9" s="1"/>
  <c r="AC209" i="9" s="1"/>
  <c r="AB211" i="9"/>
  <c r="AB210" i="9" s="1"/>
  <c r="AB209" i="9" s="1"/>
  <c r="AA211" i="9"/>
  <c r="AA210" i="9" s="1"/>
  <c r="AA209" i="9" s="1"/>
  <c r="AV210" i="9"/>
  <c r="AV209" i="9" s="1"/>
  <c r="AM210" i="9"/>
  <c r="AM209" i="9" s="1"/>
  <c r="AK210" i="9"/>
  <c r="AK209" i="9" s="1"/>
  <c r="AG210" i="9"/>
  <c r="AG209" i="9" s="1"/>
  <c r="AX207" i="9"/>
  <c r="AS207" i="9"/>
  <c r="AR207" i="9"/>
  <c r="AQ207" i="9"/>
  <c r="AP207" i="9"/>
  <c r="AL207" i="9"/>
  <c r="AH207" i="9"/>
  <c r="AD207" i="9"/>
  <c r="AX206" i="9"/>
  <c r="AS206" i="9"/>
  <c r="AR206" i="9"/>
  <c r="AQ206" i="9"/>
  <c r="AP206" i="9"/>
  <c r="AL206" i="9"/>
  <c r="AH206" i="9"/>
  <c r="AD206" i="9"/>
  <c r="AX205" i="9"/>
  <c r="AS205" i="9"/>
  <c r="AR205" i="9"/>
  <c r="AQ205" i="9"/>
  <c r="AP205" i="9"/>
  <c r="AL205" i="9"/>
  <c r="AH205" i="9"/>
  <c r="AD205" i="9"/>
  <c r="AX204" i="9"/>
  <c r="AS204" i="9"/>
  <c r="AR204" i="9"/>
  <c r="AR203" i="9" s="1"/>
  <c r="AQ204" i="9"/>
  <c r="AP204" i="9"/>
  <c r="AL204" i="9"/>
  <c r="AH204" i="9"/>
  <c r="AH203" i="9" s="1"/>
  <c r="AD204" i="9"/>
  <c r="AD203" i="9" s="1"/>
  <c r="AW203" i="9"/>
  <c r="AV203" i="9"/>
  <c r="AU203" i="9"/>
  <c r="AO203" i="9"/>
  <c r="AN203" i="9"/>
  <c r="AM203" i="9"/>
  <c r="AK203" i="9"/>
  <c r="AJ203" i="9"/>
  <c r="AI203" i="9"/>
  <c r="AG203" i="9"/>
  <c r="AF203" i="9"/>
  <c r="P139" i="11" s="1"/>
  <c r="AE203" i="9"/>
  <c r="AC203" i="9"/>
  <c r="AB203" i="9"/>
  <c r="AA203" i="9"/>
  <c r="AX202" i="9"/>
  <c r="AS202" i="9"/>
  <c r="AR202" i="9"/>
  <c r="AQ202" i="9"/>
  <c r="AP202" i="9"/>
  <c r="AL202" i="9"/>
  <c r="AH202" i="9"/>
  <c r="AD202" i="9"/>
  <c r="AX201" i="9"/>
  <c r="AS201" i="9"/>
  <c r="AR201" i="9"/>
  <c r="AQ201" i="9"/>
  <c r="AP201" i="9"/>
  <c r="AL201" i="9"/>
  <c r="AH201" i="9"/>
  <c r="AD201" i="9"/>
  <c r="AX200" i="9"/>
  <c r="AS200" i="9"/>
  <c r="AR200" i="9"/>
  <c r="AQ200" i="9"/>
  <c r="AP200" i="9"/>
  <c r="AL200" i="9"/>
  <c r="AH200" i="9"/>
  <c r="AD200" i="9"/>
  <c r="AX199" i="9"/>
  <c r="AS199" i="9"/>
  <c r="AR199" i="9"/>
  <c r="AQ199" i="9"/>
  <c r="AP199" i="9"/>
  <c r="AL199" i="9"/>
  <c r="AH199" i="9"/>
  <c r="AD199" i="9"/>
  <c r="AX198" i="9"/>
  <c r="AS198" i="9"/>
  <c r="AR198" i="9"/>
  <c r="AT198" i="9" s="1"/>
  <c r="AQ198" i="9"/>
  <c r="AP198" i="9"/>
  <c r="AL198" i="9"/>
  <c r="AH198" i="9"/>
  <c r="AD198" i="9"/>
  <c r="AX197" i="9"/>
  <c r="AS197" i="9"/>
  <c r="AR197" i="9"/>
  <c r="AT197" i="9" s="1"/>
  <c r="AQ197" i="9"/>
  <c r="AP197" i="9"/>
  <c r="AL197" i="9"/>
  <c r="AH197" i="9"/>
  <c r="AD197" i="9"/>
  <c r="AX196" i="9"/>
  <c r="AS196" i="9"/>
  <c r="AR196" i="9"/>
  <c r="AQ196" i="9"/>
  <c r="AP196" i="9"/>
  <c r="AL196" i="9"/>
  <c r="AH196" i="9"/>
  <c r="AD196" i="9"/>
  <c r="AW195" i="9"/>
  <c r="AV195" i="9"/>
  <c r="AU195" i="9"/>
  <c r="AO195" i="9"/>
  <c r="AN195" i="9"/>
  <c r="AM195" i="9"/>
  <c r="AK195" i="9"/>
  <c r="AJ195" i="9"/>
  <c r="AI195" i="9"/>
  <c r="AG195" i="9"/>
  <c r="AF195" i="9"/>
  <c r="AE195" i="9"/>
  <c r="AC195" i="9"/>
  <c r="AB195" i="9"/>
  <c r="AA195" i="9"/>
  <c r="AX194" i="9"/>
  <c r="AS194" i="9"/>
  <c r="AR194" i="9"/>
  <c r="AQ194" i="9"/>
  <c r="AP194" i="9"/>
  <c r="AL194" i="9"/>
  <c r="AH194" i="9"/>
  <c r="AD194" i="9"/>
  <c r="AX193" i="9"/>
  <c r="AS193" i="9"/>
  <c r="AR193" i="9"/>
  <c r="AQ193" i="9"/>
  <c r="AP193" i="9"/>
  <c r="AL193" i="9"/>
  <c r="AH193" i="9"/>
  <c r="AD193" i="9"/>
  <c r="AX192" i="9"/>
  <c r="AX191" i="9" s="1"/>
  <c r="AS192" i="9"/>
  <c r="AR192" i="9"/>
  <c r="AQ192" i="9"/>
  <c r="AT192" i="9" s="1"/>
  <c r="AP192" i="9"/>
  <c r="AL192" i="9"/>
  <c r="AH192" i="9"/>
  <c r="AH191" i="9" s="1"/>
  <c r="AD192" i="9"/>
  <c r="AD191" i="9" s="1"/>
  <c r="AW191" i="9"/>
  <c r="AV191" i="9"/>
  <c r="AU191" i="9"/>
  <c r="AO191" i="9"/>
  <c r="AN191" i="9"/>
  <c r="AM191" i="9"/>
  <c r="AL191" i="9"/>
  <c r="AK191" i="9"/>
  <c r="AJ191" i="9"/>
  <c r="AI191" i="9"/>
  <c r="AG191" i="9"/>
  <c r="AF191" i="9"/>
  <c r="AE191" i="9"/>
  <c r="AC191" i="9"/>
  <c r="AB191" i="9"/>
  <c r="AA191" i="9"/>
  <c r="AX190" i="9"/>
  <c r="AS190" i="9"/>
  <c r="AR190" i="9"/>
  <c r="AQ190" i="9"/>
  <c r="AP190" i="9"/>
  <c r="AL190" i="9"/>
  <c r="AH190" i="9"/>
  <c r="AD190" i="9"/>
  <c r="AX189" i="9"/>
  <c r="AX188" i="9" s="1"/>
  <c r="AS189" i="9"/>
  <c r="AS188" i="9" s="1"/>
  <c r="AR189" i="9"/>
  <c r="AR188" i="9" s="1"/>
  <c r="AQ189" i="9"/>
  <c r="AP189" i="9"/>
  <c r="AL189" i="9"/>
  <c r="AL188" i="9" s="1"/>
  <c r="AH189" i="9"/>
  <c r="AH188" i="9" s="1"/>
  <c r="AD189" i="9"/>
  <c r="AD188" i="9" s="1"/>
  <c r="AW188" i="9"/>
  <c r="AV188" i="9"/>
  <c r="AU188" i="9"/>
  <c r="AO188" i="9"/>
  <c r="AN188" i="9"/>
  <c r="AM188" i="9"/>
  <c r="AK188" i="9"/>
  <c r="AJ188" i="9"/>
  <c r="AI188" i="9"/>
  <c r="AG188" i="9"/>
  <c r="AF188" i="9"/>
  <c r="AE188" i="9"/>
  <c r="AC188" i="9"/>
  <c r="AB188" i="9"/>
  <c r="AA188" i="9"/>
  <c r="AX187" i="9"/>
  <c r="AS187" i="9"/>
  <c r="AR187" i="9"/>
  <c r="AQ187" i="9"/>
  <c r="AP187" i="9"/>
  <c r="AL187" i="9"/>
  <c r="AH187" i="9"/>
  <c r="AD187" i="9"/>
  <c r="AX186" i="9"/>
  <c r="AS186" i="9"/>
  <c r="AR186" i="9"/>
  <c r="AQ186" i="9"/>
  <c r="AQ185" i="9" s="1"/>
  <c r="AP186" i="9"/>
  <c r="AP185" i="9" s="1"/>
  <c r="AL186" i="9"/>
  <c r="AL185" i="9" s="1"/>
  <c r="AH186" i="9"/>
  <c r="AD186" i="9"/>
  <c r="AD185" i="9" s="1"/>
  <c r="AX185" i="9"/>
  <c r="AW185" i="9"/>
  <c r="AV185" i="9"/>
  <c r="AU185" i="9"/>
  <c r="AO185" i="9"/>
  <c r="AN185" i="9"/>
  <c r="AM185" i="9"/>
  <c r="AK185" i="9"/>
  <c r="AK184" i="9" s="1"/>
  <c r="AJ185" i="9"/>
  <c r="AI185" i="9"/>
  <c r="AH185" i="9"/>
  <c r="AG185" i="9"/>
  <c r="AF185" i="9"/>
  <c r="AE185" i="9"/>
  <c r="AC185" i="9"/>
  <c r="AC184" i="9" s="1"/>
  <c r="AB185" i="9"/>
  <c r="AA185" i="9"/>
  <c r="AG184" i="9"/>
  <c r="AG183" i="9" s="1"/>
  <c r="AX180" i="9"/>
  <c r="AS180" i="9"/>
  <c r="AR180" i="9"/>
  <c r="AQ180" i="9"/>
  <c r="AP180" i="9"/>
  <c r="AL180" i="9"/>
  <c r="AH180" i="9"/>
  <c r="AD180" i="9"/>
  <c r="AX179" i="9"/>
  <c r="AS179" i="9"/>
  <c r="AR179" i="9"/>
  <c r="AQ179" i="9"/>
  <c r="AP179" i="9"/>
  <c r="AL179" i="9"/>
  <c r="AH179" i="9"/>
  <c r="AD179" i="9"/>
  <c r="AX178" i="9"/>
  <c r="AS178" i="9"/>
  <c r="AS177" i="9" s="1"/>
  <c r="AR178" i="9"/>
  <c r="AQ178" i="9"/>
  <c r="AP178" i="9"/>
  <c r="AL178" i="9"/>
  <c r="AL177" i="9" s="1"/>
  <c r="AH178" i="9"/>
  <c r="AH177" i="9" s="1"/>
  <c r="AD178" i="9"/>
  <c r="AW177" i="9"/>
  <c r="AV177" i="9"/>
  <c r="AU177" i="9"/>
  <c r="AO177" i="9"/>
  <c r="AN177" i="9"/>
  <c r="AM177" i="9"/>
  <c r="AK177" i="9"/>
  <c r="AJ177" i="9"/>
  <c r="AI177" i="9"/>
  <c r="AG177" i="9"/>
  <c r="AF177" i="9"/>
  <c r="AE177" i="9"/>
  <c r="AC177" i="9"/>
  <c r="AB177" i="9"/>
  <c r="AA177" i="9"/>
  <c r="AX176" i="9"/>
  <c r="AX175" i="9" s="1"/>
  <c r="AS176" i="9"/>
  <c r="AS175" i="9" s="1"/>
  <c r="AR176" i="9"/>
  <c r="AR175" i="9" s="1"/>
  <c r="AQ176" i="9"/>
  <c r="AP176" i="9"/>
  <c r="AP175" i="9" s="1"/>
  <c r="AL176" i="9"/>
  <c r="AL175" i="9" s="1"/>
  <c r="AH176" i="9"/>
  <c r="AH175" i="9" s="1"/>
  <c r="AD176" i="9"/>
  <c r="AD175" i="9" s="1"/>
  <c r="AW175" i="9"/>
  <c r="AV175" i="9"/>
  <c r="AU175" i="9"/>
  <c r="AQ175" i="9"/>
  <c r="AO175" i="9"/>
  <c r="AN175" i="9"/>
  <c r="AM175" i="9"/>
  <c r="AK175" i="9"/>
  <c r="AK169" i="9" s="1"/>
  <c r="AJ175" i="9"/>
  <c r="AI175" i="9"/>
  <c r="AG175" i="9"/>
  <c r="AF175" i="9"/>
  <c r="P118" i="11" s="1"/>
  <c r="AE175" i="9"/>
  <c r="AC175" i="9"/>
  <c r="AB175" i="9"/>
  <c r="AA175" i="9"/>
  <c r="AA169" i="9" s="1"/>
  <c r="AX174" i="9"/>
  <c r="AS174" i="9"/>
  <c r="AR174" i="9"/>
  <c r="AQ174" i="9"/>
  <c r="AP174" i="9"/>
  <c r="AL174" i="9"/>
  <c r="AH174" i="9"/>
  <c r="AD174" i="9"/>
  <c r="AX173" i="9"/>
  <c r="AS173" i="9"/>
  <c r="AR173" i="9"/>
  <c r="AQ173" i="9"/>
  <c r="AP173" i="9"/>
  <c r="AL173" i="9"/>
  <c r="AH173" i="9"/>
  <c r="AD173" i="9"/>
  <c r="AX172" i="9"/>
  <c r="AS172" i="9"/>
  <c r="AR172" i="9"/>
  <c r="AQ172" i="9"/>
  <c r="AP172" i="9"/>
  <c r="AL172" i="9"/>
  <c r="AH172" i="9"/>
  <c r="AD172" i="9"/>
  <c r="AX171" i="9"/>
  <c r="AX170" i="9" s="1"/>
  <c r="AS171" i="9"/>
  <c r="AR171" i="9"/>
  <c r="AQ171" i="9"/>
  <c r="AP171" i="9"/>
  <c r="AP170" i="9" s="1"/>
  <c r="AL171" i="9"/>
  <c r="AH171" i="9"/>
  <c r="AH170" i="9" s="1"/>
  <c r="AH169" i="9" s="1"/>
  <c r="AD171" i="9"/>
  <c r="AD170" i="9" s="1"/>
  <c r="AW170" i="9"/>
  <c r="AV170" i="9"/>
  <c r="AU170" i="9"/>
  <c r="AO170" i="9"/>
  <c r="AO169" i="9" s="1"/>
  <c r="AN170" i="9"/>
  <c r="AM170" i="9"/>
  <c r="AM169" i="9" s="1"/>
  <c r="AK170" i="9"/>
  <c r="AJ170" i="9"/>
  <c r="AI170" i="9"/>
  <c r="AG170" i="9"/>
  <c r="AG169" i="9" s="1"/>
  <c r="AF170" i="9"/>
  <c r="P114" i="11" s="1"/>
  <c r="AE170" i="9"/>
  <c r="AC170" i="9"/>
  <c r="AB170" i="9"/>
  <c r="AB169" i="9" s="1"/>
  <c r="AA170" i="9"/>
  <c r="AU169" i="9"/>
  <c r="AX167" i="9"/>
  <c r="AX166" i="9" s="1"/>
  <c r="AS167" i="9"/>
  <c r="AR167" i="9"/>
  <c r="AR166" i="9" s="1"/>
  <c r="I50" i="16" s="1"/>
  <c r="AQ167" i="9"/>
  <c r="AP167" i="9"/>
  <c r="AP166" i="9" s="1"/>
  <c r="AL167" i="9"/>
  <c r="AL166" i="9" s="1"/>
  <c r="AH167" i="9"/>
  <c r="AH166" i="9" s="1"/>
  <c r="AD167" i="9"/>
  <c r="AD166" i="9" s="1"/>
  <c r="AW166" i="9"/>
  <c r="AV166" i="9"/>
  <c r="AU166" i="9"/>
  <c r="AS166" i="9"/>
  <c r="AO166" i="9"/>
  <c r="AN166" i="9"/>
  <c r="AM166" i="9"/>
  <c r="AK166" i="9"/>
  <c r="AJ166" i="9"/>
  <c r="AI166" i="9"/>
  <c r="AG166" i="9"/>
  <c r="AF166" i="9"/>
  <c r="AE166" i="9"/>
  <c r="AC166" i="9"/>
  <c r="AB166" i="9"/>
  <c r="AA166" i="9"/>
  <c r="AX165" i="9"/>
  <c r="AS165" i="9"/>
  <c r="AR165" i="9"/>
  <c r="AQ165" i="9"/>
  <c r="AP165" i="9"/>
  <c r="AL165" i="9"/>
  <c r="AH165" i="9"/>
  <c r="AD165" i="9"/>
  <c r="AX164" i="9"/>
  <c r="AS164" i="9"/>
  <c r="AR164" i="9"/>
  <c r="AQ164" i="9"/>
  <c r="AP164" i="9"/>
  <c r="AL164" i="9"/>
  <c r="AH164" i="9"/>
  <c r="AD164" i="9"/>
  <c r="AX163" i="9"/>
  <c r="AS163" i="9"/>
  <c r="AR163" i="9"/>
  <c r="AQ163" i="9"/>
  <c r="AP163" i="9"/>
  <c r="AL163" i="9"/>
  <c r="AH163" i="9"/>
  <c r="AD163" i="9"/>
  <c r="AD162" i="9" s="1"/>
  <c r="AW162" i="9"/>
  <c r="AV162" i="9"/>
  <c r="AU162" i="9"/>
  <c r="AO162" i="9"/>
  <c r="AN162" i="9"/>
  <c r="AM162" i="9"/>
  <c r="AK162" i="9"/>
  <c r="AJ162" i="9"/>
  <c r="AI162" i="9"/>
  <c r="AG162" i="9"/>
  <c r="AF162" i="9"/>
  <c r="AE162" i="9"/>
  <c r="AC162" i="9"/>
  <c r="AB162" i="9"/>
  <c r="AA162" i="9"/>
  <c r="AX161" i="9"/>
  <c r="AS161" i="9"/>
  <c r="AR161" i="9"/>
  <c r="AQ161" i="9"/>
  <c r="AP161" i="9"/>
  <c r="AL161" i="9"/>
  <c r="AH161" i="9"/>
  <c r="AD161" i="9"/>
  <c r="AX160" i="9"/>
  <c r="AS160" i="9"/>
  <c r="AR160" i="9"/>
  <c r="AQ160" i="9"/>
  <c r="AP160" i="9"/>
  <c r="AL160" i="9"/>
  <c r="AH160" i="9"/>
  <c r="AD160" i="9"/>
  <c r="AX159" i="9"/>
  <c r="AS159" i="9"/>
  <c r="AR159" i="9"/>
  <c r="AQ159" i="9"/>
  <c r="AP159" i="9"/>
  <c r="AL159" i="9"/>
  <c r="AL158" i="9" s="1"/>
  <c r="AH159" i="9"/>
  <c r="AH158" i="9" s="1"/>
  <c r="AD159" i="9"/>
  <c r="AX158" i="9"/>
  <c r="AW158" i="9"/>
  <c r="AV158" i="9"/>
  <c r="AU158" i="9"/>
  <c r="AP158" i="9"/>
  <c r="AO158" i="9"/>
  <c r="AN158" i="9"/>
  <c r="AM158" i="9"/>
  <c r="AK158" i="9"/>
  <c r="AJ158" i="9"/>
  <c r="AJ154" i="9" s="1"/>
  <c r="AI158" i="9"/>
  <c r="AG158" i="9"/>
  <c r="AF158" i="9"/>
  <c r="AE158" i="9"/>
  <c r="AC158" i="9"/>
  <c r="AB158" i="9"/>
  <c r="AA158" i="9"/>
  <c r="AX157" i="9"/>
  <c r="AS157" i="9"/>
  <c r="AR157" i="9"/>
  <c r="AQ157" i="9"/>
  <c r="AP157" i="9"/>
  <c r="AL157" i="9"/>
  <c r="AH157" i="9"/>
  <c r="AD157" i="9"/>
  <c r="AX156" i="9"/>
  <c r="AX155" i="9" s="1"/>
  <c r="AS156" i="9"/>
  <c r="AS155" i="9" s="1"/>
  <c r="AR156" i="9"/>
  <c r="AR155" i="9" s="1"/>
  <c r="AQ156" i="9"/>
  <c r="AP156" i="9"/>
  <c r="AL156" i="9"/>
  <c r="AL155" i="9" s="1"/>
  <c r="AH156" i="9"/>
  <c r="AH155" i="9" s="1"/>
  <c r="AD156" i="9"/>
  <c r="AD155" i="9" s="1"/>
  <c r="AW155" i="9"/>
  <c r="AV155" i="9"/>
  <c r="AV154" i="9" s="1"/>
  <c r="AV153" i="9" s="1"/>
  <c r="AU155" i="9"/>
  <c r="AO155" i="9"/>
  <c r="AN155" i="9"/>
  <c r="AN154" i="9" s="1"/>
  <c r="AM155" i="9"/>
  <c r="AK155" i="9"/>
  <c r="AJ155" i="9"/>
  <c r="AI155" i="9"/>
  <c r="AI154" i="9" s="1"/>
  <c r="AI153" i="9" s="1"/>
  <c r="AG155" i="9"/>
  <c r="AF155" i="9"/>
  <c r="AE155" i="9"/>
  <c r="AC155" i="9"/>
  <c r="AB155" i="9"/>
  <c r="AA155" i="9"/>
  <c r="AX152" i="9"/>
  <c r="AS152" i="9"/>
  <c r="AR152" i="9"/>
  <c r="AQ152" i="9"/>
  <c r="AP152" i="9"/>
  <c r="AL152" i="9"/>
  <c r="AH152" i="9"/>
  <c r="AD152" i="9"/>
  <c r="AX151" i="9"/>
  <c r="AS151" i="9"/>
  <c r="AR151" i="9"/>
  <c r="AQ151" i="9"/>
  <c r="AP151" i="9"/>
  <c r="AP150" i="9" s="1"/>
  <c r="AL151" i="9"/>
  <c r="AH151" i="9"/>
  <c r="AD151" i="9"/>
  <c r="AX150" i="9"/>
  <c r="AW150" i="9"/>
  <c r="AV150" i="9"/>
  <c r="AU150" i="9"/>
  <c r="AQ150" i="9"/>
  <c r="AO150" i="9"/>
  <c r="AN150" i="9"/>
  <c r="AM150" i="9"/>
  <c r="AK150" i="9"/>
  <c r="AJ150" i="9"/>
  <c r="AI150" i="9"/>
  <c r="AG150" i="9"/>
  <c r="AF150" i="9"/>
  <c r="AE150" i="9"/>
  <c r="AD150" i="9"/>
  <c r="AC150" i="9"/>
  <c r="AB150" i="9"/>
  <c r="AA150" i="9"/>
  <c r="AX149" i="9"/>
  <c r="AS149" i="9"/>
  <c r="AR149" i="9"/>
  <c r="AQ149" i="9"/>
  <c r="AP149" i="9"/>
  <c r="AL149" i="9"/>
  <c r="AH149" i="9"/>
  <c r="AD149" i="9"/>
  <c r="AX148" i="9"/>
  <c r="AS148" i="9"/>
  <c r="AR148" i="9"/>
  <c r="AQ148" i="9"/>
  <c r="AP148" i="9"/>
  <c r="AL148" i="9"/>
  <c r="AH148" i="9"/>
  <c r="AD148" i="9"/>
  <c r="AX147" i="9"/>
  <c r="AS147" i="9"/>
  <c r="AS146" i="9" s="1"/>
  <c r="AR147" i="9"/>
  <c r="AQ147" i="9"/>
  <c r="AP147" i="9"/>
  <c r="AL147" i="9"/>
  <c r="AL146" i="9" s="1"/>
  <c r="AH147" i="9"/>
  <c r="AH146" i="9" s="1"/>
  <c r="AD147" i="9"/>
  <c r="AW146" i="9"/>
  <c r="AV146" i="9"/>
  <c r="AU146" i="9"/>
  <c r="AU145" i="9" s="1"/>
  <c r="AO146" i="9"/>
  <c r="AN146" i="9"/>
  <c r="AM146" i="9"/>
  <c r="AK146" i="9"/>
  <c r="AK145" i="9" s="1"/>
  <c r="AJ146" i="9"/>
  <c r="AI146" i="9"/>
  <c r="AG146" i="9"/>
  <c r="AG145" i="9" s="1"/>
  <c r="AF146" i="9"/>
  <c r="AE146" i="9"/>
  <c r="AC146" i="9"/>
  <c r="AB146" i="9"/>
  <c r="AA146" i="9"/>
  <c r="AA145" i="9" s="1"/>
  <c r="AV145" i="9"/>
  <c r="AN145" i="9"/>
  <c r="AE145" i="9"/>
  <c r="AC145" i="9"/>
  <c r="AX144" i="9"/>
  <c r="AX143" i="9" s="1"/>
  <c r="AS144" i="9"/>
  <c r="AR144" i="9"/>
  <c r="AQ144" i="9"/>
  <c r="AT144" i="9" s="1"/>
  <c r="AT143" i="9" s="1"/>
  <c r="AP144" i="9"/>
  <c r="AP143" i="9" s="1"/>
  <c r="AL144" i="9"/>
  <c r="AH144" i="9"/>
  <c r="AD144" i="9"/>
  <c r="AD143" i="9" s="1"/>
  <c r="AW143" i="9"/>
  <c r="AV143" i="9"/>
  <c r="AU143" i="9"/>
  <c r="AS143" i="9"/>
  <c r="AR143" i="9"/>
  <c r="AO143" i="9"/>
  <c r="AN143" i="9"/>
  <c r="AM143" i="9"/>
  <c r="AL143" i="9"/>
  <c r="AK143" i="9"/>
  <c r="AJ143" i="9"/>
  <c r="AI143" i="9"/>
  <c r="AH143" i="9"/>
  <c r="AG143" i="9"/>
  <c r="AF143" i="9"/>
  <c r="AE143" i="9"/>
  <c r="AC143" i="9"/>
  <c r="AB143" i="9"/>
  <c r="AA143" i="9"/>
  <c r="AX142" i="9"/>
  <c r="AS142" i="9"/>
  <c r="AR142" i="9"/>
  <c r="AQ142" i="9"/>
  <c r="AT142" i="9" s="1"/>
  <c r="AP142" i="9"/>
  <c r="AL142" i="9"/>
  <c r="AH142" i="9"/>
  <c r="AD142" i="9"/>
  <c r="AX141" i="9"/>
  <c r="AX138" i="9" s="1"/>
  <c r="AX137" i="9" s="1"/>
  <c r="AP141" i="9"/>
  <c r="AL141" i="9"/>
  <c r="AH141" i="9"/>
  <c r="AD141" i="9"/>
  <c r="AX140" i="9"/>
  <c r="AS140" i="9"/>
  <c r="AR140" i="9"/>
  <c r="AQ140" i="9"/>
  <c r="AP140" i="9"/>
  <c r="AL140" i="9"/>
  <c r="AH140" i="9"/>
  <c r="AD140" i="9"/>
  <c r="AX139" i="9"/>
  <c r="AS139" i="9"/>
  <c r="AR139" i="9"/>
  <c r="AQ139" i="9"/>
  <c r="AP139" i="9"/>
  <c r="AL139" i="9"/>
  <c r="AH139" i="9"/>
  <c r="AH138" i="9" s="1"/>
  <c r="AH137" i="9" s="1"/>
  <c r="AD139" i="9"/>
  <c r="AW138" i="9"/>
  <c r="AV138" i="9"/>
  <c r="AV137" i="9" s="1"/>
  <c r="AU138" i="9"/>
  <c r="AO138" i="9"/>
  <c r="AO137" i="9" s="1"/>
  <c r="AN138" i="9"/>
  <c r="AN137" i="9" s="1"/>
  <c r="AM138" i="9"/>
  <c r="AL138" i="9"/>
  <c r="AL137" i="9" s="1"/>
  <c r="AK138" i="9"/>
  <c r="AK137" i="9" s="1"/>
  <c r="AJ138" i="9"/>
  <c r="AJ137" i="9" s="1"/>
  <c r="AI138" i="9"/>
  <c r="AG138" i="9"/>
  <c r="AF138" i="9"/>
  <c r="AF137" i="9" s="1"/>
  <c r="AE138" i="9"/>
  <c r="AE137" i="9" s="1"/>
  <c r="AC138" i="9"/>
  <c r="AC137" i="9" s="1"/>
  <c r="AB138" i="9"/>
  <c r="AB137" i="9" s="1"/>
  <c r="AA138" i="9"/>
  <c r="AA137" i="9" s="1"/>
  <c r="AW137" i="9"/>
  <c r="AU137" i="9"/>
  <c r="AM137" i="9"/>
  <c r="AI137" i="9"/>
  <c r="AG137" i="9"/>
  <c r="AX136" i="9"/>
  <c r="AS136" i="9"/>
  <c r="AR136" i="9"/>
  <c r="AQ136" i="9"/>
  <c r="AP136" i="9"/>
  <c r="AL136" i="9"/>
  <c r="AH136" i="9"/>
  <c r="AD136" i="9"/>
  <c r="AX135" i="9"/>
  <c r="AS135" i="9"/>
  <c r="AR135" i="9"/>
  <c r="AQ135" i="9"/>
  <c r="AP135" i="9"/>
  <c r="AL135" i="9"/>
  <c r="AH135" i="9"/>
  <c r="AD135" i="9"/>
  <c r="AX134" i="9"/>
  <c r="AS134" i="9"/>
  <c r="AR134" i="9"/>
  <c r="AQ134" i="9"/>
  <c r="AP134" i="9"/>
  <c r="AL134" i="9"/>
  <c r="AH134" i="9"/>
  <c r="AH132" i="9" s="1"/>
  <c r="AH130" i="9" s="1"/>
  <c r="AD134" i="9"/>
  <c r="AX133" i="9"/>
  <c r="AS133" i="9"/>
  <c r="AT133" i="9" s="1"/>
  <c r="AR133" i="9"/>
  <c r="AQ133" i="9"/>
  <c r="AP133" i="9"/>
  <c r="AL133" i="9"/>
  <c r="AL132" i="9" s="1"/>
  <c r="AH133" i="9"/>
  <c r="AD133" i="9"/>
  <c r="AX132" i="9"/>
  <c r="AW132" i="9"/>
  <c r="AW130" i="9" s="1"/>
  <c r="AV132" i="9"/>
  <c r="AU132" i="9"/>
  <c r="AP132" i="9"/>
  <c r="AO132" i="9"/>
  <c r="AO130" i="9" s="1"/>
  <c r="AN132" i="9"/>
  <c r="AM132" i="9"/>
  <c r="AK132" i="9"/>
  <c r="AK130" i="9" s="1"/>
  <c r="AJ132" i="9"/>
  <c r="AI132" i="9"/>
  <c r="AG132" i="9"/>
  <c r="AG130" i="9" s="1"/>
  <c r="AF132" i="9"/>
  <c r="AE132" i="9"/>
  <c r="AD132" i="9"/>
  <c r="AC132" i="9"/>
  <c r="AC130" i="9" s="1"/>
  <c r="AB132" i="9"/>
  <c r="AA132" i="9"/>
  <c r="AX131" i="9"/>
  <c r="AX130" i="9" s="1"/>
  <c r="AS131" i="9"/>
  <c r="AR131" i="9"/>
  <c r="AQ131" i="9"/>
  <c r="AP131" i="9"/>
  <c r="AP130" i="9" s="1"/>
  <c r="AL131" i="9"/>
  <c r="AL130" i="9" s="1"/>
  <c r="AH131" i="9"/>
  <c r="AD131" i="9"/>
  <c r="AV130" i="9"/>
  <c r="AU130" i="9"/>
  <c r="AN130" i="9"/>
  <c r="AM130" i="9"/>
  <c r="AJ130" i="9"/>
  <c r="AI130" i="9"/>
  <c r="AF130" i="9"/>
  <c r="AE130" i="9"/>
  <c r="AB130" i="9"/>
  <c r="AA130" i="9"/>
  <c r="AX129" i="9"/>
  <c r="AX128" i="9" s="1"/>
  <c r="AS129" i="9"/>
  <c r="AS128" i="9" s="1"/>
  <c r="AR129" i="9"/>
  <c r="AR128" i="9" s="1"/>
  <c r="AQ129" i="9"/>
  <c r="AP129" i="9"/>
  <c r="AL129" i="9"/>
  <c r="AL128" i="9" s="1"/>
  <c r="AH129" i="9"/>
  <c r="AH128" i="9" s="1"/>
  <c r="AD129" i="9"/>
  <c r="AD128" i="9" s="1"/>
  <c r="AW128" i="9"/>
  <c r="AV128" i="9"/>
  <c r="AU128" i="9"/>
  <c r="AP128" i="9"/>
  <c r="AO128" i="9"/>
  <c r="AN128" i="9"/>
  <c r="AM128" i="9"/>
  <c r="AK128" i="9"/>
  <c r="AJ128" i="9"/>
  <c r="AI128" i="9"/>
  <c r="AG128" i="9"/>
  <c r="AF128" i="9"/>
  <c r="AE128" i="9"/>
  <c r="AC128" i="9"/>
  <c r="AB128" i="9"/>
  <c r="AA128" i="9"/>
  <c r="AX127" i="9"/>
  <c r="AS127" i="9"/>
  <c r="AR127" i="9"/>
  <c r="AQ127" i="9"/>
  <c r="AP127" i="9"/>
  <c r="AL127" i="9"/>
  <c r="AH127" i="9"/>
  <c r="AD127" i="9"/>
  <c r="AX126" i="9"/>
  <c r="AS126" i="9"/>
  <c r="AR126" i="9"/>
  <c r="AQ126" i="9"/>
  <c r="AP126" i="9"/>
  <c r="AL126" i="9"/>
  <c r="AH126" i="9"/>
  <c r="AD126" i="9"/>
  <c r="AX125" i="9"/>
  <c r="AX124" i="9" s="1"/>
  <c r="AS125" i="9"/>
  <c r="AS124" i="9" s="1"/>
  <c r="AR125" i="9"/>
  <c r="AQ125" i="9"/>
  <c r="AP125" i="9"/>
  <c r="AL125" i="9"/>
  <c r="AL124" i="9" s="1"/>
  <c r="AH125" i="9"/>
  <c r="AH124" i="9" s="1"/>
  <c r="AD125" i="9"/>
  <c r="AD124" i="9" s="1"/>
  <c r="AW124" i="9"/>
  <c r="AV124" i="9"/>
  <c r="AU124" i="9"/>
  <c r="AU121" i="9" s="1"/>
  <c r="AO124" i="9"/>
  <c r="AO121" i="9" s="1"/>
  <c r="AN124" i="9"/>
  <c r="AN121" i="9" s="1"/>
  <c r="AN120" i="9" s="1"/>
  <c r="AM124" i="9"/>
  <c r="AK124" i="9"/>
  <c r="AK121" i="9" s="1"/>
  <c r="AK120" i="9" s="1"/>
  <c r="AJ124" i="9"/>
  <c r="AJ121" i="9" s="1"/>
  <c r="AJ120" i="9" s="1"/>
  <c r="AI124" i="9"/>
  <c r="AG124" i="9"/>
  <c r="AF124" i="9"/>
  <c r="AF121" i="9" s="1"/>
  <c r="AF120" i="9" s="1"/>
  <c r="AE124" i="9"/>
  <c r="AE121" i="9" s="1"/>
  <c r="AE120" i="9" s="1"/>
  <c r="AC124" i="9"/>
  <c r="AB124" i="9"/>
  <c r="AB121" i="9" s="1"/>
  <c r="AA124" i="9"/>
  <c r="AA121" i="9" s="1"/>
  <c r="AA120" i="9" s="1"/>
  <c r="AX123" i="9"/>
  <c r="AS123" i="9"/>
  <c r="AR123" i="9"/>
  <c r="AP123" i="9"/>
  <c r="AL123" i="9"/>
  <c r="AH123" i="9"/>
  <c r="AX122" i="9"/>
  <c r="AP122" i="9"/>
  <c r="AL122" i="9"/>
  <c r="AH122" i="9"/>
  <c r="AD122" i="9"/>
  <c r="AW121" i="9"/>
  <c r="AW120" i="9" s="1"/>
  <c r="AV121" i="9"/>
  <c r="AM121" i="9"/>
  <c r="AI121" i="9"/>
  <c r="AI120" i="9" s="1"/>
  <c r="AG121" i="9"/>
  <c r="AG120" i="9" s="1"/>
  <c r="AC121" i="9"/>
  <c r="AC120" i="9" s="1"/>
  <c r="AX119" i="9"/>
  <c r="AS119" i="9"/>
  <c r="AR119" i="9"/>
  <c r="AQ119" i="9"/>
  <c r="AP119" i="9"/>
  <c r="AL119" i="9"/>
  <c r="AH119" i="9"/>
  <c r="AD119" i="9"/>
  <c r="AX118" i="9"/>
  <c r="AS118" i="9"/>
  <c r="AR118" i="9"/>
  <c r="AQ118" i="9"/>
  <c r="AP118" i="9"/>
  <c r="AL118" i="9"/>
  <c r="AH118" i="9"/>
  <c r="AD118" i="9"/>
  <c r="AX117" i="9"/>
  <c r="AS117" i="9"/>
  <c r="AR117" i="9"/>
  <c r="AQ117" i="9"/>
  <c r="AP117" i="9"/>
  <c r="AL117" i="9"/>
  <c r="AH117" i="9"/>
  <c r="AD117" i="9"/>
  <c r="AX116" i="9"/>
  <c r="AS116" i="9"/>
  <c r="AR116" i="9"/>
  <c r="AQ116" i="9"/>
  <c r="AP116" i="9"/>
  <c r="AL116" i="9"/>
  <c r="AH116" i="9"/>
  <c r="AD116" i="9"/>
  <c r="AX115" i="9"/>
  <c r="AS115" i="9"/>
  <c r="AR115" i="9"/>
  <c r="AQ115" i="9"/>
  <c r="AP115" i="9"/>
  <c r="AL115" i="9"/>
  <c r="AH115" i="9"/>
  <c r="AD115" i="9"/>
  <c r="AX114" i="9"/>
  <c r="AS114" i="9"/>
  <c r="AQ114" i="9"/>
  <c r="AP114" i="9"/>
  <c r="AL114" i="9"/>
  <c r="AH114" i="9"/>
  <c r="AX113" i="9"/>
  <c r="AS113" i="9"/>
  <c r="AR113" i="9"/>
  <c r="AQ113" i="9"/>
  <c r="AP113" i="9"/>
  <c r="AL113" i="9"/>
  <c r="AH113" i="9"/>
  <c r="AD113" i="9"/>
  <c r="AW112" i="9"/>
  <c r="AV112" i="9"/>
  <c r="AU112" i="9"/>
  <c r="AO112" i="9"/>
  <c r="AN112" i="9"/>
  <c r="AM112" i="9"/>
  <c r="AK112" i="9"/>
  <c r="AJ112" i="9"/>
  <c r="AI112" i="9"/>
  <c r="AG112" i="9"/>
  <c r="AF112" i="9"/>
  <c r="AE112" i="9"/>
  <c r="AC112" i="9"/>
  <c r="AA112" i="9"/>
  <c r="AX111" i="9"/>
  <c r="AS111" i="9"/>
  <c r="AR111" i="9"/>
  <c r="AQ111" i="9"/>
  <c r="AP111" i="9"/>
  <c r="AL111" i="9"/>
  <c r="AH111" i="9"/>
  <c r="AD111" i="9"/>
  <c r="AX110" i="9"/>
  <c r="AS110" i="9"/>
  <c r="AR110" i="9"/>
  <c r="AQ110" i="9"/>
  <c r="AP110" i="9"/>
  <c r="AL110" i="9"/>
  <c r="AH110" i="9"/>
  <c r="AD110" i="9"/>
  <c r="AX109" i="9"/>
  <c r="AS109" i="9"/>
  <c r="AR109" i="9"/>
  <c r="AQ109" i="9"/>
  <c r="AP109" i="9"/>
  <c r="AL109" i="9"/>
  <c r="AH109" i="9"/>
  <c r="AD109" i="9"/>
  <c r="AX108" i="9"/>
  <c r="AS108" i="9"/>
  <c r="AR108" i="9"/>
  <c r="AQ108" i="9"/>
  <c r="AP108" i="9"/>
  <c r="AL108" i="9"/>
  <c r="AH108" i="9"/>
  <c r="AD108" i="9"/>
  <c r="AX107" i="9"/>
  <c r="AS107" i="9"/>
  <c r="AR107" i="9"/>
  <c r="AQ107" i="9"/>
  <c r="AP107" i="9"/>
  <c r="AL107" i="9"/>
  <c r="AH107" i="9"/>
  <c r="AD107" i="9"/>
  <c r="AX106" i="9"/>
  <c r="AS106" i="9"/>
  <c r="AR106" i="9"/>
  <c r="AQ106" i="9"/>
  <c r="AP106" i="9"/>
  <c r="AL106" i="9"/>
  <c r="AH106" i="9"/>
  <c r="AD106" i="9"/>
  <c r="AX105" i="9"/>
  <c r="AS105" i="9"/>
  <c r="AS104" i="9" s="1"/>
  <c r="AQ105" i="9"/>
  <c r="AP105" i="9"/>
  <c r="AL105" i="9"/>
  <c r="AH105" i="9"/>
  <c r="AR105" i="9"/>
  <c r="AW104" i="9"/>
  <c r="AV104" i="9"/>
  <c r="AU104" i="9"/>
  <c r="AO104" i="9"/>
  <c r="AN104" i="9"/>
  <c r="AM104" i="9"/>
  <c r="AK104" i="9"/>
  <c r="AJ104" i="9"/>
  <c r="AI104" i="9"/>
  <c r="AG104" i="9"/>
  <c r="AF104" i="9"/>
  <c r="AE104" i="9"/>
  <c r="AC104" i="9"/>
  <c r="AA104" i="9"/>
  <c r="AX103" i="9"/>
  <c r="AS103" i="9"/>
  <c r="AR103" i="9"/>
  <c r="AQ103" i="9"/>
  <c r="AQ101" i="9" s="1"/>
  <c r="AQ100" i="9" s="1"/>
  <c r="AP103" i="9"/>
  <c r="AL103" i="9"/>
  <c r="AH103" i="9"/>
  <c r="AD103" i="9"/>
  <c r="AX102" i="9"/>
  <c r="AX101" i="9" s="1"/>
  <c r="AX100" i="9" s="1"/>
  <c r="AS102" i="9"/>
  <c r="AQ102" i="9"/>
  <c r="AP102" i="9"/>
  <c r="AL102" i="9"/>
  <c r="AL101" i="9" s="1"/>
  <c r="AL100" i="9" s="1"/>
  <c r="AH102" i="9"/>
  <c r="AW101" i="9"/>
  <c r="AV101" i="9"/>
  <c r="AV100" i="9" s="1"/>
  <c r="AU101" i="9"/>
  <c r="AU100" i="9" s="1"/>
  <c r="AS101" i="9"/>
  <c r="AS100" i="9" s="1"/>
  <c r="AO101" i="9"/>
  <c r="AN101" i="9"/>
  <c r="AN100" i="9" s="1"/>
  <c r="AM101" i="9"/>
  <c r="AK101" i="9"/>
  <c r="AJ101" i="9"/>
  <c r="AJ100" i="9" s="1"/>
  <c r="AI101" i="9"/>
  <c r="AI100" i="9" s="1"/>
  <c r="AG101" i="9"/>
  <c r="AF101" i="9"/>
  <c r="AF100" i="9" s="1"/>
  <c r="AE101" i="9"/>
  <c r="AC101" i="9"/>
  <c r="AA101" i="9"/>
  <c r="AA100" i="9" s="1"/>
  <c r="AW100" i="9"/>
  <c r="AO100" i="9"/>
  <c r="AM100" i="9"/>
  <c r="AK100" i="9"/>
  <c r="AG100" i="9"/>
  <c r="AE100" i="9"/>
  <c r="AC100" i="9"/>
  <c r="AX99" i="9"/>
  <c r="AS99" i="9"/>
  <c r="AR99" i="9"/>
  <c r="AQ99" i="9"/>
  <c r="AP99" i="9"/>
  <c r="AL99" i="9"/>
  <c r="AH99" i="9"/>
  <c r="AD99" i="9"/>
  <c r="AX98" i="9"/>
  <c r="AS98" i="9"/>
  <c r="AR98" i="9"/>
  <c r="AQ98" i="9"/>
  <c r="AP98" i="9"/>
  <c r="AL98" i="9"/>
  <c r="AH98" i="9"/>
  <c r="AD98" i="9"/>
  <c r="AX97" i="9"/>
  <c r="AS97" i="9"/>
  <c r="AR97" i="9"/>
  <c r="AQ97" i="9"/>
  <c r="AP97" i="9"/>
  <c r="AL97" i="9"/>
  <c r="AD97" i="9"/>
  <c r="AX96" i="9"/>
  <c r="AS96" i="9"/>
  <c r="AQ96" i="9"/>
  <c r="AP96" i="9"/>
  <c r="AL96" i="9"/>
  <c r="AH96" i="9"/>
  <c r="AD96" i="9"/>
  <c r="AR96" i="9"/>
  <c r="AW95" i="9"/>
  <c r="AV95" i="9"/>
  <c r="AV94" i="9" s="1"/>
  <c r="AU95" i="9"/>
  <c r="AU94" i="9" s="1"/>
  <c r="AO95" i="9"/>
  <c r="AO94" i="9" s="1"/>
  <c r="AO93" i="9" s="1"/>
  <c r="AO92" i="9" s="1"/>
  <c r="AN95" i="9"/>
  <c r="AN94" i="9" s="1"/>
  <c r="AM95" i="9"/>
  <c r="AK95" i="9"/>
  <c r="AK94" i="9" s="1"/>
  <c r="AJ95" i="9"/>
  <c r="AJ94" i="9" s="1"/>
  <c r="AI95" i="9"/>
  <c r="AG95" i="9"/>
  <c r="AF95" i="9"/>
  <c r="AF94" i="9" s="1"/>
  <c r="AE95" i="9"/>
  <c r="AE94" i="9" s="1"/>
  <c r="AC95" i="9"/>
  <c r="AB95" i="9"/>
  <c r="AB94" i="9" s="1"/>
  <c r="AA95" i="9"/>
  <c r="AA94" i="9" s="1"/>
  <c r="AW94" i="9"/>
  <c r="AW93" i="9" s="1"/>
  <c r="AW92" i="9" s="1"/>
  <c r="AM94" i="9"/>
  <c r="AI94" i="9"/>
  <c r="AG94" i="9"/>
  <c r="AG93" i="9" s="1"/>
  <c r="AG92" i="9" s="1"/>
  <c r="AC94" i="9"/>
  <c r="AX90" i="9"/>
  <c r="AS90" i="9"/>
  <c r="AS89" i="9" s="1"/>
  <c r="AR90" i="9"/>
  <c r="AR89" i="9" s="1"/>
  <c r="AQ90" i="9"/>
  <c r="AP90" i="9"/>
  <c r="AP89" i="9" s="1"/>
  <c r="AL90" i="9"/>
  <c r="AL89" i="9" s="1"/>
  <c r="AH90" i="9"/>
  <c r="AH89" i="9" s="1"/>
  <c r="AD90" i="9"/>
  <c r="AX89" i="9"/>
  <c r="AW89" i="9"/>
  <c r="AV89" i="9"/>
  <c r="AU89" i="9"/>
  <c r="AQ89" i="9"/>
  <c r="AO89" i="9"/>
  <c r="AN89" i="9"/>
  <c r="AM89" i="9"/>
  <c r="AK89" i="9"/>
  <c r="AJ89" i="9"/>
  <c r="AI89" i="9"/>
  <c r="AG89" i="9"/>
  <c r="AF89" i="9"/>
  <c r="AE89" i="9"/>
  <c r="AD89" i="9"/>
  <c r="AC89" i="9"/>
  <c r="AB89" i="9"/>
  <c r="AA89" i="9"/>
  <c r="AX88" i="9"/>
  <c r="AX87" i="9" s="1"/>
  <c r="AS88" i="9"/>
  <c r="AS87" i="9" s="1"/>
  <c r="AR88" i="9"/>
  <c r="AR87" i="9" s="1"/>
  <c r="AQ88" i="9"/>
  <c r="AQ87" i="9" s="1"/>
  <c r="AP88" i="9"/>
  <c r="AP87" i="9" s="1"/>
  <c r="AL88" i="9"/>
  <c r="AL87" i="9" s="1"/>
  <c r="AH88" i="9"/>
  <c r="AH87" i="9" s="1"/>
  <c r="AD88" i="9"/>
  <c r="AD87" i="9" s="1"/>
  <c r="AW87" i="9"/>
  <c r="AV87" i="9"/>
  <c r="AU87" i="9"/>
  <c r="AO87" i="9"/>
  <c r="AN87" i="9"/>
  <c r="AM87" i="9"/>
  <c r="AK87" i="9"/>
  <c r="AJ87" i="9"/>
  <c r="AI87" i="9"/>
  <c r="AG87" i="9"/>
  <c r="AF87" i="9"/>
  <c r="AE87" i="9"/>
  <c r="AC87" i="9"/>
  <c r="AB87" i="9"/>
  <c r="AA87" i="9"/>
  <c r="AX86" i="9"/>
  <c r="AS86" i="9"/>
  <c r="AR86" i="9"/>
  <c r="AQ86" i="9"/>
  <c r="AP86" i="9"/>
  <c r="AL86" i="9"/>
  <c r="AH86" i="9"/>
  <c r="AD86" i="9"/>
  <c r="AX85" i="9"/>
  <c r="AS85" i="9"/>
  <c r="AR85" i="9"/>
  <c r="AQ85" i="9"/>
  <c r="AP85" i="9"/>
  <c r="AL85" i="9"/>
  <c r="AH85" i="9"/>
  <c r="AD85" i="9"/>
  <c r="AX84" i="9"/>
  <c r="AS84" i="9"/>
  <c r="AR84" i="9"/>
  <c r="AQ84" i="9"/>
  <c r="AP84" i="9"/>
  <c r="AL84" i="9"/>
  <c r="AH84" i="9"/>
  <c r="AD84" i="9"/>
  <c r="AX83" i="9"/>
  <c r="AS83" i="9"/>
  <c r="AR83" i="9"/>
  <c r="AQ83" i="9"/>
  <c r="AQ82" i="9" s="1"/>
  <c r="AP83" i="9"/>
  <c r="AP82" i="9" s="1"/>
  <c r="AL83" i="9"/>
  <c r="AL82" i="9" s="1"/>
  <c r="AH83" i="9"/>
  <c r="AH82" i="9" s="1"/>
  <c r="AD83" i="9"/>
  <c r="AW82" i="9"/>
  <c r="AV82" i="9"/>
  <c r="AU82" i="9"/>
  <c r="AS82" i="9"/>
  <c r="AO82" i="9"/>
  <c r="AN82" i="9"/>
  <c r="AM82" i="9"/>
  <c r="AK82" i="9"/>
  <c r="AJ82" i="9"/>
  <c r="AI82" i="9"/>
  <c r="AG82" i="9"/>
  <c r="AF82" i="9"/>
  <c r="AE82" i="9"/>
  <c r="AC82" i="9"/>
  <c r="AB82" i="9"/>
  <c r="AA82" i="9"/>
  <c r="AX81" i="9"/>
  <c r="AP81" i="9"/>
  <c r="AL81" i="9"/>
  <c r="AH81" i="9"/>
  <c r="AD81" i="9"/>
  <c r="AX80" i="9"/>
  <c r="AS80" i="9"/>
  <c r="AR80" i="9"/>
  <c r="AQ80" i="9"/>
  <c r="AP80" i="9"/>
  <c r="AL80" i="9"/>
  <c r="AH80" i="9"/>
  <c r="AD80" i="9"/>
  <c r="AX79" i="9"/>
  <c r="AS79" i="9"/>
  <c r="AS78" i="9" s="1"/>
  <c r="AR79" i="9"/>
  <c r="AR78" i="9" s="1"/>
  <c r="AQ79" i="9"/>
  <c r="AP79" i="9"/>
  <c r="AL79" i="9"/>
  <c r="AL78" i="9" s="1"/>
  <c r="AH79" i="9"/>
  <c r="AH78" i="9" s="1"/>
  <c r="AD79" i="9"/>
  <c r="AX78" i="9"/>
  <c r="AW78" i="9"/>
  <c r="AV78" i="9"/>
  <c r="AU78" i="9"/>
  <c r="AQ78" i="9"/>
  <c r="AP78" i="9"/>
  <c r="AO78" i="9"/>
  <c r="AN78" i="9"/>
  <c r="AM78" i="9"/>
  <c r="AK78" i="9"/>
  <c r="AJ78" i="9"/>
  <c r="AI78" i="9"/>
  <c r="AG78" i="9"/>
  <c r="AF78" i="9"/>
  <c r="AE78" i="9"/>
  <c r="AD78" i="9"/>
  <c r="AC78" i="9"/>
  <c r="AB78" i="9"/>
  <c r="AA78" i="9"/>
  <c r="AA75" i="9" s="1"/>
  <c r="AX77" i="9"/>
  <c r="AX76" i="9" s="1"/>
  <c r="AS77" i="9"/>
  <c r="AR77" i="9"/>
  <c r="AR76" i="9" s="1"/>
  <c r="AQ77" i="9"/>
  <c r="AQ76" i="9" s="1"/>
  <c r="AQ75" i="9" s="1"/>
  <c r="AP77" i="9"/>
  <c r="AP76" i="9" s="1"/>
  <c r="AL77" i="9"/>
  <c r="AH77" i="9"/>
  <c r="AH76" i="9" s="1"/>
  <c r="AD77" i="9"/>
  <c r="AD76" i="9" s="1"/>
  <c r="AW76" i="9"/>
  <c r="AV76" i="9"/>
  <c r="AU76" i="9"/>
  <c r="AU75" i="9" s="1"/>
  <c r="AS76" i="9"/>
  <c r="AS75" i="9" s="1"/>
  <c r="AO76" i="9"/>
  <c r="AN76" i="9"/>
  <c r="AM76" i="9"/>
  <c r="AL76" i="9"/>
  <c r="AK76" i="9"/>
  <c r="AJ76" i="9"/>
  <c r="AI76" i="9"/>
  <c r="AI75" i="9" s="1"/>
  <c r="AG76" i="9"/>
  <c r="AG75" i="9" s="1"/>
  <c r="AF76" i="9"/>
  <c r="AE76" i="9"/>
  <c r="AC76" i="9"/>
  <c r="AB76" i="9"/>
  <c r="AA76" i="9"/>
  <c r="AW75" i="9"/>
  <c r="AM75" i="9"/>
  <c r="AC75" i="9"/>
  <c r="AX74" i="9"/>
  <c r="AS74" i="9"/>
  <c r="AR74" i="9"/>
  <c r="AQ74" i="9"/>
  <c r="AT74" i="9" s="1"/>
  <c r="AP74" i="9"/>
  <c r="AL74" i="9"/>
  <c r="AH74" i="9"/>
  <c r="AD74" i="9"/>
  <c r="AX73" i="9"/>
  <c r="AS73" i="9"/>
  <c r="AR73" i="9"/>
  <c r="AQ73" i="9"/>
  <c r="AT73" i="9" s="1"/>
  <c r="AP73" i="9"/>
  <c r="AL73" i="9"/>
  <c r="AH73" i="9"/>
  <c r="AD73" i="9"/>
  <c r="AX72" i="9"/>
  <c r="AS72" i="9"/>
  <c r="AR72" i="9"/>
  <c r="AQ72" i="9"/>
  <c r="AP72" i="9"/>
  <c r="AL72" i="9"/>
  <c r="AH72" i="9"/>
  <c r="AD72" i="9"/>
  <c r="AX71" i="9"/>
  <c r="AS71" i="9"/>
  <c r="AS69" i="9" s="1"/>
  <c r="AQ71" i="9"/>
  <c r="AP71" i="9"/>
  <c r="AL71" i="9"/>
  <c r="AH71" i="9"/>
  <c r="AD71" i="9"/>
  <c r="AX70" i="9"/>
  <c r="AX69" i="9" s="1"/>
  <c r="AS70" i="9"/>
  <c r="AQ70" i="9"/>
  <c r="AP70" i="9"/>
  <c r="AL70" i="9"/>
  <c r="AL69" i="9" s="1"/>
  <c r="AH70" i="9"/>
  <c r="AW69" i="9"/>
  <c r="AV69" i="9"/>
  <c r="AU69" i="9"/>
  <c r="AO69" i="9"/>
  <c r="AN69" i="9"/>
  <c r="AM69" i="9"/>
  <c r="AK69" i="9"/>
  <c r="AJ69" i="9"/>
  <c r="AI69" i="9"/>
  <c r="AG69" i="9"/>
  <c r="AF69" i="9"/>
  <c r="AE69" i="9"/>
  <c r="AC69" i="9"/>
  <c r="AA69" i="9"/>
  <c r="AX68" i="9"/>
  <c r="AS68" i="9"/>
  <c r="AR68" i="9"/>
  <c r="AQ68" i="9"/>
  <c r="AP68" i="9"/>
  <c r="AL68" i="9"/>
  <c r="AH68" i="9"/>
  <c r="AD68" i="9"/>
  <c r="AX67" i="9"/>
  <c r="AS67" i="9"/>
  <c r="AQ67" i="9"/>
  <c r="AP67" i="9"/>
  <c r="AL67" i="9"/>
  <c r="AH67" i="9"/>
  <c r="AD67" i="9"/>
  <c r="AR67" i="9"/>
  <c r="AX66" i="9"/>
  <c r="AS66" i="9"/>
  <c r="AR66" i="9"/>
  <c r="AQ66" i="9"/>
  <c r="AP66" i="9"/>
  <c r="AL66" i="9"/>
  <c r="AH66" i="9"/>
  <c r="AD66" i="9"/>
  <c r="AX65" i="9"/>
  <c r="AS65" i="9"/>
  <c r="AR65" i="9"/>
  <c r="AQ65" i="9"/>
  <c r="AP65" i="9"/>
  <c r="AL65" i="9"/>
  <c r="AH65" i="9"/>
  <c r="AD65" i="9"/>
  <c r="AX64" i="9"/>
  <c r="AS64" i="9"/>
  <c r="AR64" i="9"/>
  <c r="AQ64" i="9"/>
  <c r="AP64" i="9"/>
  <c r="AL64" i="9"/>
  <c r="AH64" i="9"/>
  <c r="AD64" i="9"/>
  <c r="AX63" i="9"/>
  <c r="AS63" i="9"/>
  <c r="AR63" i="9"/>
  <c r="AQ63" i="9"/>
  <c r="AP63" i="9"/>
  <c r="AL63" i="9"/>
  <c r="AH63" i="9"/>
  <c r="AD63" i="9"/>
  <c r="AX62" i="9"/>
  <c r="AS62" i="9"/>
  <c r="AR62" i="9"/>
  <c r="AQ62" i="9"/>
  <c r="AP62" i="9"/>
  <c r="AL62" i="9"/>
  <c r="AH62" i="9"/>
  <c r="AD62" i="9"/>
  <c r="AX61" i="9"/>
  <c r="AS61" i="9"/>
  <c r="AS60" i="9" s="1"/>
  <c r="AS59" i="9" s="1"/>
  <c r="AP61" i="9"/>
  <c r="AL61" i="9"/>
  <c r="AH61" i="9"/>
  <c r="AR61" i="9"/>
  <c r="AW60" i="9"/>
  <c r="AW59" i="9" s="1"/>
  <c r="AW58" i="9" s="1"/>
  <c r="AW57" i="9" s="1"/>
  <c r="AV60" i="9"/>
  <c r="AV59" i="9" s="1"/>
  <c r="AU60" i="9"/>
  <c r="AU59" i="9" s="1"/>
  <c r="AO60" i="9"/>
  <c r="AN60" i="9"/>
  <c r="AN59" i="9" s="1"/>
  <c r="AN58" i="9" s="1"/>
  <c r="AM60" i="9"/>
  <c r="AM59" i="9" s="1"/>
  <c r="AM58" i="9" s="1"/>
  <c r="AM57" i="9" s="1"/>
  <c r="AK60" i="9"/>
  <c r="AK59" i="9" s="1"/>
  <c r="AK58" i="9" s="1"/>
  <c r="AJ60" i="9"/>
  <c r="AJ59" i="9" s="1"/>
  <c r="AI60" i="9"/>
  <c r="AI59" i="9" s="1"/>
  <c r="AI58" i="9" s="1"/>
  <c r="AG60" i="9"/>
  <c r="AG59" i="9" s="1"/>
  <c r="AG58" i="9" s="1"/>
  <c r="AF60" i="9"/>
  <c r="AF59" i="9" s="1"/>
  <c r="AE60" i="9"/>
  <c r="AE59" i="9" s="1"/>
  <c r="AC60" i="9"/>
  <c r="AC59" i="9" s="1"/>
  <c r="AC58" i="9" s="1"/>
  <c r="AC57" i="9" s="1"/>
  <c r="AB60" i="9"/>
  <c r="AB59" i="9" s="1"/>
  <c r="AO59" i="9"/>
  <c r="AO58" i="9" s="1"/>
  <c r="AX56" i="9"/>
  <c r="AS56" i="9"/>
  <c r="AT56" i="9" s="1"/>
  <c r="AR56" i="9"/>
  <c r="AQ56" i="9"/>
  <c r="AP56" i="9"/>
  <c r="AL56" i="9"/>
  <c r="AH56" i="9"/>
  <c r="AD56" i="9"/>
  <c r="AX55" i="9"/>
  <c r="AS55" i="9"/>
  <c r="AR55" i="9"/>
  <c r="AQ55" i="9"/>
  <c r="AP55" i="9"/>
  <c r="AL55" i="9"/>
  <c r="AH55" i="9"/>
  <c r="AD55" i="9"/>
  <c r="AX54" i="9"/>
  <c r="AS54" i="9"/>
  <c r="AR54" i="9"/>
  <c r="AQ54" i="9"/>
  <c r="AP54" i="9"/>
  <c r="AL54" i="9"/>
  <c r="AH54" i="9"/>
  <c r="AD54" i="9"/>
  <c r="AX53" i="9"/>
  <c r="AX52" i="9" s="1"/>
  <c r="AS53" i="9"/>
  <c r="AS52" i="9" s="1"/>
  <c r="AR53" i="9"/>
  <c r="AQ53" i="9"/>
  <c r="AP53" i="9"/>
  <c r="AL53" i="9"/>
  <c r="AL52" i="9" s="1"/>
  <c r="AH53" i="9"/>
  <c r="AH52" i="9" s="1"/>
  <c r="AD53" i="9"/>
  <c r="AD52" i="9" s="1"/>
  <c r="AW52" i="9"/>
  <c r="AV52" i="9"/>
  <c r="AU52" i="9"/>
  <c r="AQ52" i="9"/>
  <c r="AO52" i="9"/>
  <c r="AN52" i="9"/>
  <c r="AM52" i="9"/>
  <c r="AK52" i="9"/>
  <c r="AJ52" i="9"/>
  <c r="AI52" i="9"/>
  <c r="AG52" i="9"/>
  <c r="AF52" i="9"/>
  <c r="AE52" i="9"/>
  <c r="AC52" i="9"/>
  <c r="AB52" i="9"/>
  <c r="AA52" i="9"/>
  <c r="AX51" i="9"/>
  <c r="AS51" i="9"/>
  <c r="AR51" i="9"/>
  <c r="AQ51" i="9"/>
  <c r="AP51" i="9"/>
  <c r="AL51" i="9"/>
  <c r="AH51" i="9"/>
  <c r="AD51" i="9"/>
  <c r="AX50" i="9"/>
  <c r="AS50" i="9"/>
  <c r="AR50" i="9"/>
  <c r="AQ50" i="9"/>
  <c r="AP50" i="9"/>
  <c r="AL50" i="9"/>
  <c r="AH50" i="9"/>
  <c r="AD50" i="9"/>
  <c r="AX49" i="9"/>
  <c r="AS49" i="9"/>
  <c r="AR49" i="9"/>
  <c r="AQ49" i="9"/>
  <c r="AP49" i="9"/>
  <c r="AL49" i="9"/>
  <c r="AH49" i="9"/>
  <c r="AD49" i="9"/>
  <c r="AX48" i="9"/>
  <c r="AS48" i="9"/>
  <c r="AR48" i="9"/>
  <c r="AQ48" i="9"/>
  <c r="AP48" i="9"/>
  <c r="AL48" i="9"/>
  <c r="AH48" i="9"/>
  <c r="AD48" i="9"/>
  <c r="AX47" i="9"/>
  <c r="AS47" i="9"/>
  <c r="AR47" i="9"/>
  <c r="AQ47" i="9"/>
  <c r="AP47" i="9"/>
  <c r="AL47" i="9"/>
  <c r="AH47" i="9"/>
  <c r="AD47" i="9"/>
  <c r="AX46" i="9"/>
  <c r="AS46" i="9"/>
  <c r="AR46" i="9"/>
  <c r="AQ46" i="9"/>
  <c r="AP46" i="9"/>
  <c r="AL46" i="9"/>
  <c r="AH46" i="9"/>
  <c r="AD46" i="9"/>
  <c r="AX45" i="9"/>
  <c r="AS45" i="9"/>
  <c r="AR45" i="9"/>
  <c r="AQ45" i="9"/>
  <c r="AP45" i="9"/>
  <c r="AL45" i="9"/>
  <c r="AH45" i="9"/>
  <c r="AD45" i="9"/>
  <c r="AW44" i="9"/>
  <c r="AV44" i="9"/>
  <c r="AU44" i="9"/>
  <c r="AQ44" i="9"/>
  <c r="AO44" i="9"/>
  <c r="AN44" i="9"/>
  <c r="AM44" i="9"/>
  <c r="AK44" i="9"/>
  <c r="AJ44" i="9"/>
  <c r="AI44" i="9"/>
  <c r="AG44" i="9"/>
  <c r="AF44" i="9"/>
  <c r="AE44" i="9"/>
  <c r="AC44" i="9"/>
  <c r="AB44" i="9"/>
  <c r="AA44" i="9"/>
  <c r="AX43" i="9"/>
  <c r="AS43" i="9"/>
  <c r="AR43" i="9"/>
  <c r="AQ43" i="9"/>
  <c r="AP43" i="9"/>
  <c r="AL43" i="9"/>
  <c r="AH43" i="9"/>
  <c r="AD43" i="9"/>
  <c r="AX42" i="9"/>
  <c r="AS42" i="9"/>
  <c r="AR42" i="9"/>
  <c r="AQ42" i="9"/>
  <c r="AP42" i="9"/>
  <c r="AL42" i="9"/>
  <c r="AH42" i="9"/>
  <c r="AD42" i="9"/>
  <c r="AX41" i="9"/>
  <c r="AX40" i="9" s="1"/>
  <c r="AS41" i="9"/>
  <c r="AS40" i="9" s="1"/>
  <c r="AR41" i="9"/>
  <c r="AQ41" i="9"/>
  <c r="AP41" i="9"/>
  <c r="AL41" i="9"/>
  <c r="AL40" i="9" s="1"/>
  <c r="AH41" i="9"/>
  <c r="AD41" i="9"/>
  <c r="AW40" i="9"/>
  <c r="AV40" i="9"/>
  <c r="AU40" i="9"/>
  <c r="AQ40" i="9"/>
  <c r="AO40" i="9"/>
  <c r="AN40" i="9"/>
  <c r="AM40" i="9"/>
  <c r="AK40" i="9"/>
  <c r="AJ40" i="9"/>
  <c r="AI40" i="9"/>
  <c r="AH40" i="9"/>
  <c r="AG40" i="9"/>
  <c r="AF40" i="9"/>
  <c r="AE40" i="9"/>
  <c r="AD40" i="9"/>
  <c r="AC40" i="9"/>
  <c r="AB40" i="9"/>
  <c r="AA40" i="9"/>
  <c r="AX39" i="9"/>
  <c r="AS39" i="9"/>
  <c r="AR39" i="9"/>
  <c r="AQ39" i="9"/>
  <c r="AP39" i="9"/>
  <c r="AL39" i="9"/>
  <c r="AH39" i="9"/>
  <c r="AD39" i="9"/>
  <c r="AX38" i="9"/>
  <c r="AX37" i="9" s="1"/>
  <c r="AS38" i="9"/>
  <c r="AS37" i="9" s="1"/>
  <c r="AR38" i="9"/>
  <c r="AR37" i="9" s="1"/>
  <c r="AQ38" i="9"/>
  <c r="AP38" i="9"/>
  <c r="AL38" i="9"/>
  <c r="AL37" i="9" s="1"/>
  <c r="AH38" i="9"/>
  <c r="AH37" i="9" s="1"/>
  <c r="AD38" i="9"/>
  <c r="AD37" i="9" s="1"/>
  <c r="AW37" i="9"/>
  <c r="AV37" i="9"/>
  <c r="AU37" i="9"/>
  <c r="AQ37" i="9"/>
  <c r="AO37" i="9"/>
  <c r="AN37" i="9"/>
  <c r="AM37" i="9"/>
  <c r="AK37" i="9"/>
  <c r="AK33" i="9" s="1"/>
  <c r="AK32" i="9" s="1"/>
  <c r="AK31" i="9" s="1"/>
  <c r="AJ37" i="9"/>
  <c r="AI37" i="9"/>
  <c r="AG37" i="9"/>
  <c r="AF37" i="9"/>
  <c r="AE37" i="9"/>
  <c r="AC37" i="9"/>
  <c r="AB37" i="9"/>
  <c r="AA37" i="9"/>
  <c r="AA33" i="9" s="1"/>
  <c r="AA32" i="9" s="1"/>
  <c r="AA31" i="9" s="1"/>
  <c r="AX36" i="9"/>
  <c r="AS36" i="9"/>
  <c r="AR36" i="9"/>
  <c r="AQ36" i="9"/>
  <c r="AP36" i="9"/>
  <c r="AL36" i="9"/>
  <c r="AH36" i="9"/>
  <c r="AD36" i="9"/>
  <c r="AX35" i="9"/>
  <c r="AX34" i="9" s="1"/>
  <c r="AS35" i="9"/>
  <c r="AS34" i="9" s="1"/>
  <c r="AS33" i="9" s="1"/>
  <c r="AR35" i="9"/>
  <c r="AQ35" i="9"/>
  <c r="AQ34" i="9" s="1"/>
  <c r="AQ33" i="9" s="1"/>
  <c r="AP35" i="9"/>
  <c r="AP34" i="9" s="1"/>
  <c r="AL35" i="9"/>
  <c r="AL34" i="9" s="1"/>
  <c r="AH35" i="9"/>
  <c r="AH34" i="9" s="1"/>
  <c r="AD35" i="9"/>
  <c r="AD34" i="9" s="1"/>
  <c r="AW34" i="9"/>
  <c r="AV34" i="9"/>
  <c r="AV33" i="9" s="1"/>
  <c r="AU34" i="9"/>
  <c r="AO34" i="9"/>
  <c r="AO33" i="9" s="1"/>
  <c r="AN34" i="9"/>
  <c r="AM34" i="9"/>
  <c r="AK34" i="9"/>
  <c r="AJ34" i="9"/>
  <c r="AJ33" i="9" s="1"/>
  <c r="AI34" i="9"/>
  <c r="AG34" i="9"/>
  <c r="AF34" i="9"/>
  <c r="AE34" i="9"/>
  <c r="AE33" i="9" s="1"/>
  <c r="AC34" i="9"/>
  <c r="AB34" i="9"/>
  <c r="AA34" i="9"/>
  <c r="AW33" i="9"/>
  <c r="AX29" i="9"/>
  <c r="AS29" i="9"/>
  <c r="AR29" i="9"/>
  <c r="AQ29" i="9"/>
  <c r="AP29" i="9"/>
  <c r="AL29" i="9"/>
  <c r="AH29" i="9"/>
  <c r="AD29" i="9"/>
  <c r="AX28" i="9"/>
  <c r="AS28" i="9"/>
  <c r="AR28" i="9"/>
  <c r="AQ28" i="9"/>
  <c r="AP28" i="9"/>
  <c r="AL28" i="9"/>
  <c r="AH28" i="9"/>
  <c r="AD28" i="9"/>
  <c r="AX27" i="9"/>
  <c r="AS27" i="9"/>
  <c r="AR27" i="9"/>
  <c r="AQ27" i="9"/>
  <c r="AP27" i="9"/>
  <c r="AL27" i="9"/>
  <c r="AL26" i="9" s="1"/>
  <c r="AH27" i="9"/>
  <c r="AH26" i="9" s="1"/>
  <c r="AD27" i="9"/>
  <c r="AD26" i="9" s="1"/>
  <c r="AX26" i="9"/>
  <c r="AW26" i="9"/>
  <c r="AV26" i="9"/>
  <c r="AU26" i="9"/>
  <c r="AP26" i="9"/>
  <c r="AO26" i="9"/>
  <c r="AN26" i="9"/>
  <c r="AM26" i="9"/>
  <c r="AK26" i="9"/>
  <c r="AJ26" i="9"/>
  <c r="AI26" i="9"/>
  <c r="AG26" i="9"/>
  <c r="AF26" i="9"/>
  <c r="AE26" i="9"/>
  <c r="AC26" i="9"/>
  <c r="AB26" i="9"/>
  <c r="AA26" i="9"/>
  <c r="AX25" i="9"/>
  <c r="AS25" i="9"/>
  <c r="AS24" i="9" s="1"/>
  <c r="AR25" i="9"/>
  <c r="AQ25" i="9"/>
  <c r="AQ24" i="9" s="1"/>
  <c r="AP25" i="9"/>
  <c r="AP24" i="9" s="1"/>
  <c r="AL25" i="9"/>
  <c r="AL24" i="9" s="1"/>
  <c r="AH25" i="9"/>
  <c r="AH24" i="9" s="1"/>
  <c r="AD25" i="9"/>
  <c r="AD24" i="9" s="1"/>
  <c r="AX24" i="9"/>
  <c r="AW24" i="9"/>
  <c r="AV24" i="9"/>
  <c r="AU24" i="9"/>
  <c r="AR24" i="9"/>
  <c r="AO24" i="9"/>
  <c r="AN24" i="9"/>
  <c r="AM24" i="9"/>
  <c r="AK24" i="9"/>
  <c r="AJ24" i="9"/>
  <c r="AI24" i="9"/>
  <c r="AG24" i="9"/>
  <c r="AF24" i="9"/>
  <c r="AE24" i="9"/>
  <c r="AC24" i="9"/>
  <c r="AB24" i="9"/>
  <c r="AA24" i="9"/>
  <c r="AX23" i="9"/>
  <c r="AX22" i="9" s="1"/>
  <c r="AS23" i="9"/>
  <c r="AR23" i="9"/>
  <c r="AR22" i="9" s="1"/>
  <c r="AQ23" i="9"/>
  <c r="AP23" i="9"/>
  <c r="AP22" i="9" s="1"/>
  <c r="AL23" i="9"/>
  <c r="AL22" i="9" s="1"/>
  <c r="AH23" i="9"/>
  <c r="AH22" i="9" s="1"/>
  <c r="AD23" i="9"/>
  <c r="AD22" i="9" s="1"/>
  <c r="AW22" i="9"/>
  <c r="AV22" i="9"/>
  <c r="AU22" i="9"/>
  <c r="AS22" i="9"/>
  <c r="AO22" i="9"/>
  <c r="AN22" i="9"/>
  <c r="AM22" i="9"/>
  <c r="AK22" i="9"/>
  <c r="AJ22" i="9"/>
  <c r="AI22" i="9"/>
  <c r="AG22" i="9"/>
  <c r="AF22" i="9"/>
  <c r="AE22" i="9"/>
  <c r="AC22" i="9"/>
  <c r="AB22" i="9"/>
  <c r="AA22" i="9"/>
  <c r="AX21" i="9"/>
  <c r="AS21" i="9"/>
  <c r="AR21" i="9"/>
  <c r="AQ21" i="9"/>
  <c r="AP21" i="9"/>
  <c r="AL21" i="9"/>
  <c r="AH21" i="9"/>
  <c r="AD21" i="9"/>
  <c r="AX20" i="9"/>
  <c r="AS20" i="9"/>
  <c r="AR20" i="9"/>
  <c r="AQ20" i="9"/>
  <c r="AP20" i="9"/>
  <c r="AL20" i="9"/>
  <c r="AH20" i="9"/>
  <c r="AX19" i="9"/>
  <c r="AS19" i="9"/>
  <c r="AQ19" i="9"/>
  <c r="AP19" i="9"/>
  <c r="AL19" i="9"/>
  <c r="AH19" i="9"/>
  <c r="AD19" i="9"/>
  <c r="AR19" i="9"/>
  <c r="AX18" i="9"/>
  <c r="AS18" i="9"/>
  <c r="AP18" i="9"/>
  <c r="AL18" i="9"/>
  <c r="AH18" i="9"/>
  <c r="AR18" i="9"/>
  <c r="G15" i="7"/>
  <c r="G42" i="7" s="1"/>
  <c r="G446" i="13"/>
  <c r="G444" i="13"/>
  <c r="G431" i="13"/>
  <c r="G417" i="13"/>
  <c r="G401" i="13"/>
  <c r="G390" i="13"/>
  <c r="G383" i="13"/>
  <c r="I294" i="9"/>
  <c r="H294" i="9"/>
  <c r="G294" i="9"/>
  <c r="I289" i="9"/>
  <c r="I288" i="9" s="1"/>
  <c r="H289" i="9"/>
  <c r="H288" i="9" s="1"/>
  <c r="G289" i="9"/>
  <c r="G288" i="9" s="1"/>
  <c r="I283" i="9"/>
  <c r="I281" i="9" s="1"/>
  <c r="H283" i="9"/>
  <c r="G283" i="9"/>
  <c r="H281" i="9"/>
  <c r="G281" i="9"/>
  <c r="I279" i="9"/>
  <c r="H279" i="9"/>
  <c r="G279" i="9"/>
  <c r="I275" i="9"/>
  <c r="I272" i="9" s="1"/>
  <c r="I271" i="9" s="1"/>
  <c r="H275" i="9"/>
  <c r="H272" i="9" s="1"/>
  <c r="G275" i="9"/>
  <c r="G272" i="9" s="1"/>
  <c r="I263" i="9"/>
  <c r="H263" i="9"/>
  <c r="G263" i="9"/>
  <c r="I255" i="9"/>
  <c r="H255" i="9"/>
  <c r="G255" i="9"/>
  <c r="I252" i="9"/>
  <c r="I251" i="9" s="1"/>
  <c r="H252" i="9"/>
  <c r="H251" i="9" s="1"/>
  <c r="G252" i="9"/>
  <c r="G251" i="9" s="1"/>
  <c r="I246" i="9"/>
  <c r="I245" i="9" s="1"/>
  <c r="H246" i="9"/>
  <c r="H245" i="9" s="1"/>
  <c r="G246" i="9"/>
  <c r="G245" i="9" s="1"/>
  <c r="I240" i="9"/>
  <c r="H240" i="9"/>
  <c r="G240" i="9"/>
  <c r="I238" i="9"/>
  <c r="H238" i="9"/>
  <c r="G238" i="9"/>
  <c r="I233" i="9"/>
  <c r="H233" i="9"/>
  <c r="G233" i="9"/>
  <c r="I229" i="9"/>
  <c r="H229" i="9"/>
  <c r="G229" i="9"/>
  <c r="I227" i="9"/>
  <c r="H227" i="9"/>
  <c r="G227" i="9"/>
  <c r="I220" i="9"/>
  <c r="H220" i="9"/>
  <c r="G220" i="9"/>
  <c r="I211" i="9"/>
  <c r="I210" i="9" s="1"/>
  <c r="H211" i="9"/>
  <c r="H210" i="9" s="1"/>
  <c r="G211" i="9"/>
  <c r="G210" i="9" s="1"/>
  <c r="I203" i="9"/>
  <c r="H203" i="9"/>
  <c r="G203" i="9"/>
  <c r="I195" i="9"/>
  <c r="H195" i="9"/>
  <c r="G195" i="9"/>
  <c r="I191" i="9"/>
  <c r="H191" i="9"/>
  <c r="G191" i="9"/>
  <c r="I188" i="9"/>
  <c r="H188" i="9"/>
  <c r="G188" i="9"/>
  <c r="I185" i="9"/>
  <c r="H185" i="9"/>
  <c r="G185" i="9"/>
  <c r="G184" i="9" s="1"/>
  <c r="I177" i="9"/>
  <c r="H177" i="9"/>
  <c r="G177" i="9"/>
  <c r="I175" i="9"/>
  <c r="H175" i="9"/>
  <c r="G175" i="9"/>
  <c r="I170" i="9"/>
  <c r="H170" i="9"/>
  <c r="H169" i="9" s="1"/>
  <c r="G170" i="9"/>
  <c r="I166" i="9"/>
  <c r="H166" i="9"/>
  <c r="G166" i="9"/>
  <c r="I162" i="9"/>
  <c r="H162" i="9"/>
  <c r="G162" i="9"/>
  <c r="I158" i="9"/>
  <c r="H158" i="9"/>
  <c r="G158" i="9"/>
  <c r="I155" i="9"/>
  <c r="H155" i="9"/>
  <c r="G155" i="9"/>
  <c r="I150" i="9"/>
  <c r="I145" i="9" s="1"/>
  <c r="H150" i="9"/>
  <c r="G150" i="9"/>
  <c r="I146" i="9"/>
  <c r="H146" i="9"/>
  <c r="H145" i="9" s="1"/>
  <c r="G146" i="9"/>
  <c r="I143" i="9"/>
  <c r="H143" i="9"/>
  <c r="G143" i="9"/>
  <c r="I138" i="9"/>
  <c r="H138" i="9"/>
  <c r="H137" i="9" s="1"/>
  <c r="G138" i="9"/>
  <c r="G137" i="9" s="1"/>
  <c r="I137" i="9"/>
  <c r="I132" i="9"/>
  <c r="I130" i="9" s="1"/>
  <c r="H132" i="9"/>
  <c r="H130" i="9" s="1"/>
  <c r="G132" i="9"/>
  <c r="G130" i="9"/>
  <c r="I128" i="9"/>
  <c r="H128" i="9"/>
  <c r="G128" i="9"/>
  <c r="I124" i="9"/>
  <c r="I121" i="9" s="1"/>
  <c r="I120" i="9" s="1"/>
  <c r="H124" i="9"/>
  <c r="H121" i="9" s="1"/>
  <c r="G124" i="9"/>
  <c r="G121" i="9" s="1"/>
  <c r="I112" i="9"/>
  <c r="H112" i="9"/>
  <c r="G112" i="9"/>
  <c r="I104" i="9"/>
  <c r="H104" i="9"/>
  <c r="G104" i="9"/>
  <c r="I101" i="9"/>
  <c r="I100" i="9" s="1"/>
  <c r="H101" i="9"/>
  <c r="G101" i="9"/>
  <c r="H100" i="9"/>
  <c r="G100" i="9"/>
  <c r="I95" i="9"/>
  <c r="H95" i="9"/>
  <c r="H94" i="9" s="1"/>
  <c r="G95" i="9"/>
  <c r="G94" i="9" s="1"/>
  <c r="I94" i="9"/>
  <c r="I89" i="9"/>
  <c r="H89" i="9"/>
  <c r="G89" i="9"/>
  <c r="I87" i="9"/>
  <c r="H87" i="9"/>
  <c r="G87" i="9"/>
  <c r="I82" i="9"/>
  <c r="H82" i="9"/>
  <c r="G82" i="9"/>
  <c r="I78" i="9"/>
  <c r="H78" i="9"/>
  <c r="G78" i="9"/>
  <c r="I76" i="9"/>
  <c r="H76" i="9"/>
  <c r="G76" i="9"/>
  <c r="I69" i="9"/>
  <c r="H69" i="9"/>
  <c r="G69" i="9"/>
  <c r="I60" i="9"/>
  <c r="I59" i="9" s="1"/>
  <c r="I58" i="9" s="1"/>
  <c r="H60" i="9"/>
  <c r="G60" i="9"/>
  <c r="G59" i="9" s="1"/>
  <c r="H59" i="9"/>
  <c r="I52" i="9"/>
  <c r="H52" i="9"/>
  <c r="G52" i="9"/>
  <c r="I44" i="9"/>
  <c r="H44" i="9"/>
  <c r="G44" i="9"/>
  <c r="I40" i="9"/>
  <c r="H40" i="9"/>
  <c r="G40" i="9"/>
  <c r="I37" i="9"/>
  <c r="H37" i="9"/>
  <c r="G37" i="9"/>
  <c r="G209" i="9" l="1"/>
  <c r="I226" i="9"/>
  <c r="AG57" i="9"/>
  <c r="AS132" i="9"/>
  <c r="AS130" i="9" s="1"/>
  <c r="AB145" i="9"/>
  <c r="AK154" i="9"/>
  <c r="AK153" i="9" s="1"/>
  <c r="AW169" i="9"/>
  <c r="AL226" i="9"/>
  <c r="AT277" i="9"/>
  <c r="AC244" i="9"/>
  <c r="I169" i="9"/>
  <c r="AT46" i="9"/>
  <c r="AT50" i="9"/>
  <c r="AS112" i="9"/>
  <c r="AM120" i="9"/>
  <c r="AO120" i="9"/>
  <c r="AH150" i="9"/>
  <c r="AR150" i="9"/>
  <c r="AT179" i="9"/>
  <c r="AT180" i="9"/>
  <c r="AI208" i="9"/>
  <c r="AT239" i="9"/>
  <c r="AT238" i="9" s="1"/>
  <c r="AD281" i="9"/>
  <c r="AS281" i="9"/>
  <c r="AF226" i="9"/>
  <c r="AQ124" i="9"/>
  <c r="AJ145" i="9"/>
  <c r="AO145" i="9"/>
  <c r="AW145" i="9"/>
  <c r="AP191" i="9"/>
  <c r="AD210" i="9"/>
  <c r="AT236" i="9"/>
  <c r="AT237" i="9"/>
  <c r="AG244" i="9"/>
  <c r="AG243" i="9" s="1"/>
  <c r="AD289" i="9"/>
  <c r="AD288" i="9" s="1"/>
  <c r="AW244" i="9"/>
  <c r="AW243" i="9" s="1"/>
  <c r="AU244" i="9"/>
  <c r="AU243" i="9" s="1"/>
  <c r="AT290" i="9"/>
  <c r="AS289" i="9"/>
  <c r="AS288" i="9" s="1"/>
  <c r="AT151" i="9"/>
  <c r="AA244" i="9"/>
  <c r="AA243" i="9" s="1"/>
  <c r="AA242" i="9" s="1"/>
  <c r="AP44" i="9"/>
  <c r="AA93" i="9"/>
  <c r="AA92" i="9" s="1"/>
  <c r="AA91" i="9" s="1"/>
  <c r="AG182" i="9"/>
  <c r="AB271" i="9"/>
  <c r="AB242" i="9" s="1"/>
  <c r="G93" i="9"/>
  <c r="G92" i="9" s="1"/>
  <c r="H93" i="9"/>
  <c r="H92" i="9" s="1"/>
  <c r="H91" i="9" s="1"/>
  <c r="H120" i="9"/>
  <c r="I154" i="9"/>
  <c r="I153" i="9" s="1"/>
  <c r="H209" i="9"/>
  <c r="AC33" i="9"/>
  <c r="AC32" i="9" s="1"/>
  <c r="AC31" i="9" s="1"/>
  <c r="AC30" i="9" s="1"/>
  <c r="AI33" i="9"/>
  <c r="AN33" i="9"/>
  <c r="AT39" i="9"/>
  <c r="AQ32" i="9"/>
  <c r="AQ31" i="9" s="1"/>
  <c r="AT51" i="9"/>
  <c r="AT83" i="9"/>
  <c r="AT84" i="9"/>
  <c r="AI93" i="9"/>
  <c r="AI92" i="9" s="1"/>
  <c r="AI91" i="9" s="1"/>
  <c r="AD95" i="9"/>
  <c r="AD94" i="9" s="1"/>
  <c r="AE93" i="9"/>
  <c r="AE92" i="9" s="1"/>
  <c r="AH101" i="9"/>
  <c r="AH100" i="9" s="1"/>
  <c r="AT139" i="9"/>
  <c r="AD138" i="9"/>
  <c r="AD137" i="9" s="1"/>
  <c r="AL150" i="9"/>
  <c r="AS150" i="9"/>
  <c r="AS145" i="9" s="1"/>
  <c r="AF154" i="9"/>
  <c r="AF153" i="9" s="1"/>
  <c r="AD158" i="9"/>
  <c r="AC169" i="9"/>
  <c r="AI169" i="9"/>
  <c r="AP169" i="9"/>
  <c r="AE169" i="9"/>
  <c r="AK183" i="9"/>
  <c r="AK182" i="9" s="1"/>
  <c r="AV184" i="9"/>
  <c r="AC183" i="9"/>
  <c r="AC182" i="9" s="1"/>
  <c r="AR191" i="9"/>
  <c r="AD220" i="9"/>
  <c r="AN226" i="9"/>
  <c r="AW226" i="9"/>
  <c r="AW208" i="9" s="1"/>
  <c r="AW181" i="9" s="1"/>
  <c r="AW168" i="9" s="1"/>
  <c r="AT230" i="9"/>
  <c r="AK244" i="9"/>
  <c r="AK243" i="9" s="1"/>
  <c r="AT254" i="9"/>
  <c r="AT257" i="9"/>
  <c r="AD272" i="9"/>
  <c r="AD271" i="9" s="1"/>
  <c r="AL289" i="9"/>
  <c r="AL288" i="9" s="1"/>
  <c r="AH289" i="9"/>
  <c r="AH288" i="9" s="1"/>
  <c r="AA58" i="9"/>
  <c r="AA57" i="9" s="1"/>
  <c r="AA30" i="9" s="1"/>
  <c r="AD101" i="9"/>
  <c r="AD100" i="9" s="1"/>
  <c r="I75" i="9"/>
  <c r="I57" i="9" s="1"/>
  <c r="AW32" i="9"/>
  <c r="AW31" i="9" s="1"/>
  <c r="AE32" i="9"/>
  <c r="AE31" i="9" s="1"/>
  <c r="AO32" i="9"/>
  <c r="AO31" i="9" s="1"/>
  <c r="AE75" i="9"/>
  <c r="AL75" i="9"/>
  <c r="AC154" i="9"/>
  <c r="AC153" i="9" s="1"/>
  <c r="AR158" i="9"/>
  <c r="AO184" i="9"/>
  <c r="AO183" i="9" s="1"/>
  <c r="AO182" i="9" s="1"/>
  <c r="AW184" i="9"/>
  <c r="AW183" i="9" s="1"/>
  <c r="AW182" i="9" s="1"/>
  <c r="AX184" i="9"/>
  <c r="AX183" i="9" s="1"/>
  <c r="AX182" i="9" s="1"/>
  <c r="AS191" i="9"/>
  <c r="AA208" i="9"/>
  <c r="AV244" i="9"/>
  <c r="AV243" i="9" s="1"/>
  <c r="AL255" i="9"/>
  <c r="AL244" i="9" s="1"/>
  <c r="AT261" i="9"/>
  <c r="G58" i="9"/>
  <c r="G169" i="9"/>
  <c r="H271" i="9"/>
  <c r="AU33" i="9"/>
  <c r="AU32" i="9" s="1"/>
  <c r="AU31" i="9" s="1"/>
  <c r="AT36" i="9"/>
  <c r="AG33" i="9"/>
  <c r="AG32" i="9" s="1"/>
  <c r="AG31" i="9" s="1"/>
  <c r="AM33" i="9"/>
  <c r="AM32" i="9" s="1"/>
  <c r="AM31" i="9" s="1"/>
  <c r="AL44" i="9"/>
  <c r="AH69" i="9"/>
  <c r="AC93" i="9"/>
  <c r="AC92" i="9" s="1"/>
  <c r="AC91" i="9" s="1"/>
  <c r="AQ112" i="9"/>
  <c r="AV120" i="9"/>
  <c r="AR132" i="9"/>
  <c r="AR130" i="9" s="1"/>
  <c r="AF145" i="9"/>
  <c r="AT147" i="9"/>
  <c r="AT148" i="9"/>
  <c r="AT149" i="9"/>
  <c r="AI145" i="9"/>
  <c r="AW154" i="9"/>
  <c r="AW153" i="9" s="1"/>
  <c r="AA184" i="9"/>
  <c r="AA183" i="9" s="1"/>
  <c r="AA182" i="9" s="1"/>
  <c r="AQ195" i="9"/>
  <c r="AT204" i="9"/>
  <c r="AT205" i="9"/>
  <c r="AT206" i="9"/>
  <c r="AD226" i="9"/>
  <c r="AA226" i="9"/>
  <c r="AE226" i="9"/>
  <c r="AE208" i="9" s="1"/>
  <c r="AE181" i="9" s="1"/>
  <c r="AE168" i="9" s="1"/>
  <c r="AM226" i="9"/>
  <c r="AM208" i="9" s="1"/>
  <c r="AP233" i="9"/>
  <c r="AP226" i="9" s="1"/>
  <c r="AI244" i="9"/>
  <c r="AI243" i="9" s="1"/>
  <c r="AT266" i="9"/>
  <c r="AG271" i="9"/>
  <c r="AH283" i="9"/>
  <c r="AH281" i="9" s="1"/>
  <c r="AR283" i="9"/>
  <c r="AR281" i="9" s="1"/>
  <c r="AP138" i="9"/>
  <c r="AP137" i="9" s="1"/>
  <c r="AR124" i="9"/>
  <c r="AR121" i="9" s="1"/>
  <c r="AR120" i="9" s="1"/>
  <c r="AT126" i="9"/>
  <c r="AP75" i="9"/>
  <c r="AP272" i="9"/>
  <c r="AP271" i="9" s="1"/>
  <c r="AM93" i="9"/>
  <c r="AM92" i="9" s="1"/>
  <c r="I278" i="13"/>
  <c r="I32" i="13"/>
  <c r="J32" i="13" s="1"/>
  <c r="N32" i="13" s="1"/>
  <c r="S32" i="13"/>
  <c r="X32" i="13"/>
  <c r="N280" i="13"/>
  <c r="Z280" i="13" s="1"/>
  <c r="Z278" i="13" s="1"/>
  <c r="J278" i="13"/>
  <c r="AB280" i="13"/>
  <c r="AB278" i="13" s="1"/>
  <c r="AN153" i="9"/>
  <c r="AN169" i="9"/>
  <c r="AN208" i="9"/>
  <c r="AT228" i="9"/>
  <c r="AT227" i="9" s="1"/>
  <c r="AN244" i="9"/>
  <c r="AN243" i="9" s="1"/>
  <c r="AN242" i="9" s="1"/>
  <c r="AR246" i="9"/>
  <c r="AR245" i="9" s="1"/>
  <c r="AM145" i="9"/>
  <c r="AM154" i="9"/>
  <c r="AM153" i="9" s="1"/>
  <c r="AN32" i="9"/>
  <c r="AN31" i="9" s="1"/>
  <c r="AP95" i="9"/>
  <c r="AP94" i="9" s="1"/>
  <c r="AN75" i="9"/>
  <c r="AN57" i="9" s="1"/>
  <c r="AP69" i="9"/>
  <c r="AP101" i="9"/>
  <c r="AP100" i="9" s="1"/>
  <c r="AP112" i="9"/>
  <c r="AP104" i="9"/>
  <c r="AN93" i="9"/>
  <c r="AN92" i="9" s="1"/>
  <c r="AN91" i="9" s="1"/>
  <c r="K50" i="16"/>
  <c r="N50" i="16"/>
  <c r="I45" i="16"/>
  <c r="AJ153" i="9"/>
  <c r="AT108" i="9"/>
  <c r="AQ104" i="9"/>
  <c r="AT21" i="9"/>
  <c r="AJ75" i="9"/>
  <c r="AL95" i="9"/>
  <c r="AL94" i="9" s="1"/>
  <c r="AT127" i="9"/>
  <c r="AJ226" i="9"/>
  <c r="AJ32" i="9"/>
  <c r="AJ31" i="9" s="1"/>
  <c r="AL170" i="9"/>
  <c r="AL169" i="9" s="1"/>
  <c r="AI57" i="9"/>
  <c r="AT171" i="9"/>
  <c r="AK93" i="9"/>
  <c r="AK92" i="9" s="1"/>
  <c r="AS58" i="9"/>
  <c r="AS57" i="9" s="1"/>
  <c r="AJ58" i="9"/>
  <c r="AL104" i="9"/>
  <c r="AJ93" i="9"/>
  <c r="AJ92" i="9" s="1"/>
  <c r="AJ91" i="9" s="1"/>
  <c r="AJ209" i="9"/>
  <c r="AJ208" i="9" s="1"/>
  <c r="AJ243" i="9"/>
  <c r="AJ242" i="9" s="1"/>
  <c r="AR255" i="9"/>
  <c r="AL184" i="9"/>
  <c r="AJ169" i="9"/>
  <c r="AL121" i="9"/>
  <c r="AL120" i="9" s="1"/>
  <c r="AL112" i="9"/>
  <c r="AD82" i="9"/>
  <c r="AD75" i="9" s="1"/>
  <c r="AU93" i="9"/>
  <c r="AU92" i="9" s="1"/>
  <c r="AE91" i="9"/>
  <c r="AD44" i="9"/>
  <c r="AL281" i="9"/>
  <c r="AS26" i="9"/>
  <c r="AI32" i="9"/>
  <c r="AI31" i="9" s="1"/>
  <c r="AP52" i="9"/>
  <c r="AX208" i="9"/>
  <c r="AL272" i="9"/>
  <c r="AL271" i="9" s="1"/>
  <c r="I93" i="9"/>
  <c r="I92" i="9" s="1"/>
  <c r="I91" i="9" s="1"/>
  <c r="I184" i="9"/>
  <c r="I183" i="9" s="1"/>
  <c r="I182" i="9" s="1"/>
  <c r="AT29" i="9"/>
  <c r="AP40" i="9"/>
  <c r="AT45" i="9"/>
  <c r="AT47" i="9"/>
  <c r="AH44" i="9"/>
  <c r="AR44" i="9"/>
  <c r="AT49" i="9"/>
  <c r="AQ69" i="9"/>
  <c r="AK75" i="9"/>
  <c r="AK57" i="9" s="1"/>
  <c r="AO75" i="9"/>
  <c r="AO57" i="9" s="1"/>
  <c r="AS95" i="9"/>
  <c r="AS94" i="9" s="1"/>
  <c r="AS93" i="9" s="1"/>
  <c r="AS92" i="9" s="1"/>
  <c r="AT110" i="9"/>
  <c r="AX112" i="9"/>
  <c r="AU120" i="9"/>
  <c r="AU91" i="9" s="1"/>
  <c r="AQ143" i="9"/>
  <c r="AD146" i="9"/>
  <c r="AD145" i="9" s="1"/>
  <c r="AB154" i="9"/>
  <c r="AB153" i="9" s="1"/>
  <c r="AG154" i="9"/>
  <c r="AG153" i="9" s="1"/>
  <c r="AT159" i="9"/>
  <c r="AS195" i="9"/>
  <c r="AQ238" i="9"/>
  <c r="AM244" i="9"/>
  <c r="AM243" i="9" s="1"/>
  <c r="AC243" i="9"/>
  <c r="AD252" i="9"/>
  <c r="AD251" i="9" s="1"/>
  <c r="AR114" i="9"/>
  <c r="AR112" i="9" s="1"/>
  <c r="AD114" i="9"/>
  <c r="AD112" i="9" s="1"/>
  <c r="AT23" i="9"/>
  <c r="AT22" i="9" s="1"/>
  <c r="AQ22" i="9"/>
  <c r="AT27" i="9"/>
  <c r="AR26" i="9"/>
  <c r="AT129" i="9"/>
  <c r="AT128" i="9" s="1"/>
  <c r="AQ128" i="9"/>
  <c r="AT295" i="9"/>
  <c r="AT294" i="9" s="1"/>
  <c r="AS294" i="9"/>
  <c r="AH195" i="9"/>
  <c r="AW242" i="9"/>
  <c r="AU58" i="9"/>
  <c r="AU57" i="9" s="1"/>
  <c r="AO154" i="9"/>
  <c r="AO153" i="9" s="1"/>
  <c r="AT176" i="9"/>
  <c r="AT175" i="9" s="1"/>
  <c r="AD177" i="9"/>
  <c r="AT201" i="9"/>
  <c r="AP211" i="9"/>
  <c r="AP210" i="9" s="1"/>
  <c r="AV226" i="9"/>
  <c r="AV208" i="9" s="1"/>
  <c r="I209" i="9"/>
  <c r="I208" i="9" s="1"/>
  <c r="AP37" i="9"/>
  <c r="AP33" i="9" s="1"/>
  <c r="AT85" i="9"/>
  <c r="AT86" i="9"/>
  <c r="AT90" i="9"/>
  <c r="AT89" i="9" s="1"/>
  <c r="AS162" i="9"/>
  <c r="AL162" i="9"/>
  <c r="AL154" i="9" s="1"/>
  <c r="AL153" i="9" s="1"/>
  <c r="AP188" i="9"/>
  <c r="AP184" i="9" s="1"/>
  <c r="AB208" i="9"/>
  <c r="AT234" i="9"/>
  <c r="AT250" i="9"/>
  <c r="AL263" i="9"/>
  <c r="AS263" i="9"/>
  <c r="AV271" i="9"/>
  <c r="AV242" i="9" s="1"/>
  <c r="AT284" i="9"/>
  <c r="AG91" i="9"/>
  <c r="AG30" i="9" s="1"/>
  <c r="AW91" i="9"/>
  <c r="AW30" i="9" s="1"/>
  <c r="AT140" i="9"/>
  <c r="AX146" i="9"/>
  <c r="AX145" i="9" s="1"/>
  <c r="AT160" i="9"/>
  <c r="AT167" i="9"/>
  <c r="AT166" i="9" s="1"/>
  <c r="AT172" i="9"/>
  <c r="AT173" i="9"/>
  <c r="AP177" i="9"/>
  <c r="AE184" i="9"/>
  <c r="AE183" i="9" s="1"/>
  <c r="AE182" i="9" s="1"/>
  <c r="AT199" i="9"/>
  <c r="AP203" i="9"/>
  <c r="AL211" i="9"/>
  <c r="AL210" i="9" s="1"/>
  <c r="AT222" i="9"/>
  <c r="AT225" i="9"/>
  <c r="AX252" i="9"/>
  <c r="AX251" i="9" s="1"/>
  <c r="AS255" i="9"/>
  <c r="AS244" i="9" s="1"/>
  <c r="AS243" i="9" s="1"/>
  <c r="AT267" i="9"/>
  <c r="AT269" i="9"/>
  <c r="AG242" i="9"/>
  <c r="AO242" i="9"/>
  <c r="AT287" i="9"/>
  <c r="AT293" i="9"/>
  <c r="G120" i="9"/>
  <c r="G91" i="9" s="1"/>
  <c r="H154" i="9"/>
  <c r="H153" i="9" s="1"/>
  <c r="G226" i="9"/>
  <c r="G208" i="9" s="1"/>
  <c r="I244" i="9"/>
  <c r="I243" i="9" s="1"/>
  <c r="G271" i="9"/>
  <c r="AF33" i="9"/>
  <c r="AL33" i="9"/>
  <c r="AL32" i="9" s="1"/>
  <c r="AL31" i="9" s="1"/>
  <c r="AT38" i="9"/>
  <c r="AT37" i="9" s="1"/>
  <c r="AT41" i="9"/>
  <c r="AT43" i="9"/>
  <c r="AS44" i="9"/>
  <c r="AS32" i="9" s="1"/>
  <c r="AS31" i="9" s="1"/>
  <c r="AT53" i="9"/>
  <c r="AT55" i="9"/>
  <c r="AL60" i="9"/>
  <c r="AL59" i="9" s="1"/>
  <c r="AL58" i="9" s="1"/>
  <c r="AL57" i="9" s="1"/>
  <c r="AT64" i="9"/>
  <c r="AT66" i="9"/>
  <c r="AT68" i="9"/>
  <c r="AT72" i="9"/>
  <c r="AB75" i="9"/>
  <c r="AX95" i="9"/>
  <c r="AX94" i="9" s="1"/>
  <c r="AT99" i="9"/>
  <c r="AT103" i="9"/>
  <c r="AT116" i="9"/>
  <c r="AT118" i="9"/>
  <c r="AB120" i="9"/>
  <c r="AP124" i="9"/>
  <c r="AP121" i="9" s="1"/>
  <c r="AP120" i="9" s="1"/>
  <c r="AD130" i="9"/>
  <c r="AT131" i="9"/>
  <c r="AS138" i="9"/>
  <c r="AS137" i="9" s="1"/>
  <c r="AH145" i="9"/>
  <c r="AR146" i="9"/>
  <c r="AR145" i="9" s="1"/>
  <c r="AP155" i="9"/>
  <c r="AS158" i="9"/>
  <c r="AS154" i="9" s="1"/>
  <c r="AS153" i="9" s="1"/>
  <c r="AP162" i="9"/>
  <c r="AQ166" i="9"/>
  <c r="AV169" i="9"/>
  <c r="AS170" i="9"/>
  <c r="AS169" i="9" s="1"/>
  <c r="AT178" i="9"/>
  <c r="AR177" i="9"/>
  <c r="AT186" i="9"/>
  <c r="AR185" i="9"/>
  <c r="AR184" i="9" s="1"/>
  <c r="AB184" i="9"/>
  <c r="AM184" i="9"/>
  <c r="AM183" i="9" s="1"/>
  <c r="AM182" i="9" s="1"/>
  <c r="AD184" i="9"/>
  <c r="AT189" i="9"/>
  <c r="AT188" i="9" s="1"/>
  <c r="AT190" i="9"/>
  <c r="AP195" i="9"/>
  <c r="AL195" i="9"/>
  <c r="AT202" i="9"/>
  <c r="AT213" i="9"/>
  <c r="AL220" i="9"/>
  <c r="AT223" i="9"/>
  <c r="AQ227" i="9"/>
  <c r="AT231" i="9"/>
  <c r="AT229" i="9" s="1"/>
  <c r="AR233" i="9"/>
  <c r="AT241" i="9"/>
  <c r="AT240" i="9" s="1"/>
  <c r="AX246" i="9"/>
  <c r="AX245" i="9" s="1"/>
  <c r="AP246" i="9"/>
  <c r="AP245" i="9" s="1"/>
  <c r="AP244" i="9" s="1"/>
  <c r="AT256" i="9"/>
  <c r="AP263" i="9"/>
  <c r="AT270" i="9"/>
  <c r="AI271" i="9"/>
  <c r="AI242" i="9" s="1"/>
  <c r="AM271" i="9"/>
  <c r="AM242" i="9" s="1"/>
  <c r="AT282" i="9"/>
  <c r="AK91" i="9"/>
  <c r="AO91" i="9"/>
  <c r="AP146" i="9"/>
  <c r="AP145" i="9" s="1"/>
  <c r="AT161" i="9"/>
  <c r="AH162" i="9"/>
  <c r="AH154" i="9" s="1"/>
  <c r="AH153" i="9" s="1"/>
  <c r="AR162" i="9"/>
  <c r="AR154" i="9" s="1"/>
  <c r="AR153" i="9" s="1"/>
  <c r="AD169" i="9"/>
  <c r="AT174" i="9"/>
  <c r="AX177" i="9"/>
  <c r="AJ184" i="9"/>
  <c r="AJ183" i="9" s="1"/>
  <c r="AJ182" i="9" s="1"/>
  <c r="AT200" i="9"/>
  <c r="AX203" i="9"/>
  <c r="AS211" i="9"/>
  <c r="AS210" i="9" s="1"/>
  <c r="AT218" i="9"/>
  <c r="AT221" i="9"/>
  <c r="AT220" i="9" s="1"/>
  <c r="AT224" i="9"/>
  <c r="AH263" i="9"/>
  <c r="AR263" i="9"/>
  <c r="AT268" i="9"/>
  <c r="AS275" i="9"/>
  <c r="AS272" i="9" s="1"/>
  <c r="AS271" i="9" s="1"/>
  <c r="AC242" i="9"/>
  <c r="AK242" i="9"/>
  <c r="AT285" i="9"/>
  <c r="AT286" i="9"/>
  <c r="AR289" i="9"/>
  <c r="AR288" i="9" s="1"/>
  <c r="G75" i="9"/>
  <c r="H75" i="9"/>
  <c r="G145" i="9"/>
  <c r="G183" i="9"/>
  <c r="G182" i="9" s="1"/>
  <c r="G244" i="9"/>
  <c r="G243" i="9" s="1"/>
  <c r="AT28" i="9"/>
  <c r="AB33" i="9"/>
  <c r="AB32" i="9" s="1"/>
  <c r="AB31" i="9" s="1"/>
  <c r="AX33" i="9"/>
  <c r="AX32" i="9" s="1"/>
  <c r="AX31" i="9" s="1"/>
  <c r="AT42" i="9"/>
  <c r="AX44" i="9"/>
  <c r="AR52" i="9"/>
  <c r="AE58" i="9"/>
  <c r="AE57" i="9" s="1"/>
  <c r="AP60" i="9"/>
  <c r="AP59" i="9" s="1"/>
  <c r="AT63" i="9"/>
  <c r="AT65" i="9"/>
  <c r="AT79" i="9"/>
  <c r="AT80" i="9"/>
  <c r="AX82" i="9"/>
  <c r="AX75" i="9" s="1"/>
  <c r="AT98" i="9"/>
  <c r="AT111" i="9"/>
  <c r="AT115" i="9"/>
  <c r="AT117" i="9"/>
  <c r="AT119" i="9"/>
  <c r="AS121" i="9"/>
  <c r="AS120" i="9" s="1"/>
  <c r="AT134" i="9"/>
  <c r="AT135" i="9"/>
  <c r="AT136" i="9"/>
  <c r="AL145" i="9"/>
  <c r="AT152" i="9"/>
  <c r="AT150" i="9" s="1"/>
  <c r="AT156" i="9"/>
  <c r="AT157" i="9"/>
  <c r="AT163" i="9"/>
  <c r="AT164" i="9"/>
  <c r="AT165" i="9"/>
  <c r="AX169" i="9"/>
  <c r="AS185" i="9"/>
  <c r="AS184" i="9" s="1"/>
  <c r="AS183" i="9" s="1"/>
  <c r="AS182" i="9" s="1"/>
  <c r="AI184" i="9"/>
  <c r="AI183" i="9" s="1"/>
  <c r="AI182" i="9" s="1"/>
  <c r="AI181" i="9" s="1"/>
  <c r="AI168" i="9" s="1"/>
  <c r="AN184" i="9"/>
  <c r="AN183" i="9" s="1"/>
  <c r="AN182" i="9" s="1"/>
  <c r="AU184" i="9"/>
  <c r="AU183" i="9" s="1"/>
  <c r="AU182" i="9" s="1"/>
  <c r="AT194" i="9"/>
  <c r="AT196" i="9"/>
  <c r="AL203" i="9"/>
  <c r="AS203" i="9"/>
  <c r="AT207" i="9"/>
  <c r="AT215" i="9"/>
  <c r="AT216" i="9"/>
  <c r="AT217" i="9"/>
  <c r="AT219" i="9"/>
  <c r="AQ220" i="9"/>
  <c r="AP220" i="9"/>
  <c r="AC226" i="9"/>
  <c r="AC208" i="9" s="1"/>
  <c r="AG226" i="9"/>
  <c r="AG208" i="9" s="1"/>
  <c r="AG181" i="9" s="1"/>
  <c r="AG168" i="9" s="1"/>
  <c r="AK226" i="9"/>
  <c r="AK208" i="9" s="1"/>
  <c r="AK181" i="9" s="1"/>
  <c r="AK168" i="9" s="1"/>
  <c r="AO226" i="9"/>
  <c r="AO208" i="9" s="1"/>
  <c r="AR229" i="9"/>
  <c r="AQ233" i="9"/>
  <c r="AS233" i="9"/>
  <c r="AS226" i="9" s="1"/>
  <c r="AD246" i="9"/>
  <c r="AD245" i="9" s="1"/>
  <c r="AT248" i="9"/>
  <c r="AT249" i="9"/>
  <c r="AT260" i="9"/>
  <c r="AT262" i="9"/>
  <c r="AQ263" i="9"/>
  <c r="AD263" i="9"/>
  <c r="AT264" i="9"/>
  <c r="AE242" i="9"/>
  <c r="AU271" i="9"/>
  <c r="AU242" i="9" s="1"/>
  <c r="AT278" i="9"/>
  <c r="AT280" i="9"/>
  <c r="AT279" i="9" s="1"/>
  <c r="AT291" i="9"/>
  <c r="AF32" i="9"/>
  <c r="AF31" i="9" s="1"/>
  <c r="AT265" i="9"/>
  <c r="AT253" i="9"/>
  <c r="AT252" i="9" s="1"/>
  <c r="AT251" i="9" s="1"/>
  <c r="AF244" i="9"/>
  <c r="AF243" i="9" s="1"/>
  <c r="AF242" i="9" s="1"/>
  <c r="P146" i="11" s="1"/>
  <c r="AH184" i="9"/>
  <c r="AT276" i="9"/>
  <c r="AT275" i="9" s="1"/>
  <c r="AF208" i="9"/>
  <c r="P142" i="11" s="1"/>
  <c r="AH244" i="9"/>
  <c r="AT259" i="9"/>
  <c r="AT258" i="9"/>
  <c r="AE154" i="9"/>
  <c r="AE153" i="9" s="1"/>
  <c r="AF169" i="9"/>
  <c r="AR272" i="9"/>
  <c r="AR271" i="9" s="1"/>
  <c r="AR138" i="9"/>
  <c r="AR137" i="9" s="1"/>
  <c r="AT62" i="9"/>
  <c r="AF75" i="9"/>
  <c r="AT82" i="9"/>
  <c r="AH75" i="9"/>
  <c r="AR82" i="9"/>
  <c r="AR75" i="9" s="1"/>
  <c r="AT96" i="9"/>
  <c r="AT88" i="9"/>
  <c r="AT87" i="9" s="1"/>
  <c r="AH112" i="9"/>
  <c r="AH121" i="9"/>
  <c r="AH120" i="9" s="1"/>
  <c r="AH272" i="9"/>
  <c r="AH271" i="9" s="1"/>
  <c r="AT274" i="9"/>
  <c r="AH33" i="9"/>
  <c r="AT109" i="9"/>
  <c r="AH104" i="9"/>
  <c r="AH95" i="9"/>
  <c r="AH94" i="9" s="1"/>
  <c r="AR95" i="9"/>
  <c r="AR94" i="9" s="1"/>
  <c r="AF93" i="9"/>
  <c r="AF92" i="9" s="1"/>
  <c r="AF91" i="9" s="1"/>
  <c r="AT97" i="9"/>
  <c r="AT107" i="9"/>
  <c r="AF58" i="9"/>
  <c r="AH60" i="9"/>
  <c r="AH59" i="9" s="1"/>
  <c r="AR210" i="9"/>
  <c r="AR209" i="9" s="1"/>
  <c r="AH210" i="9"/>
  <c r="AH209" i="9" s="1"/>
  <c r="AH208" i="9" s="1"/>
  <c r="AT247" i="9"/>
  <c r="AT212" i="9"/>
  <c r="AT211" i="9" s="1"/>
  <c r="AF184" i="9"/>
  <c r="AF183" i="9" s="1"/>
  <c r="H58" i="9"/>
  <c r="H57" i="9" s="1"/>
  <c r="G154" i="9"/>
  <c r="G153" i="9" s="1"/>
  <c r="AV32" i="9"/>
  <c r="AV31" i="9" s="1"/>
  <c r="AX60" i="9"/>
  <c r="AX59" i="9" s="1"/>
  <c r="AX58" i="9" s="1"/>
  <c r="AV75" i="9"/>
  <c r="AV183" i="9"/>
  <c r="AV182" i="9" s="1"/>
  <c r="AX195" i="9"/>
  <c r="AU154" i="9"/>
  <c r="AU153" i="9" s="1"/>
  <c r="AD195" i="9"/>
  <c r="AB183" i="9"/>
  <c r="AB182" i="9" s="1"/>
  <c r="AA154" i="9"/>
  <c r="AA153" i="9" s="1"/>
  <c r="AT113" i="9"/>
  <c r="AQ162" i="9"/>
  <c r="AT77" i="9"/>
  <c r="AT76" i="9" s="1"/>
  <c r="AR170" i="9"/>
  <c r="AR169" i="9" s="1"/>
  <c r="AX104" i="9"/>
  <c r="AR104" i="9"/>
  <c r="AT35" i="9"/>
  <c r="AD33" i="9"/>
  <c r="AD32" i="9" s="1"/>
  <c r="AD31" i="9" s="1"/>
  <c r="AV93" i="9"/>
  <c r="AV92" i="9" s="1"/>
  <c r="AV91" i="9" s="1"/>
  <c r="AT106" i="9"/>
  <c r="AX162" i="9"/>
  <c r="AX121" i="9"/>
  <c r="AX120" i="9" s="1"/>
  <c r="AV58" i="9"/>
  <c r="H244" i="9"/>
  <c r="H243" i="9" s="1"/>
  <c r="H242" i="9" s="1"/>
  <c r="H226" i="9"/>
  <c r="H208" i="9" s="1"/>
  <c r="H184" i="9"/>
  <c r="H183" i="9" s="1"/>
  <c r="H182" i="9" s="1"/>
  <c r="AD69" i="9"/>
  <c r="AD105" i="9"/>
  <c r="AD104" i="9" s="1"/>
  <c r="AD93" i="9" s="1"/>
  <c r="AT105" i="9"/>
  <c r="AT48" i="9"/>
  <c r="AR60" i="9"/>
  <c r="AR59" i="9" s="1"/>
  <c r="AT125" i="9"/>
  <c r="AT71" i="9"/>
  <c r="AT67" i="9"/>
  <c r="AR102" i="9"/>
  <c r="AT102" i="9" s="1"/>
  <c r="AT101" i="9" s="1"/>
  <c r="AT100" i="9" s="1"/>
  <c r="AB101" i="9"/>
  <c r="AB100" i="9" s="1"/>
  <c r="AB93" i="9" s="1"/>
  <c r="AB92" i="9" s="1"/>
  <c r="AB91" i="9" s="1"/>
  <c r="AT18" i="9"/>
  <c r="AB69" i="9"/>
  <c r="AB58" i="9" s="1"/>
  <c r="AR70" i="9"/>
  <c r="AR69" i="9" s="1"/>
  <c r="AQ61" i="9"/>
  <c r="AT61" i="9" s="1"/>
  <c r="AQ123" i="9"/>
  <c r="AT123" i="9" s="1"/>
  <c r="AD123" i="9"/>
  <c r="AD121" i="9" s="1"/>
  <c r="AD120" i="9" s="1"/>
  <c r="AD18" i="9"/>
  <c r="AT20" i="9"/>
  <c r="AT19" i="9"/>
  <c r="AX154" i="9"/>
  <c r="AX153" i="9" s="1"/>
  <c r="AD209" i="9"/>
  <c r="AT25" i="9"/>
  <c r="AT24" i="9" s="1"/>
  <c r="AX272" i="9"/>
  <c r="AX271" i="9" s="1"/>
  <c r="AD154" i="9"/>
  <c r="AD153" i="9" s="1"/>
  <c r="AT203" i="9"/>
  <c r="AO181" i="9"/>
  <c r="AO168" i="9" s="1"/>
  <c r="AT54" i="9"/>
  <c r="AQ95" i="9"/>
  <c r="AQ94" i="9" s="1"/>
  <c r="AQ132" i="9"/>
  <c r="AQ130" i="9" s="1"/>
  <c r="AQ138" i="9"/>
  <c r="AQ137" i="9" s="1"/>
  <c r="AQ158" i="9"/>
  <c r="AQ170" i="9"/>
  <c r="AQ169" i="9" s="1"/>
  <c r="AT187" i="9"/>
  <c r="AQ191" i="9"/>
  <c r="AT193" i="9"/>
  <c r="AR195" i="9"/>
  <c r="AS220" i="9"/>
  <c r="AQ229" i="9"/>
  <c r="AQ283" i="9"/>
  <c r="AQ281" i="9" s="1"/>
  <c r="AQ289" i="9"/>
  <c r="AQ288" i="9" s="1"/>
  <c r="AQ26" i="9"/>
  <c r="AR34" i="9"/>
  <c r="AR33" i="9" s="1"/>
  <c r="AR40" i="9"/>
  <c r="AT235" i="9"/>
  <c r="AT233" i="9" s="1"/>
  <c r="AD61" i="9"/>
  <c r="AD60" i="9" s="1"/>
  <c r="AD59" i="9" s="1"/>
  <c r="AQ155" i="9"/>
  <c r="AQ188" i="9"/>
  <c r="AQ184" i="9" s="1"/>
  <c r="AQ203" i="9"/>
  <c r="AQ211" i="9"/>
  <c r="AQ210" i="9" s="1"/>
  <c r="AQ146" i="9"/>
  <c r="AQ145" i="9" s="1"/>
  <c r="H38" i="16" s="1"/>
  <c r="AQ177" i="9"/>
  <c r="AQ246" i="9"/>
  <c r="AQ245" i="9" s="1"/>
  <c r="AQ252" i="9"/>
  <c r="AQ251" i="9" s="1"/>
  <c r="AQ272" i="9"/>
  <c r="AQ271" i="9" s="1"/>
  <c r="I242" i="9"/>
  <c r="AK30" i="9" l="1"/>
  <c r="AT191" i="9"/>
  <c r="AT52" i="9"/>
  <c r="AT289" i="9"/>
  <c r="AT288" i="9" s="1"/>
  <c r="AD244" i="9"/>
  <c r="AR226" i="9"/>
  <c r="G57" i="9"/>
  <c r="AA181" i="9"/>
  <c r="AA168" i="9" s="1"/>
  <c r="AS209" i="9"/>
  <c r="AT132" i="9"/>
  <c r="AT130" i="9" s="1"/>
  <c r="AT40" i="9"/>
  <c r="G242" i="9"/>
  <c r="G181" i="9" s="1"/>
  <c r="G168" i="9" s="1"/>
  <c r="AT177" i="9"/>
  <c r="AT26" i="9"/>
  <c r="AM91" i="9"/>
  <c r="AM30" i="9" s="1"/>
  <c r="AT78" i="9"/>
  <c r="AT75" i="9" s="1"/>
  <c r="AE30" i="9"/>
  <c r="AC181" i="9"/>
  <c r="AC168" i="9" s="1"/>
  <c r="AT138" i="9"/>
  <c r="AT137" i="9" s="1"/>
  <c r="AP32" i="9"/>
  <c r="AP31" i="9" s="1"/>
  <c r="AD208" i="9"/>
  <c r="AH58" i="9"/>
  <c r="AU30" i="9"/>
  <c r="I181" i="9"/>
  <c r="I168" i="9" s="1"/>
  <c r="AB32" i="13"/>
  <c r="AT146" i="9"/>
  <c r="AT145" i="9" s="1"/>
  <c r="AQ244" i="9"/>
  <c r="AQ243" i="9" s="1"/>
  <c r="AT34" i="9"/>
  <c r="AT33" i="9" s="1"/>
  <c r="AB181" i="9"/>
  <c r="AB168" i="9" s="1"/>
  <c r="AT155" i="9"/>
  <c r="AX244" i="9"/>
  <c r="AX243" i="9" s="1"/>
  <c r="AP183" i="9"/>
  <c r="AP182" i="9" s="1"/>
  <c r="Z32" i="13"/>
  <c r="AT124" i="9"/>
  <c r="AT121" i="9" s="1"/>
  <c r="AT120" i="9" s="1"/>
  <c r="AP154" i="9"/>
  <c r="AP153" i="9" s="1"/>
  <c r="Y280" i="13"/>
  <c r="Y278" i="13" s="1"/>
  <c r="N278" i="13"/>
  <c r="Y32" i="13"/>
  <c r="AT246" i="9"/>
  <c r="AT245" i="9" s="1"/>
  <c r="AR244" i="9"/>
  <c r="AR243" i="9" s="1"/>
  <c r="AR242" i="9" s="1"/>
  <c r="K38" i="16"/>
  <c r="L38" i="16" s="1"/>
  <c r="H32" i="16"/>
  <c r="K32" i="16" s="1"/>
  <c r="L32" i="16" s="1"/>
  <c r="M38" i="16"/>
  <c r="AN181" i="9"/>
  <c r="AN168" i="9" s="1"/>
  <c r="AP58" i="9"/>
  <c r="AP57" i="9" s="1"/>
  <c r="AN30" i="9"/>
  <c r="AP93" i="9"/>
  <c r="AP92" i="9" s="1"/>
  <c r="AP91" i="9" s="1"/>
  <c r="P50" i="16"/>
  <c r="N45" i="16"/>
  <c r="L50" i="16"/>
  <c r="AQ93" i="9"/>
  <c r="AQ92" i="9" s="1"/>
  <c r="AJ57" i="9"/>
  <c r="AJ30" i="9" s="1"/>
  <c r="AL93" i="9"/>
  <c r="AL92" i="9" s="1"/>
  <c r="AL91" i="9" s="1"/>
  <c r="AL30" i="9" s="1"/>
  <c r="AR183" i="9"/>
  <c r="AR182" i="9" s="1"/>
  <c r="AT255" i="9"/>
  <c r="AL183" i="9"/>
  <c r="AL182" i="9" s="1"/>
  <c r="AJ181" i="9"/>
  <c r="AJ168" i="9" s="1"/>
  <c r="AT195" i="9"/>
  <c r="AI30" i="9"/>
  <c r="AH32" i="9"/>
  <c r="AH31" i="9" s="1"/>
  <c r="AH183" i="9"/>
  <c r="AH182" i="9" s="1"/>
  <c r="AT114" i="9"/>
  <c r="AT112" i="9" s="1"/>
  <c r="AT162" i="9"/>
  <c r="AT170" i="9"/>
  <c r="AT169" i="9" s="1"/>
  <c r="AS208" i="9"/>
  <c r="AT226" i="9"/>
  <c r="AS91" i="9"/>
  <c r="AS30" i="9" s="1"/>
  <c r="AQ154" i="9"/>
  <c r="AQ153" i="9" s="1"/>
  <c r="H46" i="16" s="1"/>
  <c r="M46" i="16" s="1"/>
  <c r="AR32" i="9"/>
  <c r="AR31" i="9" s="1"/>
  <c r="AQ226" i="9"/>
  <c r="AT44" i="9"/>
  <c r="AD183" i="9"/>
  <c r="AD182" i="9" s="1"/>
  <c r="AH243" i="9"/>
  <c r="AH242" i="9" s="1"/>
  <c r="AU181" i="9"/>
  <c r="AU168" i="9" s="1"/>
  <c r="AO30" i="9"/>
  <c r="AP243" i="9"/>
  <c r="AP242" i="9" s="1"/>
  <c r="AM181" i="9"/>
  <c r="AM168" i="9" s="1"/>
  <c r="AT263" i="9"/>
  <c r="AL209" i="9"/>
  <c r="AL208" i="9" s="1"/>
  <c r="AT158" i="9"/>
  <c r="AQ209" i="9"/>
  <c r="AQ208" i="9" s="1"/>
  <c r="AT185" i="9"/>
  <c r="AT184" i="9" s="1"/>
  <c r="AL243" i="9"/>
  <c r="AL242" i="9" s="1"/>
  <c r="AB57" i="9"/>
  <c r="AB30" i="9" s="1"/>
  <c r="AX93" i="9"/>
  <c r="AX92" i="9" s="1"/>
  <c r="AX91" i="9" s="1"/>
  <c r="AV181" i="9"/>
  <c r="AV168" i="9" s="1"/>
  <c r="AT210" i="9"/>
  <c r="AT209" i="9" s="1"/>
  <c r="I180" i="16" s="1"/>
  <c r="K180" i="16" s="1"/>
  <c r="AD243" i="9"/>
  <c r="AD242" i="9" s="1"/>
  <c r="AT283" i="9"/>
  <c r="AT281" i="9" s="1"/>
  <c r="AS242" i="9"/>
  <c r="AP209" i="9"/>
  <c r="AP208" i="9" s="1"/>
  <c r="AT272" i="9"/>
  <c r="AT271" i="9" s="1"/>
  <c r="AF182" i="9"/>
  <c r="AF181" i="9" s="1"/>
  <c r="AF168" i="9" s="1"/>
  <c r="P136" i="11"/>
  <c r="AF57" i="9"/>
  <c r="AF30" i="9" s="1"/>
  <c r="AT60" i="9"/>
  <c r="AT59" i="9" s="1"/>
  <c r="AH57" i="9"/>
  <c r="AT95" i="9"/>
  <c r="AT94" i="9" s="1"/>
  <c r="AH93" i="9"/>
  <c r="AH92" i="9" s="1"/>
  <c r="AH91" i="9" s="1"/>
  <c r="AR208" i="9"/>
  <c r="AV57" i="9"/>
  <c r="AV30" i="9" s="1"/>
  <c r="AX57" i="9"/>
  <c r="AR101" i="9"/>
  <c r="AR100" i="9" s="1"/>
  <c r="AR93" i="9" s="1"/>
  <c r="AR92" i="9" s="1"/>
  <c r="AR91" i="9" s="1"/>
  <c r="AQ60" i="9"/>
  <c r="AQ59" i="9" s="1"/>
  <c r="AQ58" i="9" s="1"/>
  <c r="AT104" i="9"/>
  <c r="H181" i="9"/>
  <c r="H168" i="9" s="1"/>
  <c r="AD92" i="9"/>
  <c r="AD91" i="9" s="1"/>
  <c r="AD58" i="9"/>
  <c r="AD57" i="9" s="1"/>
  <c r="AR58" i="9"/>
  <c r="AT70" i="9"/>
  <c r="AT69" i="9" s="1"/>
  <c r="AQ121" i="9"/>
  <c r="AQ120" i="9" s="1"/>
  <c r="AQ242" i="9"/>
  <c r="AX242" i="9"/>
  <c r="AX181" i="9" s="1"/>
  <c r="AX168" i="9" s="1"/>
  <c r="AQ183" i="9"/>
  <c r="AQ182" i="9" s="1"/>
  <c r="AA33" i="13"/>
  <c r="AA34" i="15" s="1"/>
  <c r="W33" i="13"/>
  <c r="W34" i="15" s="1"/>
  <c r="V33" i="13"/>
  <c r="V34" i="15" s="1"/>
  <c r="U33" i="13"/>
  <c r="U34" i="15" s="1"/>
  <c r="T33" i="13"/>
  <c r="R33" i="13"/>
  <c r="R34" i="15" s="1"/>
  <c r="Q33" i="13"/>
  <c r="Q34" i="15" s="1"/>
  <c r="P33" i="13"/>
  <c r="P34" i="15" s="1"/>
  <c r="O33" i="13"/>
  <c r="M33" i="13"/>
  <c r="M34" i="15" s="1"/>
  <c r="L33" i="13"/>
  <c r="L34" i="15" s="1"/>
  <c r="K33" i="13"/>
  <c r="K34" i="15" s="1"/>
  <c r="H33" i="13"/>
  <c r="H34" i="15" s="1"/>
  <c r="G33" i="13"/>
  <c r="AA33" i="15"/>
  <c r="W33" i="15"/>
  <c r="V33" i="15"/>
  <c r="U33" i="15"/>
  <c r="R33" i="15"/>
  <c r="Q33" i="15"/>
  <c r="P33" i="15"/>
  <c r="M33" i="15"/>
  <c r="L33" i="15"/>
  <c r="K33" i="15"/>
  <c r="H33" i="15"/>
  <c r="G33" i="15"/>
  <c r="X502" i="13"/>
  <c r="S502" i="13"/>
  <c r="I502" i="13"/>
  <c r="J502" i="13" s="1"/>
  <c r="X161" i="13"/>
  <c r="S161" i="13"/>
  <c r="I161" i="13"/>
  <c r="J161" i="13" s="1"/>
  <c r="N161" i="13" s="1"/>
  <c r="X371" i="13"/>
  <c r="S371" i="13"/>
  <c r="I371" i="13"/>
  <c r="AA233" i="15"/>
  <c r="W233" i="15"/>
  <c r="V233" i="15"/>
  <c r="U233" i="15"/>
  <c r="T233" i="15"/>
  <c r="R233" i="15"/>
  <c r="Q233" i="15"/>
  <c r="P233" i="15"/>
  <c r="O233" i="15"/>
  <c r="M233" i="15"/>
  <c r="L233" i="15"/>
  <c r="K233" i="15"/>
  <c r="H233" i="15"/>
  <c r="G233" i="15"/>
  <c r="AA232" i="15"/>
  <c r="W232" i="15"/>
  <c r="V232" i="15"/>
  <c r="U232" i="15"/>
  <c r="T232" i="15"/>
  <c r="R232" i="15"/>
  <c r="Q232" i="15"/>
  <c r="P232" i="15"/>
  <c r="O232" i="15"/>
  <c r="M232" i="15"/>
  <c r="L232" i="15"/>
  <c r="K232" i="15"/>
  <c r="H232" i="15"/>
  <c r="G232" i="15"/>
  <c r="AA231" i="15"/>
  <c r="W231" i="15"/>
  <c r="V231" i="15"/>
  <c r="U231" i="15"/>
  <c r="T231" i="15"/>
  <c r="R231" i="15"/>
  <c r="Q231" i="15"/>
  <c r="P231" i="15"/>
  <c r="O231" i="15"/>
  <c r="M231" i="15"/>
  <c r="L231" i="15"/>
  <c r="K231" i="15"/>
  <c r="H231" i="15"/>
  <c r="G231" i="15"/>
  <c r="AA115" i="13"/>
  <c r="AA116" i="15" s="1"/>
  <c r="W115" i="13"/>
  <c r="W116" i="15" s="1"/>
  <c r="V115" i="13"/>
  <c r="V116" i="15" s="1"/>
  <c r="U115" i="13"/>
  <c r="U116" i="15" s="1"/>
  <c r="T115" i="13"/>
  <c r="R115" i="13"/>
  <c r="R116" i="15" s="1"/>
  <c r="Q115" i="13"/>
  <c r="Q116" i="15" s="1"/>
  <c r="P115" i="13"/>
  <c r="P116" i="15" s="1"/>
  <c r="O115" i="13"/>
  <c r="M115" i="13"/>
  <c r="M116" i="15" s="1"/>
  <c r="L115" i="13"/>
  <c r="L116" i="15" s="1"/>
  <c r="K115" i="13"/>
  <c r="K116" i="15" s="1"/>
  <c r="H115" i="13"/>
  <c r="H116" i="15" s="1"/>
  <c r="G115" i="13"/>
  <c r="AA114" i="13"/>
  <c r="AA115" i="15" s="1"/>
  <c r="W114" i="13"/>
  <c r="W115" i="15" s="1"/>
  <c r="V114" i="13"/>
  <c r="V115" i="15" s="1"/>
  <c r="U114" i="13"/>
  <c r="U115" i="15" s="1"/>
  <c r="T114" i="13"/>
  <c r="R114" i="13"/>
  <c r="R115" i="15" s="1"/>
  <c r="Q114" i="13"/>
  <c r="Q115" i="15" s="1"/>
  <c r="P114" i="13"/>
  <c r="P115" i="15" s="1"/>
  <c r="O114" i="13"/>
  <c r="M114" i="13"/>
  <c r="M115" i="15" s="1"/>
  <c r="L114" i="13"/>
  <c r="L115" i="15" s="1"/>
  <c r="K114" i="13"/>
  <c r="K115" i="15" s="1"/>
  <c r="H114" i="13"/>
  <c r="H115" i="15" s="1"/>
  <c r="G114" i="13"/>
  <c r="G115" i="15" s="1"/>
  <c r="AA113" i="13"/>
  <c r="AA114" i="15" s="1"/>
  <c r="W113" i="13"/>
  <c r="W114" i="15" s="1"/>
  <c r="V113" i="13"/>
  <c r="V114" i="15" s="1"/>
  <c r="U113" i="13"/>
  <c r="U114" i="15" s="1"/>
  <c r="T113" i="13"/>
  <c r="T114" i="15" s="1"/>
  <c r="R113" i="13"/>
  <c r="R114" i="15" s="1"/>
  <c r="Q113" i="13"/>
  <c r="Q114" i="15" s="1"/>
  <c r="P113" i="13"/>
  <c r="P114" i="15" s="1"/>
  <c r="O113" i="13"/>
  <c r="O114" i="15" s="1"/>
  <c r="M113" i="13"/>
  <c r="M114" i="15" s="1"/>
  <c r="L113" i="13"/>
  <c r="L114" i="15" s="1"/>
  <c r="K113" i="13"/>
  <c r="K114" i="15" s="1"/>
  <c r="H113" i="13"/>
  <c r="H114" i="15" s="1"/>
  <c r="G113" i="13"/>
  <c r="AA809" i="13"/>
  <c r="AA341" i="15" s="1"/>
  <c r="W809" i="13"/>
  <c r="W341" i="15" s="1"/>
  <c r="V809" i="13"/>
  <c r="V341" i="15" s="1"/>
  <c r="U809" i="13"/>
  <c r="U341" i="15" s="1"/>
  <c r="T809" i="13"/>
  <c r="T341" i="15" s="1"/>
  <c r="R809" i="13"/>
  <c r="R341" i="15" s="1"/>
  <c r="Q809" i="13"/>
  <c r="Q341" i="15" s="1"/>
  <c r="P809" i="13"/>
  <c r="P341" i="15" s="1"/>
  <c r="O809" i="13"/>
  <c r="O341" i="15" s="1"/>
  <c r="M809" i="13"/>
  <c r="M341" i="15" s="1"/>
  <c r="L809" i="13"/>
  <c r="L341" i="15" s="1"/>
  <c r="K809" i="13"/>
  <c r="K341" i="15" s="1"/>
  <c r="H809" i="13"/>
  <c r="H341" i="15" s="1"/>
  <c r="G809" i="13"/>
  <c r="AA808" i="13"/>
  <c r="AA340" i="15" s="1"/>
  <c r="W808" i="13"/>
  <c r="W340" i="15" s="1"/>
  <c r="V808" i="13"/>
  <c r="V340" i="15" s="1"/>
  <c r="U808" i="13"/>
  <c r="U340" i="15" s="1"/>
  <c r="T808" i="13"/>
  <c r="R808" i="13"/>
  <c r="R340" i="15" s="1"/>
  <c r="Q808" i="13"/>
  <c r="Q340" i="15" s="1"/>
  <c r="P808" i="13"/>
  <c r="P340" i="15" s="1"/>
  <c r="O808" i="13"/>
  <c r="M808" i="13"/>
  <c r="M340" i="15" s="1"/>
  <c r="L808" i="13"/>
  <c r="L340" i="15" s="1"/>
  <c r="K808" i="13"/>
  <c r="K340" i="15" s="1"/>
  <c r="H808" i="13"/>
  <c r="G808" i="13"/>
  <c r="G340" i="15" s="1"/>
  <c r="AA807" i="13"/>
  <c r="AA339" i="15" s="1"/>
  <c r="W807" i="13"/>
  <c r="W339" i="15" s="1"/>
  <c r="V807" i="13"/>
  <c r="V339" i="15" s="1"/>
  <c r="U807" i="13"/>
  <c r="U339" i="15" s="1"/>
  <c r="T807" i="13"/>
  <c r="T339" i="15" s="1"/>
  <c r="R807" i="13"/>
  <c r="R339" i="15" s="1"/>
  <c r="Q807" i="13"/>
  <c r="Q339" i="15" s="1"/>
  <c r="P807" i="13"/>
  <c r="P339" i="15" s="1"/>
  <c r="O807" i="13"/>
  <c r="O339" i="15" s="1"/>
  <c r="M807" i="13"/>
  <c r="M339" i="15" s="1"/>
  <c r="L807" i="13"/>
  <c r="L339" i="15" s="1"/>
  <c r="K807" i="13"/>
  <c r="K339" i="15" s="1"/>
  <c r="H807" i="13"/>
  <c r="H339" i="15" s="1"/>
  <c r="G807" i="13"/>
  <c r="X1202" i="13"/>
  <c r="S1202" i="13"/>
  <c r="I1202" i="13"/>
  <c r="X1201" i="13"/>
  <c r="S1201" i="13"/>
  <c r="I1201" i="13"/>
  <c r="X1096" i="13"/>
  <c r="S1096" i="13"/>
  <c r="I1096" i="13"/>
  <c r="J1096" i="13" s="1"/>
  <c r="N1096" i="13" s="1"/>
  <c r="X1095" i="13"/>
  <c r="S1095" i="13"/>
  <c r="I1095" i="13"/>
  <c r="J1095" i="13" s="1"/>
  <c r="N1095" i="13" s="1"/>
  <c r="X1020" i="13"/>
  <c r="S1020" i="13"/>
  <c r="I1020" i="13"/>
  <c r="X1019" i="13"/>
  <c r="S1019" i="13"/>
  <c r="I1019" i="13"/>
  <c r="X913" i="13"/>
  <c r="S913" i="13"/>
  <c r="I913" i="13"/>
  <c r="X912" i="13"/>
  <c r="S912" i="13"/>
  <c r="I912" i="13"/>
  <c r="X700" i="13"/>
  <c r="S700" i="13"/>
  <c r="I700" i="13"/>
  <c r="J700" i="13" s="1"/>
  <c r="N700" i="13" s="1"/>
  <c r="X699" i="13"/>
  <c r="S699" i="13"/>
  <c r="I699" i="13"/>
  <c r="J699" i="13" s="1"/>
  <c r="N699" i="13" s="1"/>
  <c r="X583" i="13"/>
  <c r="S583" i="13"/>
  <c r="I583" i="13"/>
  <c r="J583" i="13" s="1"/>
  <c r="N583" i="13" s="1"/>
  <c r="X582" i="13"/>
  <c r="S582" i="13"/>
  <c r="I582" i="13"/>
  <c r="J582" i="13" s="1"/>
  <c r="N582" i="13" s="1"/>
  <c r="X453" i="13"/>
  <c r="S453" i="13"/>
  <c r="I453" i="13"/>
  <c r="X452" i="13"/>
  <c r="S452" i="13"/>
  <c r="I452" i="13"/>
  <c r="X353" i="13"/>
  <c r="S353" i="13"/>
  <c r="I353" i="13"/>
  <c r="X352" i="13"/>
  <c r="S352" i="13"/>
  <c r="I352" i="13"/>
  <c r="X243" i="13"/>
  <c r="S243" i="13"/>
  <c r="I243" i="13"/>
  <c r="J243" i="13" s="1"/>
  <c r="N243" i="13" s="1"/>
  <c r="X242" i="13"/>
  <c r="S242" i="13"/>
  <c r="I242" i="13"/>
  <c r="J242" i="13" s="1"/>
  <c r="N242" i="13" s="1"/>
  <c r="AA214" i="15"/>
  <c r="W214" i="15"/>
  <c r="V214" i="15"/>
  <c r="U214" i="15"/>
  <c r="T214" i="15"/>
  <c r="R214" i="15"/>
  <c r="Q214" i="15"/>
  <c r="P214" i="15"/>
  <c r="O214" i="15"/>
  <c r="M214" i="15"/>
  <c r="L214" i="15"/>
  <c r="K214" i="15"/>
  <c r="H214" i="15"/>
  <c r="G214" i="15"/>
  <c r="AA96" i="13"/>
  <c r="AA97" i="15" s="1"/>
  <c r="W96" i="13"/>
  <c r="W97" i="15" s="1"/>
  <c r="V96" i="13"/>
  <c r="V97" i="15" s="1"/>
  <c r="U96" i="13"/>
  <c r="U97" i="15" s="1"/>
  <c r="T96" i="13"/>
  <c r="R96" i="13"/>
  <c r="R97" i="15" s="1"/>
  <c r="Q96" i="13"/>
  <c r="Q97" i="15" s="1"/>
  <c r="P96" i="13"/>
  <c r="P97" i="15" s="1"/>
  <c r="O96" i="13"/>
  <c r="M96" i="13"/>
  <c r="M97" i="15" s="1"/>
  <c r="L96" i="13"/>
  <c r="L97" i="15" s="1"/>
  <c r="K96" i="13"/>
  <c r="K97" i="15" s="1"/>
  <c r="H96" i="13"/>
  <c r="H97" i="15" s="1"/>
  <c r="G96" i="13"/>
  <c r="AA790" i="13"/>
  <c r="AA322" i="15" s="1"/>
  <c r="W790" i="13"/>
  <c r="W322" i="15" s="1"/>
  <c r="V790" i="13"/>
  <c r="V322" i="15" s="1"/>
  <c r="U790" i="13"/>
  <c r="U322" i="15" s="1"/>
  <c r="T790" i="13"/>
  <c r="R790" i="13"/>
  <c r="R322" i="15" s="1"/>
  <c r="Q790" i="13"/>
  <c r="Q322" i="15" s="1"/>
  <c r="P790" i="13"/>
  <c r="P322" i="15" s="1"/>
  <c r="O790" i="13"/>
  <c r="M790" i="13"/>
  <c r="M322" i="15" s="1"/>
  <c r="L790" i="13"/>
  <c r="L322" i="15" s="1"/>
  <c r="K790" i="13"/>
  <c r="K322" i="15" s="1"/>
  <c r="H790" i="13"/>
  <c r="G790" i="13"/>
  <c r="G322" i="15" s="1"/>
  <c r="X1184" i="13"/>
  <c r="S1184" i="13"/>
  <c r="I1184" i="13"/>
  <c r="X1078" i="13"/>
  <c r="S1078" i="13"/>
  <c r="I1078" i="13"/>
  <c r="J1078" i="13" s="1"/>
  <c r="N1078" i="13" s="1"/>
  <c r="X1002" i="13"/>
  <c r="S1002" i="13"/>
  <c r="I1002" i="13"/>
  <c r="X895" i="13"/>
  <c r="S895" i="13"/>
  <c r="I895" i="13"/>
  <c r="X682" i="13"/>
  <c r="S682" i="13"/>
  <c r="I682" i="13"/>
  <c r="J682" i="13" s="1"/>
  <c r="X565" i="13"/>
  <c r="S565" i="13"/>
  <c r="I565" i="13"/>
  <c r="J565" i="13" s="1"/>
  <c r="X435" i="13"/>
  <c r="S435" i="13"/>
  <c r="I435" i="13"/>
  <c r="J435" i="13" s="1"/>
  <c r="N435" i="13" s="1"/>
  <c r="X335" i="13"/>
  <c r="S335" i="13"/>
  <c r="I335" i="13"/>
  <c r="X225" i="13"/>
  <c r="S225" i="13"/>
  <c r="I225" i="13"/>
  <c r="J225" i="13" s="1"/>
  <c r="N225" i="13" s="1"/>
  <c r="AA75" i="13"/>
  <c r="AA76" i="15" s="1"/>
  <c r="W75" i="13"/>
  <c r="W76" i="15" s="1"/>
  <c r="V75" i="13"/>
  <c r="V76" i="15" s="1"/>
  <c r="U75" i="13"/>
  <c r="U76" i="15" s="1"/>
  <c r="T75" i="13"/>
  <c r="T76" i="15" s="1"/>
  <c r="R75" i="13"/>
  <c r="R76" i="15" s="1"/>
  <c r="Q75" i="13"/>
  <c r="Q76" i="15" s="1"/>
  <c r="P75" i="13"/>
  <c r="P76" i="15" s="1"/>
  <c r="O75" i="13"/>
  <c r="M75" i="13"/>
  <c r="M76" i="15" s="1"/>
  <c r="L75" i="13"/>
  <c r="L76" i="15" s="1"/>
  <c r="K75" i="13"/>
  <c r="K76" i="15" s="1"/>
  <c r="H75" i="13"/>
  <c r="H76" i="15" s="1"/>
  <c r="G75" i="13"/>
  <c r="AA769" i="13"/>
  <c r="AA301" i="15" s="1"/>
  <c r="W769" i="13"/>
  <c r="W301" i="15" s="1"/>
  <c r="V769" i="13"/>
  <c r="V301" i="15" s="1"/>
  <c r="U769" i="13"/>
  <c r="U301" i="15" s="1"/>
  <c r="T769" i="13"/>
  <c r="T301" i="15" s="1"/>
  <c r="R769" i="13"/>
  <c r="R301" i="15" s="1"/>
  <c r="Q769" i="13"/>
  <c r="Q301" i="15" s="1"/>
  <c r="P769" i="13"/>
  <c r="P301" i="15" s="1"/>
  <c r="O769" i="13"/>
  <c r="O301" i="15" s="1"/>
  <c r="M769" i="13"/>
  <c r="M301" i="15" s="1"/>
  <c r="L769" i="13"/>
  <c r="L301" i="15" s="1"/>
  <c r="K769" i="13"/>
  <c r="K301" i="15" s="1"/>
  <c r="H769" i="13"/>
  <c r="H301" i="15" s="1"/>
  <c r="G769" i="13"/>
  <c r="AA193" i="15"/>
  <c r="W193" i="15"/>
  <c r="V193" i="15"/>
  <c r="U193" i="15"/>
  <c r="T193" i="15"/>
  <c r="R193" i="15"/>
  <c r="Q193" i="15"/>
  <c r="P193" i="15"/>
  <c r="O193" i="15"/>
  <c r="M193" i="15"/>
  <c r="L193" i="15"/>
  <c r="K193" i="15"/>
  <c r="H193" i="15"/>
  <c r="G193" i="15"/>
  <c r="X1163" i="13"/>
  <c r="S1163" i="13"/>
  <c r="I1163" i="13"/>
  <c r="X1057" i="13"/>
  <c r="S1057" i="13"/>
  <c r="I1057" i="13"/>
  <c r="J1057" i="13" s="1"/>
  <c r="N1057" i="13" s="1"/>
  <c r="X981" i="13"/>
  <c r="S981" i="13"/>
  <c r="I981" i="13"/>
  <c r="X874" i="13"/>
  <c r="S874" i="13"/>
  <c r="I874" i="13"/>
  <c r="X661" i="13"/>
  <c r="S661" i="13"/>
  <c r="I661" i="13"/>
  <c r="J661" i="13" s="1"/>
  <c r="N661" i="13" s="1"/>
  <c r="X544" i="13"/>
  <c r="S544" i="13"/>
  <c r="I544" i="13"/>
  <c r="X414" i="13"/>
  <c r="S414" i="13"/>
  <c r="I414" i="13"/>
  <c r="X314" i="13"/>
  <c r="S314" i="13"/>
  <c r="I314" i="13"/>
  <c r="J314" i="13" s="1"/>
  <c r="X204" i="13"/>
  <c r="S204" i="13"/>
  <c r="AB204" i="13" s="1"/>
  <c r="I204" i="13"/>
  <c r="J204" i="13" s="1"/>
  <c r="AA166" i="15"/>
  <c r="W166" i="15"/>
  <c r="V166" i="15"/>
  <c r="U166" i="15"/>
  <c r="T166" i="15"/>
  <c r="R166" i="15"/>
  <c r="Q166" i="15"/>
  <c r="P166" i="15"/>
  <c r="O166" i="15"/>
  <c r="M166" i="15"/>
  <c r="L166" i="15"/>
  <c r="K166" i="15"/>
  <c r="H166" i="15"/>
  <c r="G166" i="15"/>
  <c r="G742" i="13"/>
  <c r="G274" i="15" s="1"/>
  <c r="AA742" i="13"/>
  <c r="AA274" i="15" s="1"/>
  <c r="W742" i="13"/>
  <c r="W274" i="15" s="1"/>
  <c r="V742" i="13"/>
  <c r="V274" i="15" s="1"/>
  <c r="U742" i="13"/>
  <c r="U274" i="15" s="1"/>
  <c r="T742" i="13"/>
  <c r="R742" i="13"/>
  <c r="R274" i="15" s="1"/>
  <c r="Q742" i="13"/>
  <c r="Q274" i="15" s="1"/>
  <c r="P742" i="13"/>
  <c r="P274" i="15" s="1"/>
  <c r="O742" i="13"/>
  <c r="M742" i="13"/>
  <c r="M274" i="15" s="1"/>
  <c r="L742" i="13"/>
  <c r="L274" i="15" s="1"/>
  <c r="K742" i="13"/>
  <c r="K274" i="15" s="1"/>
  <c r="H742" i="13"/>
  <c r="H274" i="15" s="1"/>
  <c r="G48" i="13"/>
  <c r="G49" i="15" s="1"/>
  <c r="AA48" i="13"/>
  <c r="AA49" i="15" s="1"/>
  <c r="W48" i="13"/>
  <c r="W49" i="15" s="1"/>
  <c r="V48" i="13"/>
  <c r="V49" i="15" s="1"/>
  <c r="U48" i="13"/>
  <c r="U49" i="15" s="1"/>
  <c r="T48" i="13"/>
  <c r="R48" i="13"/>
  <c r="R49" i="15" s="1"/>
  <c r="Q48" i="13"/>
  <c r="Q49" i="15" s="1"/>
  <c r="P48" i="13"/>
  <c r="P49" i="15" s="1"/>
  <c r="O48" i="13"/>
  <c r="M48" i="13"/>
  <c r="M49" i="15" s="1"/>
  <c r="L48" i="13"/>
  <c r="L49" i="15" s="1"/>
  <c r="K48" i="13"/>
  <c r="K49" i="15" s="1"/>
  <c r="H48" i="13"/>
  <c r="H49" i="15" s="1"/>
  <c r="X1136" i="13"/>
  <c r="S1136" i="13"/>
  <c r="I1136" i="13"/>
  <c r="J1136" i="13" s="1"/>
  <c r="N1136" i="13" s="1"/>
  <c r="X1030" i="13"/>
  <c r="S1030" i="13"/>
  <c r="I1030" i="13"/>
  <c r="X954" i="13"/>
  <c r="S954" i="13"/>
  <c r="I954" i="13"/>
  <c r="J954" i="13" s="1"/>
  <c r="N954" i="13" s="1"/>
  <c r="X847" i="13"/>
  <c r="S847" i="13"/>
  <c r="I847" i="13"/>
  <c r="X634" i="13"/>
  <c r="S634" i="13"/>
  <c r="I634" i="13"/>
  <c r="J634" i="13" s="1"/>
  <c r="N634" i="13" s="1"/>
  <c r="X517" i="13"/>
  <c r="S517" i="13"/>
  <c r="I517" i="13"/>
  <c r="J517" i="13" s="1"/>
  <c r="N517" i="13" s="1"/>
  <c r="X387" i="13"/>
  <c r="S387" i="13"/>
  <c r="I387" i="13"/>
  <c r="J387" i="13" s="1"/>
  <c r="X287" i="13"/>
  <c r="S287" i="13"/>
  <c r="I287" i="13"/>
  <c r="X177" i="13"/>
  <c r="S177" i="13"/>
  <c r="I177" i="13"/>
  <c r="AA40" i="13"/>
  <c r="AA41" i="15" s="1"/>
  <c r="W40" i="13"/>
  <c r="W41" i="15" s="1"/>
  <c r="V40" i="13"/>
  <c r="V41" i="15" s="1"/>
  <c r="U40" i="13"/>
  <c r="U41" i="15" s="1"/>
  <c r="T40" i="13"/>
  <c r="T41" i="15" s="1"/>
  <c r="R40" i="13"/>
  <c r="R41" i="15" s="1"/>
  <c r="Q40" i="13"/>
  <c r="Q41" i="15" s="1"/>
  <c r="P40" i="13"/>
  <c r="P41" i="15" s="1"/>
  <c r="O40" i="13"/>
  <c r="O41" i="15" s="1"/>
  <c r="M40" i="13"/>
  <c r="M41" i="15" s="1"/>
  <c r="L40" i="13"/>
  <c r="L41" i="15" s="1"/>
  <c r="K40" i="13"/>
  <c r="H40" i="13"/>
  <c r="H41" i="15" s="1"/>
  <c r="G40" i="13"/>
  <c r="G41" i="15" s="1"/>
  <c r="AA487" i="13"/>
  <c r="W487" i="13"/>
  <c r="V487" i="13"/>
  <c r="U487" i="13"/>
  <c r="T487" i="13"/>
  <c r="R487" i="13"/>
  <c r="Q487" i="13"/>
  <c r="P487" i="13"/>
  <c r="O487" i="13"/>
  <c r="M487" i="13"/>
  <c r="L487" i="13"/>
  <c r="K487" i="13"/>
  <c r="H487" i="13"/>
  <c r="G487" i="13"/>
  <c r="X509" i="13"/>
  <c r="S509" i="13"/>
  <c r="I509" i="13"/>
  <c r="AA357" i="13"/>
  <c r="W357" i="13"/>
  <c r="V357" i="13"/>
  <c r="U357" i="13"/>
  <c r="T357" i="13"/>
  <c r="R357" i="13"/>
  <c r="Q357" i="13"/>
  <c r="P357" i="13"/>
  <c r="O357" i="13"/>
  <c r="M357" i="13"/>
  <c r="L357" i="13"/>
  <c r="H357" i="13"/>
  <c r="G357" i="13"/>
  <c r="X379" i="13"/>
  <c r="S379" i="13"/>
  <c r="I379" i="13"/>
  <c r="J379" i="13" s="1"/>
  <c r="N379" i="13" s="1"/>
  <c r="AA147" i="13"/>
  <c r="W147" i="13"/>
  <c r="V147" i="13"/>
  <c r="U147" i="13"/>
  <c r="T147" i="13"/>
  <c r="R147" i="13"/>
  <c r="Q147" i="13"/>
  <c r="P147" i="13"/>
  <c r="O147" i="13"/>
  <c r="M147" i="13"/>
  <c r="L147" i="13"/>
  <c r="K147" i="13"/>
  <c r="H147" i="13"/>
  <c r="G147" i="13"/>
  <c r="X169" i="13"/>
  <c r="S169" i="13"/>
  <c r="I169" i="13"/>
  <c r="L69" i="11"/>
  <c r="L68" i="11"/>
  <c r="L67" i="11"/>
  <c r="H69" i="11"/>
  <c r="AA29" i="11"/>
  <c r="AA28" i="11" s="1"/>
  <c r="W29" i="11"/>
  <c r="W28" i="11" s="1"/>
  <c r="V29" i="11"/>
  <c r="V28" i="11" s="1"/>
  <c r="U29" i="11"/>
  <c r="U28" i="11" s="1"/>
  <c r="T29" i="11"/>
  <c r="T28" i="11" s="1"/>
  <c r="R29" i="11"/>
  <c r="R28" i="11" s="1"/>
  <c r="Q29" i="11"/>
  <c r="Q28" i="11" s="1"/>
  <c r="P29" i="11"/>
  <c r="P28" i="11" s="1"/>
  <c r="O29" i="11"/>
  <c r="O28" i="11" s="1"/>
  <c r="K29" i="11"/>
  <c r="K28" i="11" s="1"/>
  <c r="G29" i="11"/>
  <c r="G28" i="11" s="1"/>
  <c r="L28" i="11"/>
  <c r="H28" i="11"/>
  <c r="BW25" i="9"/>
  <c r="BW24" i="9" s="1"/>
  <c r="BM25" i="9"/>
  <c r="BM24" i="9" s="1"/>
  <c r="BL25" i="9"/>
  <c r="BL24" i="9" s="1"/>
  <c r="BK25" i="9"/>
  <c r="BJ25" i="9"/>
  <c r="BJ24" i="9" s="1"/>
  <c r="BF25" i="9"/>
  <c r="BF24" i="9" s="1"/>
  <c r="BB25" i="9"/>
  <c r="BB24" i="9" s="1"/>
  <c r="Y25" i="9"/>
  <c r="Y24" i="9" s="1"/>
  <c r="X25" i="9"/>
  <c r="BQ25" i="9" s="1"/>
  <c r="BQ24" i="9" s="1"/>
  <c r="W25" i="9"/>
  <c r="W24" i="9" s="1"/>
  <c r="V25" i="9"/>
  <c r="V24" i="9" s="1"/>
  <c r="R25" i="9"/>
  <c r="R24" i="9" s="1"/>
  <c r="N25" i="9"/>
  <c r="N24" i="9" s="1"/>
  <c r="J25" i="9"/>
  <c r="J24" i="9" s="1"/>
  <c r="BV24" i="9"/>
  <c r="BU24" i="9"/>
  <c r="BT24" i="9"/>
  <c r="BO24" i="9"/>
  <c r="BK24" i="9"/>
  <c r="BI24" i="9"/>
  <c r="BH24" i="9"/>
  <c r="BG24" i="9"/>
  <c r="BE24" i="9"/>
  <c r="BD24" i="9"/>
  <c r="BC24" i="9"/>
  <c r="BA24" i="9"/>
  <c r="AZ24" i="9"/>
  <c r="AY24" i="9"/>
  <c r="U24" i="9"/>
  <c r="T24" i="9"/>
  <c r="S24" i="9"/>
  <c r="Q24" i="9"/>
  <c r="P24" i="9"/>
  <c r="O24" i="9"/>
  <c r="M24" i="9"/>
  <c r="L24" i="9"/>
  <c r="K24" i="9"/>
  <c r="I24" i="9"/>
  <c r="H24" i="9"/>
  <c r="G24" i="9"/>
  <c r="AA1205" i="13"/>
  <c r="AA1130" i="13"/>
  <c r="AA1099" i="13"/>
  <c r="AA1024" i="13"/>
  <c r="AA916" i="13"/>
  <c r="AA841" i="13"/>
  <c r="AA838" i="13"/>
  <c r="AA370" i="15" s="1"/>
  <c r="AA836" i="13"/>
  <c r="AA368" i="15" s="1"/>
  <c r="AA834" i="13"/>
  <c r="AA366" i="15" s="1"/>
  <c r="AA833" i="13"/>
  <c r="AA365" i="15" s="1"/>
  <c r="AA831" i="13"/>
  <c r="AA363" i="15" s="1"/>
  <c r="AA830" i="13"/>
  <c r="AA362" i="15" s="1"/>
  <c r="AA829" i="13"/>
  <c r="AA361" i="15" s="1"/>
  <c r="AA827" i="13"/>
  <c r="AA359" i="15" s="1"/>
  <c r="AA826" i="13"/>
  <c r="AA358" i="15" s="1"/>
  <c r="AA825" i="13"/>
  <c r="AA357" i="15" s="1"/>
  <c r="AA824" i="13"/>
  <c r="AA356" i="15" s="1"/>
  <c r="AA823" i="13"/>
  <c r="AA355" i="15" s="1"/>
  <c r="AA822" i="13"/>
  <c r="AA354" i="15" s="1"/>
  <c r="AA821" i="13"/>
  <c r="AA353" i="15" s="1"/>
  <c r="AA819" i="13"/>
  <c r="AA351" i="15" s="1"/>
  <c r="AA818" i="13"/>
  <c r="AA350" i="15" s="1"/>
  <c r="AA817" i="13"/>
  <c r="AA349" i="15" s="1"/>
  <c r="AA815" i="13"/>
  <c r="AA347" i="15" s="1"/>
  <c r="AA814" i="13"/>
  <c r="AA346" i="15" s="1"/>
  <c r="AA806" i="13"/>
  <c r="AA338" i="15" s="1"/>
  <c r="AA805" i="13"/>
  <c r="AA337" i="15" s="1"/>
  <c r="AA804" i="13"/>
  <c r="AA336" i="15" s="1"/>
  <c r="AA803" i="13"/>
  <c r="AA335" i="15" s="1"/>
  <c r="AA802" i="13"/>
  <c r="AA334" i="15" s="1"/>
  <c r="AA801" i="13"/>
  <c r="AA333" i="15" s="1"/>
  <c r="AA800" i="13"/>
  <c r="AA332" i="15" s="1"/>
  <c r="AA799" i="13"/>
  <c r="AA331" i="15" s="1"/>
  <c r="AA798" i="13"/>
  <c r="AA330" i="15" s="1"/>
  <c r="AA797" i="13"/>
  <c r="AA329" i="15" s="1"/>
  <c r="AA795" i="13"/>
  <c r="AA794" i="13"/>
  <c r="AA326" i="15" s="1"/>
  <c r="AA793" i="13"/>
  <c r="AA325" i="15" s="1"/>
  <c r="AA791" i="13"/>
  <c r="AA323" i="15" s="1"/>
  <c r="AA789" i="13"/>
  <c r="AA321" i="15" s="1"/>
  <c r="AA788" i="13"/>
  <c r="AA320" i="15" s="1"/>
  <c r="AA787" i="13"/>
  <c r="AA319" i="15" s="1"/>
  <c r="AA786" i="13"/>
  <c r="AA318" i="15" s="1"/>
  <c r="AA785" i="13"/>
  <c r="AA317" i="15" s="1"/>
  <c r="AA784" i="13"/>
  <c r="AA316" i="15" s="1"/>
  <c r="AA783" i="13"/>
  <c r="AA315" i="15" s="1"/>
  <c r="AA782" i="13"/>
  <c r="AA314" i="15" s="1"/>
  <c r="AA781" i="13"/>
  <c r="AA313" i="15" s="1"/>
  <c r="AA780" i="13"/>
  <c r="AA312" i="15" s="1"/>
  <c r="AA779" i="13"/>
  <c r="AA311" i="15" s="1"/>
  <c r="AA778" i="13"/>
  <c r="AA310" i="15" s="1"/>
  <c r="AA777" i="13"/>
  <c r="AA309" i="15" s="1"/>
  <c r="AA776" i="13"/>
  <c r="AA308" i="15" s="1"/>
  <c r="AA775" i="13"/>
  <c r="AA307" i="15" s="1"/>
  <c r="AA774" i="13"/>
  <c r="AA306" i="15" s="1"/>
  <c r="AA772" i="13"/>
  <c r="AA304" i="15" s="1"/>
  <c r="AA771" i="13"/>
  <c r="AA303" i="15" s="1"/>
  <c r="AA770" i="13"/>
  <c r="AA302" i="15" s="1"/>
  <c r="AA768" i="13"/>
  <c r="AA300" i="15" s="1"/>
  <c r="AA766" i="13"/>
  <c r="AA298" i="15" s="1"/>
  <c r="AA765" i="13"/>
  <c r="AA297" i="15" s="1"/>
  <c r="AA764" i="13"/>
  <c r="AA296" i="15" s="1"/>
  <c r="AA763" i="13"/>
  <c r="AA295" i="15" s="1"/>
  <c r="AA761" i="13"/>
  <c r="AA293" i="15" s="1"/>
  <c r="AA759" i="13"/>
  <c r="AA291" i="15" s="1"/>
  <c r="AA758" i="13"/>
  <c r="AA290" i="15" s="1"/>
  <c r="AA757" i="13"/>
  <c r="AA289" i="15" s="1"/>
  <c r="AA756" i="13"/>
  <c r="AA288" i="15" s="1"/>
  <c r="AA755" i="13"/>
  <c r="AA287" i="15" s="1"/>
  <c r="AA753" i="13"/>
  <c r="AA285" i="15" s="1"/>
  <c r="AA752" i="13"/>
  <c r="AA284" i="15" s="1"/>
  <c r="AA750" i="13"/>
  <c r="AA282" i="15" s="1"/>
  <c r="AA749" i="13"/>
  <c r="AA281" i="15" s="1"/>
  <c r="AA748" i="13"/>
  <c r="AA280" i="15" s="1"/>
  <c r="AA747" i="13"/>
  <c r="AA279" i="15" s="1"/>
  <c r="AA746" i="13"/>
  <c r="AA278" i="15" s="1"/>
  <c r="AA745" i="13"/>
  <c r="AA277" i="15" s="1"/>
  <c r="AA743" i="13"/>
  <c r="AA275" i="15" s="1"/>
  <c r="AA741" i="13"/>
  <c r="AA273" i="15" s="1"/>
  <c r="AA739" i="13"/>
  <c r="AA271" i="15" s="1"/>
  <c r="AA738" i="13"/>
  <c r="AA270" i="15" s="1"/>
  <c r="AA627" i="13"/>
  <c r="AA586" i="13"/>
  <c r="AA511" i="13"/>
  <c r="AA456" i="13"/>
  <c r="AA381" i="13"/>
  <c r="AA281" i="13"/>
  <c r="AA277" i="13" s="1"/>
  <c r="AA246" i="13"/>
  <c r="AA171" i="13"/>
  <c r="AA144" i="13"/>
  <c r="AA145" i="15" s="1"/>
  <c r="AA142" i="13"/>
  <c r="AA143" i="15" s="1"/>
  <c r="AA140" i="13"/>
  <c r="AA141" i="15" s="1"/>
  <c r="AA139" i="13"/>
  <c r="AA140" i="15" s="1"/>
  <c r="AA137" i="13"/>
  <c r="AA138" i="15" s="1"/>
  <c r="AA136" i="13"/>
  <c r="AA137" i="15" s="1"/>
  <c r="AA135" i="13"/>
  <c r="AA133" i="13"/>
  <c r="AA134" i="15" s="1"/>
  <c r="AA132" i="13"/>
  <c r="AA133" i="15" s="1"/>
  <c r="AA131" i="13"/>
  <c r="AA132" i="15" s="1"/>
  <c r="AA130" i="13"/>
  <c r="AA131" i="15" s="1"/>
  <c r="AA129" i="13"/>
  <c r="AA130" i="15" s="1"/>
  <c r="AA128" i="13"/>
  <c r="AA129" i="15" s="1"/>
  <c r="AA127" i="13"/>
  <c r="AA128" i="15" s="1"/>
  <c r="AA125" i="13"/>
  <c r="AA126" i="15" s="1"/>
  <c r="AA124" i="13"/>
  <c r="AA125" i="15" s="1"/>
  <c r="AA123" i="13"/>
  <c r="AA124" i="15" s="1"/>
  <c r="AA121" i="13"/>
  <c r="AA122" i="15" s="1"/>
  <c r="AA120" i="13"/>
  <c r="AA121" i="15" s="1"/>
  <c r="AA112" i="13"/>
  <c r="AA113" i="15" s="1"/>
  <c r="AA111" i="13"/>
  <c r="AA112" i="15" s="1"/>
  <c r="AA110" i="13"/>
  <c r="AA111" i="15" s="1"/>
  <c r="AA109" i="13"/>
  <c r="AA110" i="15" s="1"/>
  <c r="AA108" i="13"/>
  <c r="AA109" i="15" s="1"/>
  <c r="AA107" i="13"/>
  <c r="AA108" i="15" s="1"/>
  <c r="AA106" i="13"/>
  <c r="AA107" i="15" s="1"/>
  <c r="AA105" i="13"/>
  <c r="AA106" i="15" s="1"/>
  <c r="AA104" i="13"/>
  <c r="AA105" i="15" s="1"/>
  <c r="AA103" i="13"/>
  <c r="AA104" i="15" s="1"/>
  <c r="AA101" i="13"/>
  <c r="AA102" i="15" s="1"/>
  <c r="AA100" i="13"/>
  <c r="AA101" i="15" s="1"/>
  <c r="AA99" i="13"/>
  <c r="AA100" i="15" s="1"/>
  <c r="AA97" i="13"/>
  <c r="AA98" i="15" s="1"/>
  <c r="AA95" i="13"/>
  <c r="AA96" i="15" s="1"/>
  <c r="AA94" i="13"/>
  <c r="AA95" i="15" s="1"/>
  <c r="AA93" i="13"/>
  <c r="AA94" i="15" s="1"/>
  <c r="AA92" i="13"/>
  <c r="AA93" i="15" s="1"/>
  <c r="AA91" i="13"/>
  <c r="AA92" i="15" s="1"/>
  <c r="AA90" i="13"/>
  <c r="AA91" i="15" s="1"/>
  <c r="AA89" i="13"/>
  <c r="AA90" i="15" s="1"/>
  <c r="AA88" i="13"/>
  <c r="AA89" i="15" s="1"/>
  <c r="AA87" i="13"/>
  <c r="AA88" i="15" s="1"/>
  <c r="AA86" i="13"/>
  <c r="AA87" i="15" s="1"/>
  <c r="AA85" i="13"/>
  <c r="AA86" i="15" s="1"/>
  <c r="AA84" i="13"/>
  <c r="AA85" i="15" s="1"/>
  <c r="AA83" i="13"/>
  <c r="AA84" i="15" s="1"/>
  <c r="AA82" i="13"/>
  <c r="AA83" i="15" s="1"/>
  <c r="AA81" i="13"/>
  <c r="AA82" i="15" s="1"/>
  <c r="AA80" i="13"/>
  <c r="AA81" i="15" s="1"/>
  <c r="AA78" i="13"/>
  <c r="AA77" i="13"/>
  <c r="AA78" i="15" s="1"/>
  <c r="AA76" i="13"/>
  <c r="AA77" i="15" s="1"/>
  <c r="AA74" i="13"/>
  <c r="AA75" i="15" s="1"/>
  <c r="AA72" i="13"/>
  <c r="AA71" i="13"/>
  <c r="AA72" i="15" s="1"/>
  <c r="AA70" i="13"/>
  <c r="AA71" i="15" s="1"/>
  <c r="AA69" i="13"/>
  <c r="AA70" i="15" s="1"/>
  <c r="AA67" i="13"/>
  <c r="AA68" i="15" s="1"/>
  <c r="AA65" i="13"/>
  <c r="AA66" i="15" s="1"/>
  <c r="AA64" i="13"/>
  <c r="AA65" i="15" s="1"/>
  <c r="AA63" i="13"/>
  <c r="AA64" i="15" s="1"/>
  <c r="AA62" i="13"/>
  <c r="AA63" i="15" s="1"/>
  <c r="AA61" i="13"/>
  <c r="AA62" i="15" s="1"/>
  <c r="AA59" i="13"/>
  <c r="AA60" i="15" s="1"/>
  <c r="AA58" i="13"/>
  <c r="AA59" i="15" s="1"/>
  <c r="AA56" i="13"/>
  <c r="AA57" i="15" s="1"/>
  <c r="AA55" i="13"/>
  <c r="AA56" i="15" s="1"/>
  <c r="AA54" i="13"/>
  <c r="AA55" i="15" s="1"/>
  <c r="AA53" i="13"/>
  <c r="AA54" i="15" s="1"/>
  <c r="AA52" i="13"/>
  <c r="AA53" i="15" s="1"/>
  <c r="AA51" i="13"/>
  <c r="AA52" i="15" s="1"/>
  <c r="AA49" i="13"/>
  <c r="AA50" i="15" s="1"/>
  <c r="AA47" i="13"/>
  <c r="AA48" i="15" s="1"/>
  <c r="AA45" i="13"/>
  <c r="AA44" i="13"/>
  <c r="AA45" i="15" s="1"/>
  <c r="AA39" i="13"/>
  <c r="AA40" i="15" s="1"/>
  <c r="AA37" i="13"/>
  <c r="AA36" i="13"/>
  <c r="AA35" i="13"/>
  <c r="AA31" i="13"/>
  <c r="AA32" i="15" s="1"/>
  <c r="AA30" i="13"/>
  <c r="AA31" i="15" s="1"/>
  <c r="AA29" i="13"/>
  <c r="AA28" i="13"/>
  <c r="AA29" i="15" s="1"/>
  <c r="AA25" i="13"/>
  <c r="AA26" i="15" s="1"/>
  <c r="AA24" i="13"/>
  <c r="AA25" i="15" s="1"/>
  <c r="AA23" i="13"/>
  <c r="AA22" i="13"/>
  <c r="AA23" i="15" s="1"/>
  <c r="AA20" i="13"/>
  <c r="AA21" i="15" s="1"/>
  <c r="AA130" i="11"/>
  <c r="AA129" i="11"/>
  <c r="AA127" i="11"/>
  <c r="AA126" i="11"/>
  <c r="AA124" i="11"/>
  <c r="AA123" i="11"/>
  <c r="AA98" i="11"/>
  <c r="AA730" i="13" s="1"/>
  <c r="AA99" i="11"/>
  <c r="AA731" i="13" s="1"/>
  <c r="AA263" i="15" s="1"/>
  <c r="AA96" i="11"/>
  <c r="AA726" i="13" s="1"/>
  <c r="AA258" i="15" s="1"/>
  <c r="AA95" i="11"/>
  <c r="AA725" i="13" s="1"/>
  <c r="AA94" i="11"/>
  <c r="AA86" i="11"/>
  <c r="AA90" i="11" s="1"/>
  <c r="AA85" i="11"/>
  <c r="AA83" i="11"/>
  <c r="AA626" i="13" s="1"/>
  <c r="AA158" i="15" s="1"/>
  <c r="AA82" i="11"/>
  <c r="AA625" i="13" s="1"/>
  <c r="AA157" i="15" s="1"/>
  <c r="AA81" i="11"/>
  <c r="AA624" i="13" s="1"/>
  <c r="AA156" i="15" s="1"/>
  <c r="AA79" i="11"/>
  <c r="AA622" i="13" s="1"/>
  <c r="AA154" i="15" s="1"/>
  <c r="AA78" i="11"/>
  <c r="AA621" i="13" s="1"/>
  <c r="AA153" i="15" s="1"/>
  <c r="AA77" i="11"/>
  <c r="AA620" i="13" s="1"/>
  <c r="AA152" i="15" s="1"/>
  <c r="AA75" i="11"/>
  <c r="AA74" i="11"/>
  <c r="AA43" i="11"/>
  <c r="AA42" i="11"/>
  <c r="AA41" i="11"/>
  <c r="AA39" i="11"/>
  <c r="AA38" i="11"/>
  <c r="AA37" i="11"/>
  <c r="AA35" i="11"/>
  <c r="AA34" i="11"/>
  <c r="AA33" i="11"/>
  <c r="AA327" i="15"/>
  <c r="L263" i="15"/>
  <c r="H263" i="15"/>
  <c r="G263" i="15"/>
  <c r="L262" i="15"/>
  <c r="H262" i="15"/>
  <c r="G262" i="15"/>
  <c r="L258" i="15"/>
  <c r="H258" i="15"/>
  <c r="G258" i="15"/>
  <c r="L257" i="15"/>
  <c r="H257" i="15"/>
  <c r="G257" i="15"/>
  <c r="AA256" i="15"/>
  <c r="W256" i="15"/>
  <c r="V256" i="15"/>
  <c r="U256" i="15"/>
  <c r="T256" i="15"/>
  <c r="R256" i="15"/>
  <c r="Q256" i="15"/>
  <c r="P256" i="15"/>
  <c r="O256" i="15"/>
  <c r="M256" i="15"/>
  <c r="L256" i="15"/>
  <c r="K256" i="15"/>
  <c r="H256" i="15"/>
  <c r="G256" i="15"/>
  <c r="AA254" i="15"/>
  <c r="W254" i="15"/>
  <c r="V254" i="15"/>
  <c r="U254" i="15"/>
  <c r="T254" i="15"/>
  <c r="R254" i="15"/>
  <c r="Q254" i="15"/>
  <c r="P254" i="15"/>
  <c r="O254" i="15"/>
  <c r="M254" i="15"/>
  <c r="L254" i="15"/>
  <c r="K254" i="15"/>
  <c r="H254" i="15"/>
  <c r="G254" i="15"/>
  <c r="AA252" i="15"/>
  <c r="W252" i="15"/>
  <c r="V252" i="15"/>
  <c r="U252" i="15"/>
  <c r="T252" i="15"/>
  <c r="R252" i="15"/>
  <c r="Q252" i="15"/>
  <c r="P252" i="15"/>
  <c r="O252" i="15"/>
  <c r="M252" i="15"/>
  <c r="L252" i="15"/>
  <c r="K252" i="15"/>
  <c r="H252" i="15"/>
  <c r="G252" i="15"/>
  <c r="AA251" i="15"/>
  <c r="W251" i="15"/>
  <c r="V251" i="15"/>
  <c r="U251" i="15"/>
  <c r="T251" i="15"/>
  <c r="R251" i="15"/>
  <c r="Q251" i="15"/>
  <c r="P251" i="15"/>
  <c r="O251" i="15"/>
  <c r="M251" i="15"/>
  <c r="L251" i="15"/>
  <c r="K251" i="15"/>
  <c r="H251" i="15"/>
  <c r="G251" i="15"/>
  <c r="AA250" i="15"/>
  <c r="W250" i="15"/>
  <c r="V250" i="15"/>
  <c r="U250" i="15"/>
  <c r="T250" i="15"/>
  <c r="R250" i="15"/>
  <c r="Q250" i="15"/>
  <c r="P250" i="15"/>
  <c r="O250" i="15"/>
  <c r="M250" i="15"/>
  <c r="L250" i="15"/>
  <c r="K250" i="15"/>
  <c r="H250" i="15"/>
  <c r="G250" i="15"/>
  <c r="AA248" i="15"/>
  <c r="W248" i="15"/>
  <c r="V248" i="15"/>
  <c r="U248" i="15"/>
  <c r="T248" i="15"/>
  <c r="R248" i="15"/>
  <c r="Q248" i="15"/>
  <c r="P248" i="15"/>
  <c r="O248" i="15"/>
  <c r="M248" i="15"/>
  <c r="L248" i="15"/>
  <c r="K248" i="15"/>
  <c r="H248" i="15"/>
  <c r="G248" i="15"/>
  <c r="AA247" i="15"/>
  <c r="W247" i="15"/>
  <c r="V247" i="15"/>
  <c r="U247" i="15"/>
  <c r="T247" i="15"/>
  <c r="R247" i="15"/>
  <c r="Q247" i="15"/>
  <c r="P247" i="15"/>
  <c r="O247" i="15"/>
  <c r="M247" i="15"/>
  <c r="L247" i="15"/>
  <c r="K247" i="15"/>
  <c r="H247" i="15"/>
  <c r="G247" i="15"/>
  <c r="AA246" i="15"/>
  <c r="W246" i="15"/>
  <c r="V246" i="15"/>
  <c r="U246" i="15"/>
  <c r="T246" i="15"/>
  <c r="R246" i="15"/>
  <c r="Q246" i="15"/>
  <c r="P246" i="15"/>
  <c r="O246" i="15"/>
  <c r="M246" i="15"/>
  <c r="L246" i="15"/>
  <c r="K246" i="15"/>
  <c r="H246" i="15"/>
  <c r="G246" i="15"/>
  <c r="AA245" i="15"/>
  <c r="W245" i="15"/>
  <c r="V245" i="15"/>
  <c r="U245" i="15"/>
  <c r="T245" i="15"/>
  <c r="R245" i="15"/>
  <c r="Q245" i="15"/>
  <c r="P245" i="15"/>
  <c r="O245" i="15"/>
  <c r="M245" i="15"/>
  <c r="L245" i="15"/>
  <c r="K245" i="15"/>
  <c r="H245" i="15"/>
  <c r="G245" i="15"/>
  <c r="AA244" i="15"/>
  <c r="W244" i="15"/>
  <c r="V244" i="15"/>
  <c r="U244" i="15"/>
  <c r="T244" i="15"/>
  <c r="R244" i="15"/>
  <c r="Q244" i="15"/>
  <c r="P244" i="15"/>
  <c r="O244" i="15"/>
  <c r="M244" i="15"/>
  <c r="L244" i="15"/>
  <c r="K244" i="15"/>
  <c r="H244" i="15"/>
  <c r="G244" i="15"/>
  <c r="AA243" i="15"/>
  <c r="W243" i="15"/>
  <c r="V243" i="15"/>
  <c r="U243" i="15"/>
  <c r="T243" i="15"/>
  <c r="R243" i="15"/>
  <c r="Q243" i="15"/>
  <c r="P243" i="15"/>
  <c r="O243" i="15"/>
  <c r="M243" i="15"/>
  <c r="L243" i="15"/>
  <c r="K243" i="15"/>
  <c r="H243" i="15"/>
  <c r="G243" i="15"/>
  <c r="AA242" i="15"/>
  <c r="W242" i="15"/>
  <c r="V242" i="15"/>
  <c r="U242" i="15"/>
  <c r="T242" i="15"/>
  <c r="R242" i="15"/>
  <c r="Q242" i="15"/>
  <c r="P242" i="15"/>
  <c r="O242" i="15"/>
  <c r="M242" i="15"/>
  <c r="L242" i="15"/>
  <c r="K242" i="15"/>
  <c r="H242" i="15"/>
  <c r="G242" i="15"/>
  <c r="AA241" i="15"/>
  <c r="W241" i="15"/>
  <c r="V241" i="15"/>
  <c r="U241" i="15"/>
  <c r="T241" i="15"/>
  <c r="R241" i="15"/>
  <c r="Q241" i="15"/>
  <c r="P241" i="15"/>
  <c r="O241" i="15"/>
  <c r="M241" i="15"/>
  <c r="L241" i="15"/>
  <c r="K241" i="15"/>
  <c r="H241" i="15"/>
  <c r="G241" i="15"/>
  <c r="AA239" i="15"/>
  <c r="W239" i="15"/>
  <c r="V239" i="15"/>
  <c r="U239" i="15"/>
  <c r="T239" i="15"/>
  <c r="R239" i="15"/>
  <c r="Q239" i="15"/>
  <c r="P239" i="15"/>
  <c r="O239" i="15"/>
  <c r="M239" i="15"/>
  <c r="L239" i="15"/>
  <c r="K239" i="15"/>
  <c r="H239" i="15"/>
  <c r="G239" i="15"/>
  <c r="AA230" i="15"/>
  <c r="W230" i="15"/>
  <c r="V230" i="15"/>
  <c r="U230" i="15"/>
  <c r="T230" i="15"/>
  <c r="R230" i="15"/>
  <c r="Q230" i="15"/>
  <c r="P230" i="15"/>
  <c r="O230" i="15"/>
  <c r="M230" i="15"/>
  <c r="L230" i="15"/>
  <c r="K230" i="15"/>
  <c r="H230" i="15"/>
  <c r="G230" i="15"/>
  <c r="AA229" i="15"/>
  <c r="W229" i="15"/>
  <c r="V229" i="15"/>
  <c r="U229" i="15"/>
  <c r="T229" i="15"/>
  <c r="R229" i="15"/>
  <c r="Q229" i="15"/>
  <c r="P229" i="15"/>
  <c r="O229" i="15"/>
  <c r="M229" i="15"/>
  <c r="L229" i="15"/>
  <c r="K229" i="15"/>
  <c r="H229" i="15"/>
  <c r="G229" i="15"/>
  <c r="AA228" i="15"/>
  <c r="W228" i="15"/>
  <c r="V228" i="15"/>
  <c r="U228" i="15"/>
  <c r="T228" i="15"/>
  <c r="R228" i="15"/>
  <c r="Q228" i="15"/>
  <c r="P228" i="15"/>
  <c r="O228" i="15"/>
  <c r="M228" i="15"/>
  <c r="L228" i="15"/>
  <c r="K228" i="15"/>
  <c r="H228" i="15"/>
  <c r="G228" i="15"/>
  <c r="AA227" i="15"/>
  <c r="W227" i="15"/>
  <c r="V227" i="15"/>
  <c r="U227" i="15"/>
  <c r="T227" i="15"/>
  <c r="R227" i="15"/>
  <c r="Q227" i="15"/>
  <c r="P227" i="15"/>
  <c r="O227" i="15"/>
  <c r="M227" i="15"/>
  <c r="L227" i="15"/>
  <c r="K227" i="15"/>
  <c r="H227" i="15"/>
  <c r="G227" i="15"/>
  <c r="AA226" i="15"/>
  <c r="W226" i="15"/>
  <c r="V226" i="15"/>
  <c r="U226" i="15"/>
  <c r="T226" i="15"/>
  <c r="R226" i="15"/>
  <c r="Q226" i="15"/>
  <c r="P226" i="15"/>
  <c r="O226" i="15"/>
  <c r="M226" i="15"/>
  <c r="L226" i="15"/>
  <c r="K226" i="15"/>
  <c r="H226" i="15"/>
  <c r="G226" i="15"/>
  <c r="AA225" i="15"/>
  <c r="W225" i="15"/>
  <c r="V225" i="15"/>
  <c r="U225" i="15"/>
  <c r="T225" i="15"/>
  <c r="R225" i="15"/>
  <c r="Q225" i="15"/>
  <c r="P225" i="15"/>
  <c r="O225" i="15"/>
  <c r="M225" i="15"/>
  <c r="L225" i="15"/>
  <c r="K225" i="15"/>
  <c r="H225" i="15"/>
  <c r="G225" i="15"/>
  <c r="AA224" i="15"/>
  <c r="W224" i="15"/>
  <c r="V224" i="15"/>
  <c r="U224" i="15"/>
  <c r="T224" i="15"/>
  <c r="R224" i="15"/>
  <c r="Q224" i="15"/>
  <c r="P224" i="15"/>
  <c r="O224" i="15"/>
  <c r="M224" i="15"/>
  <c r="L224" i="15"/>
  <c r="K224" i="15"/>
  <c r="H224" i="15"/>
  <c r="G224" i="15"/>
  <c r="AA223" i="15"/>
  <c r="W223" i="15"/>
  <c r="V223" i="15"/>
  <c r="U223" i="15"/>
  <c r="T223" i="15"/>
  <c r="R223" i="15"/>
  <c r="Q223" i="15"/>
  <c r="P223" i="15"/>
  <c r="O223" i="15"/>
  <c r="M223" i="15"/>
  <c r="L223" i="15"/>
  <c r="K223" i="15"/>
  <c r="H223" i="15"/>
  <c r="G223" i="15"/>
  <c r="AA222" i="15"/>
  <c r="W222" i="15"/>
  <c r="V222" i="15"/>
  <c r="U222" i="15"/>
  <c r="T222" i="15"/>
  <c r="R222" i="15"/>
  <c r="Q222" i="15"/>
  <c r="P222" i="15"/>
  <c r="O222" i="15"/>
  <c r="M222" i="15"/>
  <c r="L222" i="15"/>
  <c r="K222" i="15"/>
  <c r="H222" i="15"/>
  <c r="G222" i="15"/>
  <c r="AA221" i="15"/>
  <c r="W221" i="15"/>
  <c r="V221" i="15"/>
  <c r="U221" i="15"/>
  <c r="T221" i="15"/>
  <c r="R221" i="15"/>
  <c r="Q221" i="15"/>
  <c r="P221" i="15"/>
  <c r="O221" i="15"/>
  <c r="M221" i="15"/>
  <c r="L221" i="15"/>
  <c r="K221" i="15"/>
  <c r="H221" i="15"/>
  <c r="G221" i="15"/>
  <c r="AA219" i="15"/>
  <c r="W219" i="15"/>
  <c r="V219" i="15"/>
  <c r="U219" i="15"/>
  <c r="T219" i="15"/>
  <c r="R219" i="15"/>
  <c r="Q219" i="15"/>
  <c r="P219" i="15"/>
  <c r="O219" i="15"/>
  <c r="M219" i="15"/>
  <c r="L219" i="15"/>
  <c r="K219" i="15"/>
  <c r="H219" i="15"/>
  <c r="G219" i="15"/>
  <c r="AA218" i="15"/>
  <c r="W218" i="15"/>
  <c r="V218" i="15"/>
  <c r="U218" i="15"/>
  <c r="T218" i="15"/>
  <c r="R218" i="15"/>
  <c r="Q218" i="15"/>
  <c r="P218" i="15"/>
  <c r="O218" i="15"/>
  <c r="M218" i="15"/>
  <c r="L218" i="15"/>
  <c r="K218" i="15"/>
  <c r="H218" i="15"/>
  <c r="G218" i="15"/>
  <c r="AA217" i="15"/>
  <c r="W217" i="15"/>
  <c r="V217" i="15"/>
  <c r="U217" i="15"/>
  <c r="T217" i="15"/>
  <c r="R217" i="15"/>
  <c r="Q217" i="15"/>
  <c r="P217" i="15"/>
  <c r="O217" i="15"/>
  <c r="M217" i="15"/>
  <c r="L217" i="15"/>
  <c r="K217" i="15"/>
  <c r="H217" i="15"/>
  <c r="G217" i="15"/>
  <c r="AA215" i="15"/>
  <c r="W215" i="15"/>
  <c r="V215" i="15"/>
  <c r="U215" i="15"/>
  <c r="T215" i="15"/>
  <c r="R215" i="15"/>
  <c r="Q215" i="15"/>
  <c r="P215" i="15"/>
  <c r="O215" i="15"/>
  <c r="M215" i="15"/>
  <c r="L215" i="15"/>
  <c r="K215" i="15"/>
  <c r="H215" i="15"/>
  <c r="G215" i="15"/>
  <c r="AA213" i="15"/>
  <c r="W213" i="15"/>
  <c r="V213" i="15"/>
  <c r="U213" i="15"/>
  <c r="T213" i="15"/>
  <c r="R213" i="15"/>
  <c r="Q213" i="15"/>
  <c r="P213" i="15"/>
  <c r="O213" i="15"/>
  <c r="M213" i="15"/>
  <c r="L213" i="15"/>
  <c r="K213" i="15"/>
  <c r="H213" i="15"/>
  <c r="G213" i="15"/>
  <c r="AA212" i="15"/>
  <c r="W212" i="15"/>
  <c r="V212" i="15"/>
  <c r="U212" i="15"/>
  <c r="T212" i="15"/>
  <c r="R212" i="15"/>
  <c r="Q212" i="15"/>
  <c r="P212" i="15"/>
  <c r="O212" i="15"/>
  <c r="M212" i="15"/>
  <c r="L212" i="15"/>
  <c r="K212" i="15"/>
  <c r="H212" i="15"/>
  <c r="G212" i="15"/>
  <c r="AA211" i="15"/>
  <c r="W211" i="15"/>
  <c r="V211" i="15"/>
  <c r="U211" i="15"/>
  <c r="T211" i="15"/>
  <c r="R211" i="15"/>
  <c r="Q211" i="15"/>
  <c r="P211" i="15"/>
  <c r="O211" i="15"/>
  <c r="M211" i="15"/>
  <c r="L211" i="15"/>
  <c r="K211" i="15"/>
  <c r="H211" i="15"/>
  <c r="G211" i="15"/>
  <c r="AA210" i="15"/>
  <c r="W210" i="15"/>
  <c r="V210" i="15"/>
  <c r="U210" i="15"/>
  <c r="T210" i="15"/>
  <c r="R210" i="15"/>
  <c r="Q210" i="15"/>
  <c r="P210" i="15"/>
  <c r="O210" i="15"/>
  <c r="M210" i="15"/>
  <c r="L210" i="15"/>
  <c r="K210" i="15"/>
  <c r="H210" i="15"/>
  <c r="G210" i="15"/>
  <c r="AA209" i="15"/>
  <c r="W209" i="15"/>
  <c r="V209" i="15"/>
  <c r="U209" i="15"/>
  <c r="T209" i="15"/>
  <c r="R209" i="15"/>
  <c r="Q209" i="15"/>
  <c r="P209" i="15"/>
  <c r="O209" i="15"/>
  <c r="M209" i="15"/>
  <c r="L209" i="15"/>
  <c r="K209" i="15"/>
  <c r="H209" i="15"/>
  <c r="G209" i="15"/>
  <c r="AA208" i="15"/>
  <c r="W208" i="15"/>
  <c r="V208" i="15"/>
  <c r="U208" i="15"/>
  <c r="T208" i="15"/>
  <c r="R208" i="15"/>
  <c r="Q208" i="15"/>
  <c r="P208" i="15"/>
  <c r="O208" i="15"/>
  <c r="M208" i="15"/>
  <c r="L208" i="15"/>
  <c r="K208" i="15"/>
  <c r="H208" i="15"/>
  <c r="G208" i="15"/>
  <c r="AA207" i="15"/>
  <c r="W207" i="15"/>
  <c r="V207" i="15"/>
  <c r="U207" i="15"/>
  <c r="T207" i="15"/>
  <c r="R207" i="15"/>
  <c r="Q207" i="15"/>
  <c r="P207" i="15"/>
  <c r="O207" i="15"/>
  <c r="M207" i="15"/>
  <c r="L207" i="15"/>
  <c r="K207" i="15"/>
  <c r="H207" i="15"/>
  <c r="G207" i="15"/>
  <c r="AA206" i="15"/>
  <c r="W206" i="15"/>
  <c r="V206" i="15"/>
  <c r="U206" i="15"/>
  <c r="T206" i="15"/>
  <c r="R206" i="15"/>
  <c r="Q206" i="15"/>
  <c r="P206" i="15"/>
  <c r="O206" i="15"/>
  <c r="M206" i="15"/>
  <c r="L206" i="15"/>
  <c r="K206" i="15"/>
  <c r="H206" i="15"/>
  <c r="G206" i="15"/>
  <c r="AA205" i="15"/>
  <c r="W205" i="15"/>
  <c r="V205" i="15"/>
  <c r="U205" i="15"/>
  <c r="T205" i="15"/>
  <c r="R205" i="15"/>
  <c r="Q205" i="15"/>
  <c r="P205" i="15"/>
  <c r="O205" i="15"/>
  <c r="M205" i="15"/>
  <c r="L205" i="15"/>
  <c r="K205" i="15"/>
  <c r="H205" i="15"/>
  <c r="G205" i="15"/>
  <c r="AA204" i="15"/>
  <c r="W204" i="15"/>
  <c r="V204" i="15"/>
  <c r="U204" i="15"/>
  <c r="T204" i="15"/>
  <c r="R204" i="15"/>
  <c r="Q204" i="15"/>
  <c r="P204" i="15"/>
  <c r="O204" i="15"/>
  <c r="M204" i="15"/>
  <c r="L204" i="15"/>
  <c r="K204" i="15"/>
  <c r="H204" i="15"/>
  <c r="G204" i="15"/>
  <c r="AA203" i="15"/>
  <c r="W203" i="15"/>
  <c r="V203" i="15"/>
  <c r="U203" i="15"/>
  <c r="T203" i="15"/>
  <c r="R203" i="15"/>
  <c r="Q203" i="15"/>
  <c r="P203" i="15"/>
  <c r="O203" i="15"/>
  <c r="M203" i="15"/>
  <c r="L203" i="15"/>
  <c r="K203" i="15"/>
  <c r="H203" i="15"/>
  <c r="G203" i="15"/>
  <c r="AA202" i="15"/>
  <c r="W202" i="15"/>
  <c r="V202" i="15"/>
  <c r="U202" i="15"/>
  <c r="T202" i="15"/>
  <c r="R202" i="15"/>
  <c r="Q202" i="15"/>
  <c r="P202" i="15"/>
  <c r="O202" i="15"/>
  <c r="M202" i="15"/>
  <c r="L202" i="15"/>
  <c r="K202" i="15"/>
  <c r="H202" i="15"/>
  <c r="G202" i="15"/>
  <c r="AA201" i="15"/>
  <c r="W201" i="15"/>
  <c r="V201" i="15"/>
  <c r="U201" i="15"/>
  <c r="T201" i="15"/>
  <c r="R201" i="15"/>
  <c r="Q201" i="15"/>
  <c r="P201" i="15"/>
  <c r="O201" i="15"/>
  <c r="M201" i="15"/>
  <c r="L201" i="15"/>
  <c r="K201" i="15"/>
  <c r="H201" i="15"/>
  <c r="G201" i="15"/>
  <c r="AA200" i="15"/>
  <c r="W200" i="15"/>
  <c r="V200" i="15"/>
  <c r="U200" i="15"/>
  <c r="T200" i="15"/>
  <c r="R200" i="15"/>
  <c r="Q200" i="15"/>
  <c r="P200" i="15"/>
  <c r="O200" i="15"/>
  <c r="M200" i="15"/>
  <c r="L200" i="15"/>
  <c r="K200" i="15"/>
  <c r="H200" i="15"/>
  <c r="G200" i="15"/>
  <c r="AA199" i="15"/>
  <c r="W199" i="15"/>
  <c r="V199" i="15"/>
  <c r="U199" i="15"/>
  <c r="T199" i="15"/>
  <c r="R199" i="15"/>
  <c r="Q199" i="15"/>
  <c r="P199" i="15"/>
  <c r="O199" i="15"/>
  <c r="M199" i="15"/>
  <c r="L199" i="15"/>
  <c r="K199" i="15"/>
  <c r="H199" i="15"/>
  <c r="G199" i="15"/>
  <c r="AA198" i="15"/>
  <c r="W198" i="15"/>
  <c r="V198" i="15"/>
  <c r="U198" i="15"/>
  <c r="T198" i="15"/>
  <c r="R198" i="15"/>
  <c r="Q198" i="15"/>
  <c r="P198" i="15"/>
  <c r="O198" i="15"/>
  <c r="M198" i="15"/>
  <c r="L198" i="15"/>
  <c r="K198" i="15"/>
  <c r="H198" i="15"/>
  <c r="G198" i="15"/>
  <c r="AA196" i="15"/>
  <c r="W196" i="15"/>
  <c r="V196" i="15"/>
  <c r="U196" i="15"/>
  <c r="T196" i="15"/>
  <c r="R196" i="15"/>
  <c r="Q196" i="15"/>
  <c r="P196" i="15"/>
  <c r="O196" i="15"/>
  <c r="M196" i="15"/>
  <c r="L196" i="15"/>
  <c r="K196" i="15"/>
  <c r="H196" i="15"/>
  <c r="G196" i="15"/>
  <c r="AA195" i="15"/>
  <c r="W195" i="15"/>
  <c r="V195" i="15"/>
  <c r="U195" i="15"/>
  <c r="T195" i="15"/>
  <c r="R195" i="15"/>
  <c r="Q195" i="15"/>
  <c r="P195" i="15"/>
  <c r="O195" i="15"/>
  <c r="M195" i="15"/>
  <c r="L195" i="15"/>
  <c r="K195" i="15"/>
  <c r="H195" i="15"/>
  <c r="G195" i="15"/>
  <c r="AA194" i="15"/>
  <c r="W194" i="15"/>
  <c r="V194" i="15"/>
  <c r="U194" i="15"/>
  <c r="T194" i="15"/>
  <c r="R194" i="15"/>
  <c r="Q194" i="15"/>
  <c r="P194" i="15"/>
  <c r="O194" i="15"/>
  <c r="M194" i="15"/>
  <c r="L194" i="15"/>
  <c r="K194" i="15"/>
  <c r="H194" i="15"/>
  <c r="G194" i="15"/>
  <c r="AA192" i="15"/>
  <c r="W192" i="15"/>
  <c r="V192" i="15"/>
  <c r="U192" i="15"/>
  <c r="T192" i="15"/>
  <c r="R192" i="15"/>
  <c r="Q192" i="15"/>
  <c r="P192" i="15"/>
  <c r="O192" i="15"/>
  <c r="M192" i="15"/>
  <c r="L192" i="15"/>
  <c r="K192" i="15"/>
  <c r="H192" i="15"/>
  <c r="G192" i="15"/>
  <c r="AA190" i="15"/>
  <c r="W190" i="15"/>
  <c r="V190" i="15"/>
  <c r="U190" i="15"/>
  <c r="T190" i="15"/>
  <c r="R190" i="15"/>
  <c r="Q190" i="15"/>
  <c r="P190" i="15"/>
  <c r="O190" i="15"/>
  <c r="M190" i="15"/>
  <c r="L190" i="15"/>
  <c r="K190" i="15"/>
  <c r="H190" i="15"/>
  <c r="G190" i="15"/>
  <c r="AA189" i="15"/>
  <c r="W189" i="15"/>
  <c r="V189" i="15"/>
  <c r="U189" i="15"/>
  <c r="T189" i="15"/>
  <c r="R189" i="15"/>
  <c r="Q189" i="15"/>
  <c r="P189" i="15"/>
  <c r="O189" i="15"/>
  <c r="M189" i="15"/>
  <c r="L189" i="15"/>
  <c r="K189" i="15"/>
  <c r="H189" i="15"/>
  <c r="G189" i="15"/>
  <c r="AA188" i="15"/>
  <c r="W188" i="15"/>
  <c r="V188" i="15"/>
  <c r="U188" i="15"/>
  <c r="T188" i="15"/>
  <c r="R188" i="15"/>
  <c r="Q188" i="15"/>
  <c r="P188" i="15"/>
  <c r="O188" i="15"/>
  <c r="M188" i="15"/>
  <c r="L188" i="15"/>
  <c r="K188" i="15"/>
  <c r="H188" i="15"/>
  <c r="G188" i="15"/>
  <c r="AA187" i="15"/>
  <c r="W187" i="15"/>
  <c r="V187" i="15"/>
  <c r="U187" i="15"/>
  <c r="T187" i="15"/>
  <c r="R187" i="15"/>
  <c r="Q187" i="15"/>
  <c r="P187" i="15"/>
  <c r="O187" i="15"/>
  <c r="M187" i="15"/>
  <c r="L187" i="15"/>
  <c r="K187" i="15"/>
  <c r="H187" i="15"/>
  <c r="G187" i="15"/>
  <c r="AA185" i="15"/>
  <c r="W185" i="15"/>
  <c r="V185" i="15"/>
  <c r="U185" i="15"/>
  <c r="T185" i="15"/>
  <c r="R185" i="15"/>
  <c r="Q185" i="15"/>
  <c r="P185" i="15"/>
  <c r="O185" i="15"/>
  <c r="M185" i="15"/>
  <c r="L185" i="15"/>
  <c r="K185" i="15"/>
  <c r="H185" i="15"/>
  <c r="G185" i="15"/>
  <c r="AA183" i="15"/>
  <c r="W183" i="15"/>
  <c r="V183" i="15"/>
  <c r="U183" i="15"/>
  <c r="T183" i="15"/>
  <c r="R183" i="15"/>
  <c r="Q183" i="15"/>
  <c r="P183" i="15"/>
  <c r="O183" i="15"/>
  <c r="M183" i="15"/>
  <c r="L183" i="15"/>
  <c r="K183" i="15"/>
  <c r="H183" i="15"/>
  <c r="G183" i="15"/>
  <c r="AA182" i="15"/>
  <c r="W182" i="15"/>
  <c r="V182" i="15"/>
  <c r="U182" i="15"/>
  <c r="T182" i="15"/>
  <c r="R182" i="15"/>
  <c r="Q182" i="15"/>
  <c r="P182" i="15"/>
  <c r="O182" i="15"/>
  <c r="M182" i="15"/>
  <c r="L182" i="15"/>
  <c r="K182" i="15"/>
  <c r="H182" i="15"/>
  <c r="G182" i="15"/>
  <c r="AA181" i="15"/>
  <c r="W181" i="15"/>
  <c r="V181" i="15"/>
  <c r="U181" i="15"/>
  <c r="T181" i="15"/>
  <c r="R181" i="15"/>
  <c r="Q181" i="15"/>
  <c r="P181" i="15"/>
  <c r="O181" i="15"/>
  <c r="M181" i="15"/>
  <c r="L181" i="15"/>
  <c r="K181" i="15"/>
  <c r="H181" i="15"/>
  <c r="G181" i="15"/>
  <c r="AA180" i="15"/>
  <c r="W180" i="15"/>
  <c r="V180" i="15"/>
  <c r="U180" i="15"/>
  <c r="T180" i="15"/>
  <c r="R180" i="15"/>
  <c r="Q180" i="15"/>
  <c r="P180" i="15"/>
  <c r="O180" i="15"/>
  <c r="M180" i="15"/>
  <c r="L180" i="15"/>
  <c r="K180" i="15"/>
  <c r="H180" i="15"/>
  <c r="G180" i="15"/>
  <c r="AA179" i="15"/>
  <c r="W179" i="15"/>
  <c r="V179" i="15"/>
  <c r="U179" i="15"/>
  <c r="T179" i="15"/>
  <c r="R179" i="15"/>
  <c r="Q179" i="15"/>
  <c r="P179" i="15"/>
  <c r="O179" i="15"/>
  <c r="M179" i="15"/>
  <c r="L179" i="15"/>
  <c r="K179" i="15"/>
  <c r="H179" i="15"/>
  <c r="G179" i="15"/>
  <c r="AA177" i="15"/>
  <c r="W177" i="15"/>
  <c r="V177" i="15"/>
  <c r="U177" i="15"/>
  <c r="T177" i="15"/>
  <c r="R177" i="15"/>
  <c r="Q177" i="15"/>
  <c r="P177" i="15"/>
  <c r="O177" i="15"/>
  <c r="M177" i="15"/>
  <c r="L177" i="15"/>
  <c r="K177" i="15"/>
  <c r="H177" i="15"/>
  <c r="G177" i="15"/>
  <c r="AA176" i="15"/>
  <c r="W176" i="15"/>
  <c r="V176" i="15"/>
  <c r="U176" i="15"/>
  <c r="T176" i="15"/>
  <c r="R176" i="15"/>
  <c r="Q176" i="15"/>
  <c r="P176" i="15"/>
  <c r="O176" i="15"/>
  <c r="M176" i="15"/>
  <c r="L176" i="15"/>
  <c r="K176" i="15"/>
  <c r="H176" i="15"/>
  <c r="G176" i="15"/>
  <c r="AA174" i="15"/>
  <c r="W174" i="15"/>
  <c r="V174" i="15"/>
  <c r="U174" i="15"/>
  <c r="T174" i="15"/>
  <c r="R174" i="15"/>
  <c r="Q174" i="15"/>
  <c r="P174" i="15"/>
  <c r="O174" i="15"/>
  <c r="M174" i="15"/>
  <c r="L174" i="15"/>
  <c r="K174" i="15"/>
  <c r="H174" i="15"/>
  <c r="G174" i="15"/>
  <c r="AA173" i="15"/>
  <c r="W173" i="15"/>
  <c r="V173" i="15"/>
  <c r="U173" i="15"/>
  <c r="T173" i="15"/>
  <c r="R173" i="15"/>
  <c r="Q173" i="15"/>
  <c r="P173" i="15"/>
  <c r="O173" i="15"/>
  <c r="M173" i="15"/>
  <c r="L173" i="15"/>
  <c r="K173" i="15"/>
  <c r="H173" i="15"/>
  <c r="G173" i="15"/>
  <c r="AA172" i="15"/>
  <c r="W172" i="15"/>
  <c r="V172" i="15"/>
  <c r="U172" i="15"/>
  <c r="T172" i="15"/>
  <c r="R172" i="15"/>
  <c r="Q172" i="15"/>
  <c r="P172" i="15"/>
  <c r="O172" i="15"/>
  <c r="M172" i="15"/>
  <c r="L172" i="15"/>
  <c r="K172" i="15"/>
  <c r="H172" i="15"/>
  <c r="G172" i="15"/>
  <c r="AA171" i="15"/>
  <c r="W171" i="15"/>
  <c r="V171" i="15"/>
  <c r="U171" i="15"/>
  <c r="T171" i="15"/>
  <c r="R171" i="15"/>
  <c r="Q171" i="15"/>
  <c r="P171" i="15"/>
  <c r="O171" i="15"/>
  <c r="M171" i="15"/>
  <c r="L171" i="15"/>
  <c r="K171" i="15"/>
  <c r="H171" i="15"/>
  <c r="G171" i="15"/>
  <c r="AA170" i="15"/>
  <c r="W170" i="15"/>
  <c r="V170" i="15"/>
  <c r="U170" i="15"/>
  <c r="T170" i="15"/>
  <c r="R170" i="15"/>
  <c r="Q170" i="15"/>
  <c r="P170" i="15"/>
  <c r="O170" i="15"/>
  <c r="M170" i="15"/>
  <c r="L170" i="15"/>
  <c r="K170" i="15"/>
  <c r="H170" i="15"/>
  <c r="G170" i="15"/>
  <c r="AA169" i="15"/>
  <c r="W169" i="15"/>
  <c r="V169" i="15"/>
  <c r="U169" i="15"/>
  <c r="T169" i="15"/>
  <c r="R169" i="15"/>
  <c r="Q169" i="15"/>
  <c r="P169" i="15"/>
  <c r="O169" i="15"/>
  <c r="M169" i="15"/>
  <c r="L169" i="15"/>
  <c r="K169" i="15"/>
  <c r="H169" i="15"/>
  <c r="G169" i="15"/>
  <c r="AA167" i="15"/>
  <c r="W167" i="15"/>
  <c r="V167" i="15"/>
  <c r="U167" i="15"/>
  <c r="T167" i="15"/>
  <c r="R167" i="15"/>
  <c r="Q167" i="15"/>
  <c r="P167" i="15"/>
  <c r="O167" i="15"/>
  <c r="M167" i="15"/>
  <c r="L167" i="15"/>
  <c r="K167" i="15"/>
  <c r="H167" i="15"/>
  <c r="G167" i="15"/>
  <c r="AA165" i="15"/>
  <c r="W165" i="15"/>
  <c r="V165" i="15"/>
  <c r="U165" i="15"/>
  <c r="T165" i="15"/>
  <c r="R165" i="15"/>
  <c r="Q165" i="15"/>
  <c r="P165" i="15"/>
  <c r="O165" i="15"/>
  <c r="M165" i="15"/>
  <c r="L165" i="15"/>
  <c r="K165" i="15"/>
  <c r="H165" i="15"/>
  <c r="G165" i="15"/>
  <c r="AA163" i="15"/>
  <c r="W163" i="15"/>
  <c r="V163" i="15"/>
  <c r="U163" i="15"/>
  <c r="T163" i="15"/>
  <c r="R163" i="15"/>
  <c r="Q163" i="15"/>
  <c r="P163" i="15"/>
  <c r="O163" i="15"/>
  <c r="M163" i="15"/>
  <c r="L163" i="15"/>
  <c r="K163" i="15"/>
  <c r="H163" i="15"/>
  <c r="G163" i="15"/>
  <c r="AA162" i="15"/>
  <c r="W162" i="15"/>
  <c r="V162" i="15"/>
  <c r="U162" i="15"/>
  <c r="T162" i="15"/>
  <c r="R162" i="15"/>
  <c r="Q162" i="15"/>
  <c r="P162" i="15"/>
  <c r="O162" i="15"/>
  <c r="M162" i="15"/>
  <c r="L162" i="15"/>
  <c r="K162" i="15"/>
  <c r="H162" i="15"/>
  <c r="G162" i="15"/>
  <c r="L158" i="15"/>
  <c r="H158" i="15"/>
  <c r="G158" i="15"/>
  <c r="L157" i="15"/>
  <c r="H157" i="15"/>
  <c r="G157" i="15"/>
  <c r="L156" i="15"/>
  <c r="H156" i="15"/>
  <c r="G156" i="15"/>
  <c r="L154" i="15"/>
  <c r="H154" i="15"/>
  <c r="G154" i="15"/>
  <c r="L153" i="15"/>
  <c r="H153" i="15"/>
  <c r="G153" i="15"/>
  <c r="L152" i="15"/>
  <c r="H152" i="15"/>
  <c r="G152" i="15"/>
  <c r="AA136" i="15"/>
  <c r="AA73" i="15"/>
  <c r="AA46" i="15"/>
  <c r="AA38" i="15"/>
  <c r="AA37" i="15"/>
  <c r="AA36" i="15"/>
  <c r="AA30" i="15"/>
  <c r="AA24" i="15"/>
  <c r="L150" i="15"/>
  <c r="H150" i="15"/>
  <c r="G150" i="15"/>
  <c r="L90" i="11"/>
  <c r="H90" i="11"/>
  <c r="L89" i="11"/>
  <c r="H89" i="11"/>
  <c r="W86" i="11"/>
  <c r="W90" i="11" s="1"/>
  <c r="W85" i="11"/>
  <c r="W89" i="11" s="1"/>
  <c r="V86" i="11"/>
  <c r="V90" i="11" s="1"/>
  <c r="V85" i="11"/>
  <c r="V89" i="11" s="1"/>
  <c r="U86" i="11"/>
  <c r="U90" i="11" s="1"/>
  <c r="U85" i="11"/>
  <c r="U89" i="11" s="1"/>
  <c r="T86" i="11"/>
  <c r="T90" i="11" s="1"/>
  <c r="T85" i="11"/>
  <c r="R86" i="11"/>
  <c r="R90" i="11" s="1"/>
  <c r="R85" i="11"/>
  <c r="R89" i="11" s="1"/>
  <c r="Q86" i="11"/>
  <c r="Q90" i="11" s="1"/>
  <c r="Q85" i="11"/>
  <c r="P86" i="11"/>
  <c r="P85" i="11"/>
  <c r="P89" i="11" s="1"/>
  <c r="O86" i="11"/>
  <c r="O90" i="11" s="1"/>
  <c r="O85" i="11"/>
  <c r="O89" i="11" s="1"/>
  <c r="M90" i="11"/>
  <c r="M89" i="11"/>
  <c r="K86" i="11"/>
  <c r="K90" i="11" s="1"/>
  <c r="K85" i="11"/>
  <c r="K89" i="11" s="1"/>
  <c r="G86" i="11"/>
  <c r="G85" i="11"/>
  <c r="I85" i="11" s="1"/>
  <c r="I89" i="11" s="1"/>
  <c r="L84" i="11"/>
  <c r="H84" i="11"/>
  <c r="O72" i="1"/>
  <c r="N72" i="1"/>
  <c r="M72" i="1"/>
  <c r="P72" i="1" s="1"/>
  <c r="O71" i="1"/>
  <c r="N71" i="1"/>
  <c r="M71" i="1"/>
  <c r="P71" i="1" s="1"/>
  <c r="O70" i="1"/>
  <c r="N70" i="1"/>
  <c r="M70" i="1"/>
  <c r="P70" i="1" s="1"/>
  <c r="P69" i="1"/>
  <c r="O69" i="1"/>
  <c r="N69" i="1"/>
  <c r="M69" i="1"/>
  <c r="O68" i="1"/>
  <c r="N68" i="1"/>
  <c r="M68" i="1"/>
  <c r="P68" i="1" s="1"/>
  <c r="O67" i="1"/>
  <c r="N67" i="1"/>
  <c r="M67" i="1"/>
  <c r="P67" i="1" s="1"/>
  <c r="O66" i="1"/>
  <c r="N66" i="1"/>
  <c r="M66" i="1"/>
  <c r="P66" i="1" s="1"/>
  <c r="P65" i="1"/>
  <c r="O65" i="1"/>
  <c r="N65" i="1"/>
  <c r="M65" i="1"/>
  <c r="O64" i="1"/>
  <c r="N64" i="1"/>
  <c r="M64" i="1"/>
  <c r="P64" i="1" s="1"/>
  <c r="O63" i="1"/>
  <c r="N63" i="1"/>
  <c r="M63" i="1"/>
  <c r="P63" i="1" s="1"/>
  <c r="O62" i="1"/>
  <c r="N62" i="1"/>
  <c r="M62" i="1"/>
  <c r="P62" i="1" s="1"/>
  <c r="O61" i="1"/>
  <c r="N61" i="1"/>
  <c r="M61" i="1"/>
  <c r="P61" i="1" s="1"/>
  <c r="O60" i="1"/>
  <c r="N60" i="1"/>
  <c r="M60" i="1"/>
  <c r="P60" i="1" s="1"/>
  <c r="O59" i="1"/>
  <c r="N59" i="1"/>
  <c r="M59" i="1"/>
  <c r="P59" i="1" s="1"/>
  <c r="P52" i="1"/>
  <c r="P51" i="1"/>
  <c r="P50" i="1"/>
  <c r="P49" i="1"/>
  <c r="P48" i="1"/>
  <c r="P45" i="1"/>
  <c r="P43" i="1"/>
  <c r="P42" i="1"/>
  <c r="P41" i="1"/>
  <c r="P40" i="1"/>
  <c r="P39" i="1"/>
  <c r="P38" i="1"/>
  <c r="O37" i="1"/>
  <c r="N37" i="1"/>
  <c r="M37" i="1"/>
  <c r="O32" i="1"/>
  <c r="N32" i="1"/>
  <c r="P31" i="1"/>
  <c r="P30" i="1"/>
  <c r="P29" i="1"/>
  <c r="P28" i="1"/>
  <c r="P27" i="1"/>
  <c r="O26" i="1"/>
  <c r="N26" i="1"/>
  <c r="M26" i="1"/>
  <c r="P25" i="1"/>
  <c r="P24" i="1"/>
  <c r="P23" i="1"/>
  <c r="P22" i="1"/>
  <c r="P21" i="1"/>
  <c r="O20" i="1"/>
  <c r="O19" i="1" s="1"/>
  <c r="N20" i="1"/>
  <c r="M20" i="1"/>
  <c r="N19" i="1"/>
  <c r="P18" i="1"/>
  <c r="AT32" i="9" l="1"/>
  <c r="AT31" i="9" s="1"/>
  <c r="AB435" i="13"/>
  <c r="AA79" i="15"/>
  <c r="AD181" i="9"/>
  <c r="AD168" i="9" s="1"/>
  <c r="P37" i="1"/>
  <c r="AT154" i="9"/>
  <c r="AT153" i="9" s="1"/>
  <c r="I29" i="11"/>
  <c r="I28" i="11" s="1"/>
  <c r="AB1078" i="13"/>
  <c r="AB565" i="13"/>
  <c r="AB371" i="13"/>
  <c r="P20" i="1"/>
  <c r="P26" i="1"/>
  <c r="M19" i="1"/>
  <c r="P19" i="1" s="1"/>
  <c r="AB169" i="13"/>
  <c r="N502" i="13"/>
  <c r="Y502" i="13" s="1"/>
  <c r="AB161" i="13"/>
  <c r="AT244" i="9"/>
  <c r="AT243" i="9" s="1"/>
  <c r="AT242" i="9" s="1"/>
  <c r="M32" i="16"/>
  <c r="P32" i="16" s="1"/>
  <c r="P38" i="16"/>
  <c r="AP181" i="9"/>
  <c r="AP168" i="9" s="1"/>
  <c r="AB1201" i="13"/>
  <c r="AP30" i="9"/>
  <c r="K41" i="15"/>
  <c r="AQ91" i="9"/>
  <c r="AB699" i="13"/>
  <c r="AB682" i="13"/>
  <c r="AT183" i="9"/>
  <c r="AT182" i="9" s="1"/>
  <c r="N204" i="13"/>
  <c r="Z204" i="13" s="1"/>
  <c r="N387" i="13"/>
  <c r="Z387" i="13" s="1"/>
  <c r="AB414" i="13"/>
  <c r="AB517" i="13"/>
  <c r="N565" i="13"/>
  <c r="Y565" i="13" s="1"/>
  <c r="AL181" i="9"/>
  <c r="AL168" i="9" s="1"/>
  <c r="I159" i="16"/>
  <c r="K159" i="16" s="1"/>
  <c r="AH181" i="9"/>
  <c r="AH168" i="9" s="1"/>
  <c r="K46" i="16"/>
  <c r="L46" i="16" s="1"/>
  <c r="H45" i="16"/>
  <c r="K45" i="16" s="1"/>
  <c r="L45" i="16" s="1"/>
  <c r="BN25" i="9"/>
  <c r="BN24" i="9" s="1"/>
  <c r="AS181" i="9"/>
  <c r="AS168" i="9" s="1"/>
  <c r="Z25" i="9"/>
  <c r="Z24" i="9" s="1"/>
  <c r="AT208" i="9"/>
  <c r="AR57" i="9"/>
  <c r="AR30" i="9" s="1"/>
  <c r="I155" i="16"/>
  <c r="AQ57" i="9"/>
  <c r="H155" i="16"/>
  <c r="AR181" i="9"/>
  <c r="AR168" i="9" s="1"/>
  <c r="I75" i="13"/>
  <c r="J75" i="13" s="1"/>
  <c r="P46" i="16"/>
  <c r="M45" i="16"/>
  <c r="P45" i="16" s="1"/>
  <c r="AH30" i="9"/>
  <c r="AB1002" i="13"/>
  <c r="AB874" i="13"/>
  <c r="AA117" i="13"/>
  <c r="AB353" i="13"/>
  <c r="N314" i="13"/>
  <c r="Z314" i="13" s="1"/>
  <c r="AA42" i="13"/>
  <c r="G261" i="15"/>
  <c r="N682" i="13"/>
  <c r="Y682" i="13" s="1"/>
  <c r="AT93" i="9"/>
  <c r="AT92" i="9" s="1"/>
  <c r="AT91" i="9" s="1"/>
  <c r="AB1136" i="13"/>
  <c r="AA1128" i="13"/>
  <c r="AB1163" i="13"/>
  <c r="AB954" i="13"/>
  <c r="AB913" i="13"/>
  <c r="AB1030" i="13"/>
  <c r="I790" i="13"/>
  <c r="J790" i="13" s="1"/>
  <c r="I769" i="13"/>
  <c r="J769" i="13" s="1"/>
  <c r="AX30" i="9"/>
  <c r="I225" i="15"/>
  <c r="J225" i="15" s="1"/>
  <c r="N225" i="15" s="1"/>
  <c r="AA84" i="11"/>
  <c r="Q159" i="15"/>
  <c r="I250" i="15"/>
  <c r="J250" i="15" s="1"/>
  <c r="N250" i="15" s="1"/>
  <c r="Y250" i="15" s="1"/>
  <c r="I252" i="15"/>
  <c r="J252" i="15" s="1"/>
  <c r="N252" i="15" s="1"/>
  <c r="I256" i="15"/>
  <c r="J256" i="15" s="1"/>
  <c r="N256" i="15" s="1"/>
  <c r="H261" i="15"/>
  <c r="H149" i="15"/>
  <c r="L261" i="15"/>
  <c r="AD30" i="9"/>
  <c r="AT58" i="9"/>
  <c r="AT57" i="9" s="1"/>
  <c r="AA89" i="11"/>
  <c r="G149" i="15"/>
  <c r="L149" i="15"/>
  <c r="V159" i="15"/>
  <c r="S209" i="15"/>
  <c r="I226" i="15"/>
  <c r="J226" i="15" s="1"/>
  <c r="N226" i="15" s="1"/>
  <c r="M159" i="15"/>
  <c r="R159" i="15"/>
  <c r="AA343" i="15"/>
  <c r="K159" i="15"/>
  <c r="U159" i="15"/>
  <c r="U84" i="11"/>
  <c r="W84" i="11"/>
  <c r="S226" i="15"/>
  <c r="X226" i="15"/>
  <c r="M84" i="11"/>
  <c r="S242" i="15"/>
  <c r="X242" i="15"/>
  <c r="I263" i="15"/>
  <c r="J263" i="15" s="1"/>
  <c r="BY25" i="9"/>
  <c r="BY24" i="9" s="1"/>
  <c r="AQ181" i="9"/>
  <c r="AQ168" i="9" s="1"/>
  <c r="BX25" i="9"/>
  <c r="BX24" i="9" s="1"/>
  <c r="I224" i="15"/>
  <c r="J224" i="15" s="1"/>
  <c r="N224" i="15" s="1"/>
  <c r="S217" i="15"/>
  <c r="I114" i="13"/>
  <c r="G76" i="15"/>
  <c r="I76" i="15" s="1"/>
  <c r="J76" i="15" s="1"/>
  <c r="N76" i="15" s="1"/>
  <c r="AB912" i="13"/>
  <c r="S742" i="13"/>
  <c r="X742" i="13"/>
  <c r="AB314" i="13"/>
  <c r="AB583" i="13"/>
  <c r="S33" i="13"/>
  <c r="X33" i="13"/>
  <c r="AB379" i="13"/>
  <c r="AB847" i="13"/>
  <c r="AB544" i="13"/>
  <c r="AB225" i="13"/>
  <c r="AB243" i="13"/>
  <c r="AB453" i="13"/>
  <c r="AB700" i="13"/>
  <c r="AB1202" i="13"/>
  <c r="I113" i="13"/>
  <c r="J113" i="13" s="1"/>
  <c r="S114" i="13"/>
  <c r="X114" i="13"/>
  <c r="I232" i="15"/>
  <c r="J232" i="15" s="1"/>
  <c r="N232" i="15" s="1"/>
  <c r="AA268" i="15"/>
  <c r="AB387" i="13"/>
  <c r="I742" i="13"/>
  <c r="O274" i="15"/>
  <c r="S274" i="15" s="1"/>
  <c r="T274" i="15"/>
  <c r="X274" i="15" s="1"/>
  <c r="S790" i="13"/>
  <c r="X790" i="13"/>
  <c r="AB1020" i="13"/>
  <c r="AB1095" i="13"/>
  <c r="AB1096" i="13"/>
  <c r="I807" i="13"/>
  <c r="J807" i="13" s="1"/>
  <c r="I809" i="13"/>
  <c r="J809" i="13" s="1"/>
  <c r="S115" i="13"/>
  <c r="X115" i="13"/>
  <c r="O34" i="15"/>
  <c r="S34" i="15" s="1"/>
  <c r="T34" i="15"/>
  <c r="X34" i="15" s="1"/>
  <c r="X40" i="13"/>
  <c r="AB661" i="13"/>
  <c r="S75" i="13"/>
  <c r="X75" i="13"/>
  <c r="AB895" i="13"/>
  <c r="AB242" i="13"/>
  <c r="AB452" i="13"/>
  <c r="I808" i="13"/>
  <c r="J808" i="13" s="1"/>
  <c r="S808" i="13"/>
  <c r="X808" i="13"/>
  <c r="S113" i="13"/>
  <c r="X113" i="13"/>
  <c r="I115" i="13"/>
  <c r="J115" i="13" s="1"/>
  <c r="O115" i="15"/>
  <c r="S115" i="15" s="1"/>
  <c r="T115" i="15"/>
  <c r="X115" i="15" s="1"/>
  <c r="O116" i="15"/>
  <c r="S116" i="15" s="1"/>
  <c r="T116" i="15"/>
  <c r="X116" i="15" s="1"/>
  <c r="O33" i="15"/>
  <c r="S33" i="15" s="1"/>
  <c r="T33" i="15"/>
  <c r="X33" i="15" s="1"/>
  <c r="AB177" i="13"/>
  <c r="AB634" i="13"/>
  <c r="G339" i="15"/>
  <c r="I339" i="15" s="1"/>
  <c r="J339" i="15" s="1"/>
  <c r="N339" i="15" s="1"/>
  <c r="G341" i="15"/>
  <c r="I341" i="15" s="1"/>
  <c r="J341" i="15" s="1"/>
  <c r="N341" i="15" s="1"/>
  <c r="Y341" i="15" s="1"/>
  <c r="AA18" i="13"/>
  <c r="AB981" i="13"/>
  <c r="AB1057" i="13"/>
  <c r="S769" i="13"/>
  <c r="X769" i="13"/>
  <c r="AB335" i="13"/>
  <c r="AB1184" i="13"/>
  <c r="I96" i="13"/>
  <c r="J96" i="13" s="1"/>
  <c r="H322" i="15"/>
  <c r="I322" i="15" s="1"/>
  <c r="J322" i="15" s="1"/>
  <c r="N322" i="15" s="1"/>
  <c r="Y322" i="15" s="1"/>
  <c r="O322" i="15"/>
  <c r="S322" i="15" s="1"/>
  <c r="T322" i="15"/>
  <c r="X322" i="15" s="1"/>
  <c r="AB352" i="13"/>
  <c r="AB582" i="13"/>
  <c r="AB1019" i="13"/>
  <c r="S807" i="13"/>
  <c r="X807" i="13"/>
  <c r="S809" i="13"/>
  <c r="X809" i="13"/>
  <c r="H340" i="15"/>
  <c r="I340" i="15" s="1"/>
  <c r="J340" i="15" s="1"/>
  <c r="N340" i="15" s="1"/>
  <c r="O340" i="15"/>
  <c r="S340" i="15" s="1"/>
  <c r="T340" i="15"/>
  <c r="X340" i="15" s="1"/>
  <c r="AB502" i="13"/>
  <c r="I33" i="13"/>
  <c r="J33" i="13" s="1"/>
  <c r="N33" i="13" s="1"/>
  <c r="I40" i="13"/>
  <c r="G97" i="15"/>
  <c r="I97" i="15" s="1"/>
  <c r="J97" i="15" s="1"/>
  <c r="N97" i="15" s="1"/>
  <c r="G34" i="15"/>
  <c r="I34" i="15" s="1"/>
  <c r="J34" i="15" s="1"/>
  <c r="N34" i="15" s="1"/>
  <c r="G84" i="11"/>
  <c r="P84" i="11"/>
  <c r="I33" i="15"/>
  <c r="J33" i="15" s="1"/>
  <c r="N33" i="15" s="1"/>
  <c r="X85" i="11"/>
  <c r="X89" i="11" s="1"/>
  <c r="I48" i="13"/>
  <c r="J48" i="13" s="1"/>
  <c r="N48" i="13" s="1"/>
  <c r="I150" i="15"/>
  <c r="J150" i="15" s="1"/>
  <c r="I231" i="15"/>
  <c r="J231" i="15" s="1"/>
  <c r="N231" i="15" s="1"/>
  <c r="S232" i="15"/>
  <c r="X232" i="15"/>
  <c r="S339" i="15"/>
  <c r="Y161" i="13"/>
  <c r="Z161" i="13"/>
  <c r="I244" i="15"/>
  <c r="J244" i="15" s="1"/>
  <c r="N244" i="15" s="1"/>
  <c r="J371" i="13"/>
  <c r="S244" i="15"/>
  <c r="X244" i="15"/>
  <c r="S48" i="13"/>
  <c r="X48" i="13"/>
  <c r="S231" i="15"/>
  <c r="X231" i="15"/>
  <c r="I233" i="15"/>
  <c r="J233" i="15" s="1"/>
  <c r="N233" i="15" s="1"/>
  <c r="S341" i="15"/>
  <c r="X341" i="15"/>
  <c r="S223" i="15"/>
  <c r="O49" i="15"/>
  <c r="S49" i="15" s="1"/>
  <c r="T49" i="15"/>
  <c r="X49" i="15" s="1"/>
  <c r="S96" i="13"/>
  <c r="X96" i="13"/>
  <c r="I115" i="15"/>
  <c r="J115" i="15" s="1"/>
  <c r="N115" i="15" s="1"/>
  <c r="X339" i="15"/>
  <c r="S114" i="15"/>
  <c r="X114" i="15"/>
  <c r="O97" i="15"/>
  <c r="S97" i="15" s="1"/>
  <c r="T97" i="15"/>
  <c r="X97" i="15" s="1"/>
  <c r="G114" i="15"/>
  <c r="I114" i="15" s="1"/>
  <c r="J114" i="15" s="1"/>
  <c r="N114" i="15" s="1"/>
  <c r="G116" i="15"/>
  <c r="I116" i="15" s="1"/>
  <c r="J116" i="15" s="1"/>
  <c r="N116" i="15" s="1"/>
  <c r="S233" i="15"/>
  <c r="X233" i="15"/>
  <c r="J114" i="13"/>
  <c r="N114" i="13" s="1"/>
  <c r="J1201" i="13"/>
  <c r="J1202" i="13"/>
  <c r="Y1095" i="13"/>
  <c r="Z1095" i="13"/>
  <c r="Y1096" i="13"/>
  <c r="Z1096" i="13"/>
  <c r="J1019" i="13"/>
  <c r="J1020" i="13"/>
  <c r="J912" i="13"/>
  <c r="J913" i="13"/>
  <c r="I180" i="15"/>
  <c r="J180" i="15" s="1"/>
  <c r="N180" i="15" s="1"/>
  <c r="I208" i="15"/>
  <c r="J208" i="15" s="1"/>
  <c r="N208" i="15" s="1"/>
  <c r="Y699" i="13"/>
  <c r="Z699" i="13"/>
  <c r="Y700" i="13"/>
  <c r="Z700" i="13"/>
  <c r="I182" i="15"/>
  <c r="J182" i="15" s="1"/>
  <c r="N182" i="15" s="1"/>
  <c r="Y582" i="13"/>
  <c r="Z582" i="13"/>
  <c r="Y583" i="13"/>
  <c r="Z583" i="13"/>
  <c r="I162" i="15"/>
  <c r="J162" i="15" s="1"/>
  <c r="N162" i="15" s="1"/>
  <c r="J452" i="13"/>
  <c r="J453" i="13"/>
  <c r="X223" i="15"/>
  <c r="J352" i="13"/>
  <c r="J353" i="13"/>
  <c r="Y242" i="13"/>
  <c r="Z242" i="13"/>
  <c r="Y243" i="13"/>
  <c r="Z243" i="13"/>
  <c r="S214" i="15"/>
  <c r="X214" i="15"/>
  <c r="I214" i="15"/>
  <c r="J214" i="15" s="1"/>
  <c r="N214" i="15" s="1"/>
  <c r="I209" i="15"/>
  <c r="J209" i="15" s="1"/>
  <c r="N209" i="15" s="1"/>
  <c r="L159" i="15"/>
  <c r="I207" i="15"/>
  <c r="J207" i="15" s="1"/>
  <c r="N207" i="15" s="1"/>
  <c r="J1184" i="13"/>
  <c r="Y1078" i="13"/>
  <c r="Z1078" i="13"/>
  <c r="I169" i="15"/>
  <c r="J169" i="15" s="1"/>
  <c r="N169" i="15" s="1"/>
  <c r="J1002" i="13"/>
  <c r="J895" i="13"/>
  <c r="Z565" i="13"/>
  <c r="Y435" i="13"/>
  <c r="Z435" i="13"/>
  <c r="J335" i="13"/>
  <c r="Y225" i="13"/>
  <c r="Z225" i="13"/>
  <c r="I171" i="15"/>
  <c r="J171" i="15" s="1"/>
  <c r="N171" i="15" s="1"/>
  <c r="I179" i="15"/>
  <c r="J179" i="15" s="1"/>
  <c r="N179" i="15" s="1"/>
  <c r="S193" i="15"/>
  <c r="AA159" i="15"/>
  <c r="H159" i="15"/>
  <c r="O159" i="15"/>
  <c r="T159" i="15"/>
  <c r="X193" i="15"/>
  <c r="I193" i="15"/>
  <c r="J193" i="15" s="1"/>
  <c r="N193" i="15" s="1"/>
  <c r="W159" i="15"/>
  <c r="O76" i="15"/>
  <c r="S76" i="15" s="1"/>
  <c r="X76" i="15"/>
  <c r="AA43" i="15"/>
  <c r="S301" i="15"/>
  <c r="X301" i="15"/>
  <c r="G301" i="15"/>
  <c r="I301" i="15" s="1"/>
  <c r="J301" i="15" s="1"/>
  <c r="N301" i="15" s="1"/>
  <c r="P159" i="15"/>
  <c r="G159" i="15"/>
  <c r="J1163" i="13"/>
  <c r="Y1057" i="13"/>
  <c r="Z1057" i="13"/>
  <c r="J981" i="13"/>
  <c r="J874" i="13"/>
  <c r="I274" i="15"/>
  <c r="J274" i="15" s="1"/>
  <c r="N274" i="15" s="1"/>
  <c r="S248" i="15"/>
  <c r="S254" i="15"/>
  <c r="S166" i="15"/>
  <c r="X166" i="15"/>
  <c r="Y661" i="13"/>
  <c r="Z661" i="13"/>
  <c r="J544" i="13"/>
  <c r="J414" i="13"/>
  <c r="I49" i="15"/>
  <c r="J49" i="15" s="1"/>
  <c r="N49" i="15" s="1"/>
  <c r="I194" i="15"/>
  <c r="J194" i="15" s="1"/>
  <c r="N194" i="15" s="1"/>
  <c r="I166" i="15"/>
  <c r="J166" i="15" s="1"/>
  <c r="N166" i="15" s="1"/>
  <c r="I222" i="15"/>
  <c r="J222" i="15" s="1"/>
  <c r="N222" i="15" s="1"/>
  <c r="Y1136" i="13"/>
  <c r="Z1136" i="13"/>
  <c r="J1030" i="13"/>
  <c r="AB287" i="13"/>
  <c r="I187" i="15"/>
  <c r="J187" i="15" s="1"/>
  <c r="N187" i="15" s="1"/>
  <c r="AB509" i="13"/>
  <c r="S40" i="13"/>
  <c r="AA19" i="15"/>
  <c r="I157" i="15"/>
  <c r="J157" i="15" s="1"/>
  <c r="I199" i="15"/>
  <c r="J199" i="15" s="1"/>
  <c r="N199" i="15" s="1"/>
  <c r="I41" i="15"/>
  <c r="J41" i="15" s="1"/>
  <c r="I185" i="15"/>
  <c r="J185" i="15" s="1"/>
  <c r="N185" i="15" s="1"/>
  <c r="S187" i="15"/>
  <c r="X187" i="15"/>
  <c r="I189" i="15"/>
  <c r="J189" i="15" s="1"/>
  <c r="N189" i="15" s="1"/>
  <c r="S189" i="15"/>
  <c r="X189" i="15"/>
  <c r="S206" i="15"/>
  <c r="X206" i="15"/>
  <c r="I153" i="15"/>
  <c r="X209" i="15"/>
  <c r="Y954" i="13"/>
  <c r="Z954" i="13"/>
  <c r="J847" i="13"/>
  <c r="Y634" i="13"/>
  <c r="Z634" i="13"/>
  <c r="Y517" i="13"/>
  <c r="Z517" i="13"/>
  <c r="J287" i="13"/>
  <c r="J177" i="13"/>
  <c r="I152" i="15"/>
  <c r="J152" i="15" s="1"/>
  <c r="I228" i="15"/>
  <c r="J228" i="15" s="1"/>
  <c r="N228" i="15" s="1"/>
  <c r="S192" i="15"/>
  <c r="X192" i="15"/>
  <c r="X217" i="15"/>
  <c r="X254" i="15"/>
  <c r="S41" i="15"/>
  <c r="X41" i="15"/>
  <c r="I246" i="15"/>
  <c r="J246" i="15" s="1"/>
  <c r="N246" i="15" s="1"/>
  <c r="I173" i="15"/>
  <c r="J173" i="15" s="1"/>
  <c r="N173" i="15" s="1"/>
  <c r="I196" i="15"/>
  <c r="J196" i="15" s="1"/>
  <c r="N196" i="15" s="1"/>
  <c r="Y196" i="15" s="1"/>
  <c r="I201" i="15"/>
  <c r="J201" i="15" s="1"/>
  <c r="N201" i="15" s="1"/>
  <c r="I203" i="15"/>
  <c r="J203" i="15" s="1"/>
  <c r="N203" i="15" s="1"/>
  <c r="I205" i="15"/>
  <c r="J205" i="15" s="1"/>
  <c r="N205" i="15" s="1"/>
  <c r="S215" i="15"/>
  <c r="X248" i="15"/>
  <c r="I257" i="15"/>
  <c r="J257" i="15" s="1"/>
  <c r="J509" i="13"/>
  <c r="Y379" i="13"/>
  <c r="Z379" i="13"/>
  <c r="J169" i="13"/>
  <c r="N169" i="13" s="1"/>
  <c r="S163" i="15"/>
  <c r="X163" i="15"/>
  <c r="S172" i="15"/>
  <c r="X172" i="15"/>
  <c r="I211" i="15"/>
  <c r="J211" i="15" s="1"/>
  <c r="N211" i="15" s="1"/>
  <c r="I213" i="15"/>
  <c r="J213" i="15" s="1"/>
  <c r="N213" i="15" s="1"/>
  <c r="I217" i="15"/>
  <c r="J217" i="15" s="1"/>
  <c r="N217" i="15" s="1"/>
  <c r="I242" i="15"/>
  <c r="J242" i="15" s="1"/>
  <c r="N242" i="15" s="1"/>
  <c r="I248" i="15"/>
  <c r="J248" i="15" s="1"/>
  <c r="N248" i="15" s="1"/>
  <c r="S252" i="15"/>
  <c r="X252" i="15"/>
  <c r="S194" i="15"/>
  <c r="X215" i="15"/>
  <c r="S241" i="15"/>
  <c r="X241" i="15"/>
  <c r="S247" i="15"/>
  <c r="X247" i="15"/>
  <c r="S198" i="15"/>
  <c r="X198" i="15"/>
  <c r="I254" i="15"/>
  <c r="J254" i="15" s="1"/>
  <c r="N254" i="15" s="1"/>
  <c r="S180" i="15"/>
  <c r="X180" i="15"/>
  <c r="I219" i="15"/>
  <c r="J219" i="15" s="1"/>
  <c r="N219" i="15" s="1"/>
  <c r="I230" i="15"/>
  <c r="J230" i="15" s="1"/>
  <c r="N230" i="15" s="1"/>
  <c r="AA1023" i="13"/>
  <c r="AA946" i="13" s="1"/>
  <c r="X194" i="15"/>
  <c r="I174" i="15"/>
  <c r="J174" i="15" s="1"/>
  <c r="N174" i="15" s="1"/>
  <c r="I177" i="15"/>
  <c r="J177" i="15" s="1"/>
  <c r="N177" i="15" s="1"/>
  <c r="I167" i="15"/>
  <c r="J167" i="15" s="1"/>
  <c r="N167" i="15" s="1"/>
  <c r="Y167" i="15" s="1"/>
  <c r="I200" i="15"/>
  <c r="J200" i="15" s="1"/>
  <c r="N200" i="15" s="1"/>
  <c r="S201" i="15"/>
  <c r="X201" i="15"/>
  <c r="I258" i="15"/>
  <c r="AA146" i="13"/>
  <c r="AA356" i="13"/>
  <c r="AA276" i="13" s="1"/>
  <c r="I156" i="15"/>
  <c r="J156" i="15" s="1"/>
  <c r="S162" i="15"/>
  <c r="X162" i="15"/>
  <c r="S165" i="15"/>
  <c r="X165" i="15"/>
  <c r="S167" i="15"/>
  <c r="X167" i="15"/>
  <c r="I170" i="15"/>
  <c r="J170" i="15" s="1"/>
  <c r="N170" i="15" s="1"/>
  <c r="S171" i="15"/>
  <c r="X171" i="15"/>
  <c r="I176" i="15"/>
  <c r="J176" i="15" s="1"/>
  <c r="N176" i="15" s="1"/>
  <c r="S181" i="15"/>
  <c r="X181" i="15"/>
  <c r="I183" i="15"/>
  <c r="J183" i="15" s="1"/>
  <c r="N183" i="15" s="1"/>
  <c r="S188" i="15"/>
  <c r="X188" i="15"/>
  <c r="S190" i="15"/>
  <c r="X190" i="15"/>
  <c r="S195" i="15"/>
  <c r="X195" i="15"/>
  <c r="S196" i="15"/>
  <c r="X196" i="15"/>
  <c r="S202" i="15"/>
  <c r="X202" i="15"/>
  <c r="I204" i="15"/>
  <c r="J204" i="15" s="1"/>
  <c r="N204" i="15" s="1"/>
  <c r="S205" i="15"/>
  <c r="X205" i="15"/>
  <c r="S210" i="15"/>
  <c r="X210" i="15"/>
  <c r="I212" i="15"/>
  <c r="J212" i="15" s="1"/>
  <c r="N212" i="15" s="1"/>
  <c r="S213" i="15"/>
  <c r="X213" i="15"/>
  <c r="S218" i="15"/>
  <c r="X218" i="15"/>
  <c r="S219" i="15"/>
  <c r="X219" i="15"/>
  <c r="I221" i="15"/>
  <c r="J221" i="15" s="1"/>
  <c r="N221" i="15" s="1"/>
  <c r="S222" i="15"/>
  <c r="X222" i="15"/>
  <c r="S227" i="15"/>
  <c r="X227" i="15"/>
  <c r="I229" i="15"/>
  <c r="J229" i="15" s="1"/>
  <c r="N229" i="15" s="1"/>
  <c r="S230" i="15"/>
  <c r="X230" i="15"/>
  <c r="S239" i="15"/>
  <c r="X239" i="15"/>
  <c r="S243" i="15"/>
  <c r="X243" i="15"/>
  <c r="S245" i="15"/>
  <c r="X245" i="15"/>
  <c r="S246" i="15"/>
  <c r="X246" i="15"/>
  <c r="I262" i="15"/>
  <c r="AA118" i="15"/>
  <c r="I158" i="15"/>
  <c r="J158" i="15" s="1"/>
  <c r="I165" i="15"/>
  <c r="J165" i="15" s="1"/>
  <c r="N165" i="15" s="1"/>
  <c r="Z165" i="15" s="1"/>
  <c r="S169" i="15"/>
  <c r="X169" i="15"/>
  <c r="S174" i="15"/>
  <c r="X174" i="15"/>
  <c r="S179" i="15"/>
  <c r="X179" i="15"/>
  <c r="I181" i="15"/>
  <c r="J181" i="15" s="1"/>
  <c r="N181" i="15" s="1"/>
  <c r="S182" i="15"/>
  <c r="X182" i="15"/>
  <c r="S185" i="15"/>
  <c r="X185" i="15"/>
  <c r="I188" i="15"/>
  <c r="J188" i="15" s="1"/>
  <c r="N188" i="15" s="1"/>
  <c r="I190" i="15"/>
  <c r="J190" i="15" s="1"/>
  <c r="N190" i="15" s="1"/>
  <c r="Z190" i="15" s="1"/>
  <c r="I195" i="15"/>
  <c r="J195" i="15" s="1"/>
  <c r="N195" i="15" s="1"/>
  <c r="S200" i="15"/>
  <c r="X200" i="15"/>
  <c r="I202" i="15"/>
  <c r="J202" i="15" s="1"/>
  <c r="N202" i="15" s="1"/>
  <c r="S203" i="15"/>
  <c r="X203" i="15"/>
  <c r="S208" i="15"/>
  <c r="X208" i="15"/>
  <c r="I210" i="15"/>
  <c r="J210" i="15" s="1"/>
  <c r="N210" i="15" s="1"/>
  <c r="S211" i="15"/>
  <c r="X211" i="15"/>
  <c r="I218" i="15"/>
  <c r="J218" i="15" s="1"/>
  <c r="N218" i="15" s="1"/>
  <c r="Z218" i="15" s="1"/>
  <c r="S225" i="15"/>
  <c r="X225" i="15"/>
  <c r="I227" i="15"/>
  <c r="J227" i="15" s="1"/>
  <c r="N227" i="15" s="1"/>
  <c r="S228" i="15"/>
  <c r="X228" i="15"/>
  <c r="I239" i="15"/>
  <c r="J239" i="15" s="1"/>
  <c r="N239" i="15" s="1"/>
  <c r="I243" i="15"/>
  <c r="J243" i="15" s="1"/>
  <c r="N243" i="15" s="1"/>
  <c r="I245" i="15"/>
  <c r="J245" i="15" s="1"/>
  <c r="N245" i="15" s="1"/>
  <c r="X251" i="15"/>
  <c r="L236" i="15"/>
  <c r="I154" i="15"/>
  <c r="J154" i="15" s="1"/>
  <c r="I163" i="15"/>
  <c r="J163" i="15" s="1"/>
  <c r="N163" i="15" s="1"/>
  <c r="S170" i="15"/>
  <c r="X170" i="15"/>
  <c r="I172" i="15"/>
  <c r="J172" i="15" s="1"/>
  <c r="N172" i="15" s="1"/>
  <c r="S173" i="15"/>
  <c r="X173" i="15"/>
  <c r="S176" i="15"/>
  <c r="X176" i="15"/>
  <c r="S177" i="15"/>
  <c r="X177" i="15"/>
  <c r="S183" i="15"/>
  <c r="X183" i="15"/>
  <c r="I192" i="15"/>
  <c r="J192" i="15" s="1"/>
  <c r="N192" i="15" s="1"/>
  <c r="I198" i="15"/>
  <c r="J198" i="15" s="1"/>
  <c r="N198" i="15" s="1"/>
  <c r="S199" i="15"/>
  <c r="X199" i="15"/>
  <c r="S204" i="15"/>
  <c r="X204" i="15"/>
  <c r="I206" i="15"/>
  <c r="J206" i="15" s="1"/>
  <c r="N206" i="15" s="1"/>
  <c r="S207" i="15"/>
  <c r="X207" i="15"/>
  <c r="S212" i="15"/>
  <c r="X212" i="15"/>
  <c r="I215" i="15"/>
  <c r="J215" i="15" s="1"/>
  <c r="N215" i="15" s="1"/>
  <c r="S221" i="15"/>
  <c r="X221" i="15"/>
  <c r="I223" i="15"/>
  <c r="J223" i="15" s="1"/>
  <c r="N223" i="15" s="1"/>
  <c r="S224" i="15"/>
  <c r="X224" i="15"/>
  <c r="S229" i="15"/>
  <c r="X229" i="15"/>
  <c r="I241" i="15"/>
  <c r="J241" i="15" s="1"/>
  <c r="N241" i="15" s="1"/>
  <c r="I247" i="15"/>
  <c r="J247" i="15" s="1"/>
  <c r="N247" i="15" s="1"/>
  <c r="Z247" i="15" s="1"/>
  <c r="S250" i="15"/>
  <c r="X250" i="15"/>
  <c r="S256" i="15"/>
  <c r="X256" i="15"/>
  <c r="AA811" i="13"/>
  <c r="AA840" i="13"/>
  <c r="AA485" i="13"/>
  <c r="AA736" i="13"/>
  <c r="S29" i="11"/>
  <c r="S28" i="11" s="1"/>
  <c r="X29" i="11"/>
  <c r="X28" i="11" s="1"/>
  <c r="X24" i="9"/>
  <c r="BP25" i="9"/>
  <c r="BZ25" i="9"/>
  <c r="BZ24" i="9" s="1"/>
  <c r="BR25" i="9"/>
  <c r="BR24" i="9" s="1"/>
  <c r="AA618" i="13"/>
  <c r="Q84" i="11"/>
  <c r="K84" i="11"/>
  <c r="T84" i="11"/>
  <c r="AA729" i="13"/>
  <c r="AA262" i="15"/>
  <c r="AA261" i="15" s="1"/>
  <c r="AA704" i="13"/>
  <c r="AA257" i="15"/>
  <c r="AA236" i="15" s="1"/>
  <c r="S86" i="11"/>
  <c r="S90" i="11" s="1"/>
  <c r="Q89" i="11"/>
  <c r="G90" i="11"/>
  <c r="T89" i="11"/>
  <c r="P90" i="11"/>
  <c r="O84" i="11"/>
  <c r="G89" i="11"/>
  <c r="H236" i="15"/>
  <c r="G236" i="15"/>
  <c r="S251" i="15"/>
  <c r="I251" i="15"/>
  <c r="X86" i="11"/>
  <c r="X90" i="11" s="1"/>
  <c r="V84" i="11"/>
  <c r="R84" i="11"/>
  <c r="S85" i="11"/>
  <c r="I86" i="11"/>
  <c r="J85" i="11"/>
  <c r="J89" i="11" s="1"/>
  <c r="J29" i="11" l="1"/>
  <c r="J28" i="11" s="1"/>
  <c r="AA150" i="15"/>
  <c r="AA149" i="15" s="1"/>
  <c r="AA147" i="15" s="1"/>
  <c r="Y204" i="13"/>
  <c r="Z502" i="13"/>
  <c r="N371" i="13"/>
  <c r="Z371" i="13" s="1"/>
  <c r="N509" i="13"/>
  <c r="Z509" i="13" s="1"/>
  <c r="AB40" i="13"/>
  <c r="Z682" i="13"/>
  <c r="N41" i="15"/>
  <c r="Y41" i="15" s="1"/>
  <c r="AQ30" i="9"/>
  <c r="Y242" i="15"/>
  <c r="N177" i="13"/>
  <c r="Z177" i="13" s="1"/>
  <c r="Y387" i="13"/>
  <c r="N414" i="13"/>
  <c r="Y414" i="13" s="1"/>
  <c r="N544" i="13"/>
  <c r="Y544" i="13" s="1"/>
  <c r="AA275" i="13"/>
  <c r="I65" i="16"/>
  <c r="I64" i="16" s="1"/>
  <c r="K64" i="16" s="1"/>
  <c r="L64" i="16" s="1"/>
  <c r="AB113" i="13"/>
  <c r="AT181" i="9"/>
  <c r="AT168" i="9" s="1"/>
  <c r="I134" i="16"/>
  <c r="I130" i="16"/>
  <c r="I109" i="16" s="1"/>
  <c r="K155" i="16"/>
  <c r="H130" i="16"/>
  <c r="H134" i="16"/>
  <c r="Z223" i="15"/>
  <c r="L235" i="15"/>
  <c r="Y217" i="15"/>
  <c r="AB209" i="15"/>
  <c r="N452" i="13"/>
  <c r="Y452" i="13" s="1"/>
  <c r="N453" i="13"/>
  <c r="Z453" i="13" s="1"/>
  <c r="N113" i="13"/>
  <c r="Z113" i="13" s="1"/>
  <c r="N352" i="13"/>
  <c r="Z352" i="13" s="1"/>
  <c r="N353" i="13"/>
  <c r="Y353" i="13" s="1"/>
  <c r="N115" i="13"/>
  <c r="Z115" i="13" s="1"/>
  <c r="N96" i="13"/>
  <c r="Z96" i="13" s="1"/>
  <c r="N335" i="13"/>
  <c r="Z335" i="13" s="1"/>
  <c r="N287" i="13"/>
  <c r="Z287" i="13" s="1"/>
  <c r="Y314" i="13"/>
  <c r="N75" i="13"/>
  <c r="Z75" i="13" s="1"/>
  <c r="G235" i="15"/>
  <c r="AT30" i="9"/>
  <c r="Y246" i="15"/>
  <c r="Z189" i="15"/>
  <c r="H235" i="15"/>
  <c r="AA17" i="15"/>
  <c r="Y248" i="15"/>
  <c r="Z201" i="15"/>
  <c r="H147" i="15"/>
  <c r="Z114" i="13"/>
  <c r="AA945" i="13"/>
  <c r="N1202" i="13"/>
  <c r="Z1202" i="13" s="1"/>
  <c r="N1184" i="13"/>
  <c r="Z1184" i="13" s="1"/>
  <c r="N1163" i="13"/>
  <c r="Y1163" i="13" s="1"/>
  <c r="N874" i="13"/>
  <c r="Z874" i="13" s="1"/>
  <c r="N847" i="13"/>
  <c r="Z847" i="13" s="1"/>
  <c r="N895" i="13"/>
  <c r="Z895" i="13" s="1"/>
  <c r="N913" i="13"/>
  <c r="Z913" i="13" s="1"/>
  <c r="N1030" i="13"/>
  <c r="Y1030" i="13" s="1"/>
  <c r="N809" i="13"/>
  <c r="Y809" i="13" s="1"/>
  <c r="N808" i="13"/>
  <c r="Z808" i="13" s="1"/>
  <c r="N1020" i="13"/>
  <c r="Y1020" i="13" s="1"/>
  <c r="N790" i="13"/>
  <c r="Z790" i="13" s="1"/>
  <c r="N1002" i="13"/>
  <c r="Y1002" i="13" s="1"/>
  <c r="AB790" i="13"/>
  <c r="N769" i="13"/>
  <c r="Z769" i="13" s="1"/>
  <c r="N981" i="13"/>
  <c r="Z981" i="13" s="1"/>
  <c r="AA734" i="13"/>
  <c r="AA733" i="13" s="1"/>
  <c r="N1201" i="13"/>
  <c r="Z1201" i="13" s="1"/>
  <c r="N1019" i="13"/>
  <c r="Y1019" i="13" s="1"/>
  <c r="N807" i="13"/>
  <c r="Z807" i="13" s="1"/>
  <c r="N912" i="13"/>
  <c r="Z912" i="13" s="1"/>
  <c r="Z252" i="15"/>
  <c r="I261" i="15"/>
  <c r="L147" i="15"/>
  <c r="Z182" i="15"/>
  <c r="Z187" i="15"/>
  <c r="G147" i="15"/>
  <c r="AA266" i="15"/>
  <c r="AA265" i="15" s="1"/>
  <c r="Z339" i="15"/>
  <c r="AB339" i="15"/>
  <c r="AB162" i="15"/>
  <c r="AB226" i="15"/>
  <c r="Z179" i="15"/>
  <c r="J262" i="15"/>
  <c r="J261" i="15" s="1"/>
  <c r="Z169" i="15"/>
  <c r="Z171" i="15"/>
  <c r="Z180" i="15"/>
  <c r="Z209" i="15"/>
  <c r="Z242" i="15"/>
  <c r="Z115" i="15"/>
  <c r="Z226" i="15"/>
  <c r="Z49" i="15"/>
  <c r="AB242" i="15"/>
  <c r="Z244" i="15"/>
  <c r="Z217" i="15"/>
  <c r="Z215" i="15"/>
  <c r="AB217" i="15"/>
  <c r="Z34" i="15"/>
  <c r="Z33" i="13"/>
  <c r="Z239" i="15"/>
  <c r="AB114" i="13"/>
  <c r="Z33" i="15"/>
  <c r="Z232" i="15"/>
  <c r="AB232" i="15"/>
  <c r="AB808" i="13"/>
  <c r="AB33" i="13"/>
  <c r="AB742" i="13"/>
  <c r="Z340" i="15"/>
  <c r="AB809" i="13"/>
  <c r="J742" i="13"/>
  <c r="Z48" i="13"/>
  <c r="AB807" i="13"/>
  <c r="AB33" i="15"/>
  <c r="AB96" i="13"/>
  <c r="AB769" i="13"/>
  <c r="AB75" i="13"/>
  <c r="AB34" i="15"/>
  <c r="AB115" i="13"/>
  <c r="Y34" i="15"/>
  <c r="Y33" i="15"/>
  <c r="Y33" i="13"/>
  <c r="Z231" i="15"/>
  <c r="Z114" i="15"/>
  <c r="AB114" i="15"/>
  <c r="AB223" i="15"/>
  <c r="Z233" i="15"/>
  <c r="AB340" i="15"/>
  <c r="AB116" i="15"/>
  <c r="AB341" i="15"/>
  <c r="Y339" i="15"/>
  <c r="Z116" i="15"/>
  <c r="Y116" i="15"/>
  <c r="Y232" i="15"/>
  <c r="Y233" i="15"/>
  <c r="AB233" i="15"/>
  <c r="AB115" i="15"/>
  <c r="AB244" i="15"/>
  <c r="Y231" i="15"/>
  <c r="Y340" i="15"/>
  <c r="AB231" i="15"/>
  <c r="AB48" i="13"/>
  <c r="Z341" i="15"/>
  <c r="Y115" i="15"/>
  <c r="Y114" i="15"/>
  <c r="Y114" i="13"/>
  <c r="Y453" i="13"/>
  <c r="Z322" i="15"/>
  <c r="AB97" i="15"/>
  <c r="AB214" i="15"/>
  <c r="Z214" i="15"/>
  <c r="AB322" i="15"/>
  <c r="Y214" i="15"/>
  <c r="Z97" i="15"/>
  <c r="Y97" i="15"/>
  <c r="Z192" i="15"/>
  <c r="Z163" i="15"/>
  <c r="Z245" i="15"/>
  <c r="AB248" i="15"/>
  <c r="Z176" i="15"/>
  <c r="AB301" i="15"/>
  <c r="AB76" i="15"/>
  <c r="Z193" i="15"/>
  <c r="Z301" i="15"/>
  <c r="Z172" i="15"/>
  <c r="Z166" i="15"/>
  <c r="Z211" i="15"/>
  <c r="Z248" i="15"/>
  <c r="AB193" i="15"/>
  <c r="Z76" i="15"/>
  <c r="Y301" i="15"/>
  <c r="Y193" i="15"/>
  <c r="Y76" i="15"/>
  <c r="Z195" i="15"/>
  <c r="Z254" i="15"/>
  <c r="AB254" i="15"/>
  <c r="AB166" i="15"/>
  <c r="Z200" i="15"/>
  <c r="Z213" i="15"/>
  <c r="Z174" i="15"/>
  <c r="Z222" i="15"/>
  <c r="Z205" i="15"/>
  <c r="Z173" i="15"/>
  <c r="Z202" i="15"/>
  <c r="Z162" i="15"/>
  <c r="Z185" i="15"/>
  <c r="Y194" i="15"/>
  <c r="Z206" i="15"/>
  <c r="AB274" i="15"/>
  <c r="AB49" i="15"/>
  <c r="I159" i="15"/>
  <c r="Z207" i="15"/>
  <c r="Z198" i="15"/>
  <c r="Z188" i="15"/>
  <c r="Z194" i="15"/>
  <c r="Z274" i="15"/>
  <c r="Y274" i="15"/>
  <c r="Y49" i="15"/>
  <c r="Z243" i="15"/>
  <c r="Y166" i="15"/>
  <c r="AB187" i="15"/>
  <c r="Y48" i="13"/>
  <c r="Z170" i="15"/>
  <c r="S159" i="15"/>
  <c r="Z230" i="15"/>
  <c r="X159" i="15"/>
  <c r="Z203" i="15"/>
  <c r="Z228" i="15"/>
  <c r="I149" i="15"/>
  <c r="AB189" i="15"/>
  <c r="J153" i="15"/>
  <c r="J149" i="15" s="1"/>
  <c r="Z181" i="15"/>
  <c r="Z212" i="15"/>
  <c r="Z208" i="15"/>
  <c r="Z225" i="15"/>
  <c r="Y254" i="15"/>
  <c r="Y177" i="15"/>
  <c r="Z227" i="15"/>
  <c r="J40" i="13"/>
  <c r="N40" i="13" s="1"/>
  <c r="Z210" i="15"/>
  <c r="Z229" i="15"/>
  <c r="AB251" i="15"/>
  <c r="AB206" i="15"/>
  <c r="Y847" i="13"/>
  <c r="Z256" i="15"/>
  <c r="Y287" i="13"/>
  <c r="AB215" i="15"/>
  <c r="AB192" i="15"/>
  <c r="AB221" i="15"/>
  <c r="AB204" i="15"/>
  <c r="AB177" i="15"/>
  <c r="AB173" i="15"/>
  <c r="AB228" i="15"/>
  <c r="AB211" i="15"/>
  <c r="AB200" i="15"/>
  <c r="AB174" i="15"/>
  <c r="AB246" i="15"/>
  <c r="AB243" i="15"/>
  <c r="AB230" i="15"/>
  <c r="AB219" i="15"/>
  <c r="AB213" i="15"/>
  <c r="AB202" i="15"/>
  <c r="AB195" i="15"/>
  <c r="AB188" i="15"/>
  <c r="AB201" i="15"/>
  <c r="AB247" i="15"/>
  <c r="AB41" i="15"/>
  <c r="Y509" i="13"/>
  <c r="Z183" i="15"/>
  <c r="Z199" i="15"/>
  <c r="Z241" i="15"/>
  <c r="AB163" i="15"/>
  <c r="Z204" i="15"/>
  <c r="Z221" i="15"/>
  <c r="I236" i="15"/>
  <c r="Y169" i="13"/>
  <c r="Z196" i="15"/>
  <c r="AB194" i="15"/>
  <c r="AB198" i="15"/>
  <c r="AB241" i="15"/>
  <c r="AB172" i="15"/>
  <c r="Y241" i="15"/>
  <c r="Z224" i="15"/>
  <c r="Y210" i="15"/>
  <c r="Y204" i="15"/>
  <c r="AB180" i="15"/>
  <c r="AB252" i="15"/>
  <c r="Y173" i="15"/>
  <c r="Y182" i="15"/>
  <c r="Y170" i="15"/>
  <c r="Y219" i="15"/>
  <c r="Y181" i="15"/>
  <c r="Y187" i="15"/>
  <c r="Y245" i="15"/>
  <c r="AB256" i="15"/>
  <c r="AB229" i="15"/>
  <c r="AB212" i="15"/>
  <c r="AB170" i="15"/>
  <c r="AB225" i="15"/>
  <c r="AB208" i="15"/>
  <c r="AB182" i="15"/>
  <c r="AB227" i="15"/>
  <c r="AB210" i="15"/>
  <c r="AB181" i="15"/>
  <c r="AB165" i="15"/>
  <c r="Y190" i="15"/>
  <c r="Y208" i="15"/>
  <c r="Y172" i="15"/>
  <c r="Y211" i="15"/>
  <c r="Y215" i="15"/>
  <c r="Y209" i="15"/>
  <c r="Y228" i="15"/>
  <c r="Y230" i="15"/>
  <c r="Y229" i="15"/>
  <c r="Y223" i="15"/>
  <c r="Y243" i="15"/>
  <c r="Y247" i="15"/>
  <c r="Y244" i="15"/>
  <c r="Z250" i="15"/>
  <c r="AB199" i="15"/>
  <c r="AB183" i="15"/>
  <c r="AB176" i="15"/>
  <c r="AB179" i="15"/>
  <c r="AB169" i="15"/>
  <c r="AB245" i="15"/>
  <c r="AB239" i="15"/>
  <c r="AB218" i="15"/>
  <c r="AB196" i="15"/>
  <c r="AB190" i="15"/>
  <c r="AB171" i="15"/>
  <c r="Y183" i="15"/>
  <c r="Y195" i="15"/>
  <c r="Y198" i="15"/>
  <c r="Y227" i="15"/>
  <c r="AB250" i="15"/>
  <c r="AB224" i="15"/>
  <c r="AB207" i="15"/>
  <c r="AB203" i="15"/>
  <c r="AB185" i="15"/>
  <c r="AB222" i="15"/>
  <c r="AB205" i="15"/>
  <c r="AB167" i="15"/>
  <c r="Z167" i="15"/>
  <c r="Z177" i="15"/>
  <c r="Y222" i="15"/>
  <c r="Z219" i="15"/>
  <c r="Z246" i="15"/>
  <c r="AB29" i="11"/>
  <c r="AB28" i="11" s="1"/>
  <c r="AA235" i="15"/>
  <c r="AA617" i="13"/>
  <c r="AA615" i="13" s="1"/>
  <c r="X84" i="11"/>
  <c r="CA25" i="9"/>
  <c r="CA24" i="9" s="1"/>
  <c r="BS25" i="9"/>
  <c r="BS24" i="9" s="1"/>
  <c r="BP24" i="9"/>
  <c r="AB85" i="11"/>
  <c r="AB89" i="11" s="1"/>
  <c r="S89" i="11"/>
  <c r="AA703" i="13"/>
  <c r="I84" i="11"/>
  <c r="I90" i="11"/>
  <c r="AB86" i="11"/>
  <c r="AB90" i="11" s="1"/>
  <c r="Y256" i="15"/>
  <c r="J251" i="15"/>
  <c r="N251" i="15" s="1"/>
  <c r="Z251" i="15" s="1"/>
  <c r="Y252" i="15"/>
  <c r="Y239" i="15"/>
  <c r="Y221" i="15"/>
  <c r="Y225" i="15"/>
  <c r="Y226" i="15"/>
  <c r="Y224" i="15"/>
  <c r="Y218" i="15"/>
  <c r="Y203" i="15"/>
  <c r="Y202" i="15"/>
  <c r="Y212" i="15"/>
  <c r="Y199" i="15"/>
  <c r="Y206" i="15"/>
  <c r="Y201" i="15"/>
  <c r="Y200" i="15"/>
  <c r="Y207" i="15"/>
  <c r="Y205" i="15"/>
  <c r="Y213" i="15"/>
  <c r="Y192" i="15"/>
  <c r="Y189" i="15"/>
  <c r="Y188" i="15"/>
  <c r="Y185" i="15"/>
  <c r="Y179" i="15"/>
  <c r="Y180" i="15"/>
  <c r="Y176" i="15"/>
  <c r="Y171" i="15"/>
  <c r="Y169" i="15"/>
  <c r="Y174" i="15"/>
  <c r="Y165" i="15"/>
  <c r="Y163" i="15"/>
  <c r="Y162" i="15"/>
  <c r="J159" i="15"/>
  <c r="S84" i="11"/>
  <c r="J86" i="11"/>
  <c r="J84" i="11" s="1"/>
  <c r="N85" i="11"/>
  <c r="N89" i="11" s="1"/>
  <c r="Y371" i="13" l="1"/>
  <c r="Z1002" i="13"/>
  <c r="Y1202" i="13"/>
  <c r="Z1030" i="13"/>
  <c r="Z41" i="15"/>
  <c r="Y335" i="13"/>
  <c r="Y177" i="13"/>
  <c r="Z414" i="13"/>
  <c r="Y75" i="13"/>
  <c r="Z544" i="13"/>
  <c r="K65" i="16"/>
  <c r="L65" i="16" s="1"/>
  <c r="N65" i="16"/>
  <c r="P65" i="16" s="1"/>
  <c r="K134" i="16"/>
  <c r="H109" i="16"/>
  <c r="K109" i="16" s="1"/>
  <c r="K130" i="16"/>
  <c r="I235" i="15"/>
  <c r="Z353" i="13"/>
  <c r="Y113" i="13"/>
  <c r="Y96" i="13"/>
  <c r="Z452" i="13"/>
  <c r="Y913" i="13"/>
  <c r="Y115" i="13"/>
  <c r="Y352" i="13"/>
  <c r="AA16" i="15"/>
  <c r="AA372" i="15" s="1"/>
  <c r="Y1201" i="13"/>
  <c r="Y981" i="13"/>
  <c r="Z1019" i="13"/>
  <c r="Z1020" i="13"/>
  <c r="Y1184" i="13"/>
  <c r="Z1163" i="13"/>
  <c r="Y874" i="13"/>
  <c r="Y895" i="13"/>
  <c r="Y808" i="13"/>
  <c r="Z809" i="13"/>
  <c r="Y790" i="13"/>
  <c r="Y769" i="13"/>
  <c r="N742" i="13"/>
  <c r="Y742" i="13" s="1"/>
  <c r="Y807" i="13"/>
  <c r="Y912" i="13"/>
  <c r="Y40" i="13"/>
  <c r="I147" i="15"/>
  <c r="Z169" i="13"/>
  <c r="Z40" i="13" s="1"/>
  <c r="AB159" i="15"/>
  <c r="N86" i="11"/>
  <c r="N84" i="11" s="1"/>
  <c r="J90" i="11"/>
  <c r="AB84" i="11"/>
  <c r="J236" i="15"/>
  <c r="J235" i="15" s="1"/>
  <c r="Y251" i="15"/>
  <c r="J147" i="15"/>
  <c r="Z159" i="15"/>
  <c r="Y159" i="15"/>
  <c r="N159" i="15"/>
  <c r="Z85" i="11"/>
  <c r="Y85" i="11"/>
  <c r="N64" i="16" l="1"/>
  <c r="P64" i="16" s="1"/>
  <c r="Z742" i="13"/>
  <c r="Y86" i="11"/>
  <c r="Y90" i="11" s="1"/>
  <c r="Z86" i="11"/>
  <c r="Z90" i="11" s="1"/>
  <c r="N90" i="11"/>
  <c r="Y89" i="11"/>
  <c r="Z89" i="11"/>
  <c r="Y84" i="11" l="1"/>
  <c r="Z84" i="11"/>
  <c r="Y396" i="13"/>
  <c r="D8" i="11" l="1"/>
  <c r="D7" i="11"/>
  <c r="G1205" i="13"/>
  <c r="G1130" i="13"/>
  <c r="G1099" i="13"/>
  <c r="G1024" i="13"/>
  <c r="G916" i="13"/>
  <c r="G841" i="13"/>
  <c r="G838" i="13"/>
  <c r="G370" i="15" s="1"/>
  <c r="G836" i="13"/>
  <c r="G368" i="15" s="1"/>
  <c r="G834" i="13"/>
  <c r="G366" i="15" s="1"/>
  <c r="G833" i="13"/>
  <c r="G365" i="15" s="1"/>
  <c r="G831" i="13"/>
  <c r="G363" i="15" s="1"/>
  <c r="G830" i="13"/>
  <c r="G362" i="15" s="1"/>
  <c r="G829" i="13"/>
  <c r="G361" i="15" s="1"/>
  <c r="G827" i="13"/>
  <c r="G359" i="15" s="1"/>
  <c r="G826" i="13"/>
  <c r="G358" i="15" s="1"/>
  <c r="G825" i="13"/>
  <c r="G357" i="15" s="1"/>
  <c r="G824" i="13"/>
  <c r="G356" i="15" s="1"/>
  <c r="G823" i="13"/>
  <c r="G355" i="15" s="1"/>
  <c r="G822" i="13"/>
  <c r="G354" i="15" s="1"/>
  <c r="G821" i="13"/>
  <c r="G353" i="15" s="1"/>
  <c r="G819" i="13"/>
  <c r="G351" i="15" s="1"/>
  <c r="G818" i="13"/>
  <c r="G350" i="15" s="1"/>
  <c r="G817" i="13"/>
  <c r="G349" i="15" s="1"/>
  <c r="G815" i="13"/>
  <c r="G347" i="15" s="1"/>
  <c r="G814" i="13"/>
  <c r="G806" i="13"/>
  <c r="G338" i="15" s="1"/>
  <c r="G805" i="13"/>
  <c r="G337" i="15" s="1"/>
  <c r="G804" i="13"/>
  <c r="G336" i="15" s="1"/>
  <c r="G803" i="13"/>
  <c r="G335" i="15" s="1"/>
  <c r="G802" i="13"/>
  <c r="G334" i="15" s="1"/>
  <c r="G801" i="13"/>
  <c r="G333" i="15" s="1"/>
  <c r="G800" i="13"/>
  <c r="G332" i="15" s="1"/>
  <c r="G799" i="13"/>
  <c r="G331" i="15" s="1"/>
  <c r="G798" i="13"/>
  <c r="G330" i="15" s="1"/>
  <c r="G797" i="13"/>
  <c r="G329" i="15" s="1"/>
  <c r="G795" i="13"/>
  <c r="G327" i="15" s="1"/>
  <c r="G794" i="13"/>
  <c r="G326" i="15" s="1"/>
  <c r="G793" i="13"/>
  <c r="G325" i="15" s="1"/>
  <c r="G791" i="13"/>
  <c r="G323" i="15" s="1"/>
  <c r="G789" i="13"/>
  <c r="G321" i="15" s="1"/>
  <c r="G788" i="13"/>
  <c r="G320" i="15" s="1"/>
  <c r="G787" i="13"/>
  <c r="G319" i="15" s="1"/>
  <c r="G786" i="13"/>
  <c r="G318" i="15" s="1"/>
  <c r="G785" i="13"/>
  <c r="G317" i="15" s="1"/>
  <c r="G784" i="13"/>
  <c r="G316" i="15" s="1"/>
  <c r="G783" i="13"/>
  <c r="G315" i="15" s="1"/>
  <c r="G782" i="13"/>
  <c r="G314" i="15" s="1"/>
  <c r="G781" i="13"/>
  <c r="G313" i="15" s="1"/>
  <c r="G780" i="13"/>
  <c r="G312" i="15" s="1"/>
  <c r="G779" i="13"/>
  <c r="G311" i="15" s="1"/>
  <c r="G778" i="13"/>
  <c r="G310" i="15" s="1"/>
  <c r="G777" i="13"/>
  <c r="G309" i="15" s="1"/>
  <c r="G776" i="13"/>
  <c r="G308" i="15" s="1"/>
  <c r="G775" i="13"/>
  <c r="G307" i="15" s="1"/>
  <c r="G774" i="13"/>
  <c r="G306" i="15" s="1"/>
  <c r="G772" i="13"/>
  <c r="G304" i="15" s="1"/>
  <c r="G771" i="13"/>
  <c r="G303" i="15" s="1"/>
  <c r="G770" i="13"/>
  <c r="G302" i="15" s="1"/>
  <c r="G768" i="13"/>
  <c r="G300" i="15" s="1"/>
  <c r="G766" i="13"/>
  <c r="G298" i="15" s="1"/>
  <c r="G765" i="13"/>
  <c r="G297" i="15" s="1"/>
  <c r="G764" i="13"/>
  <c r="G296" i="15" s="1"/>
  <c r="G763" i="13"/>
  <c r="G295" i="15" s="1"/>
  <c r="G761" i="13"/>
  <c r="G293" i="15" s="1"/>
  <c r="G759" i="13"/>
  <c r="G291" i="15" s="1"/>
  <c r="G758" i="13"/>
  <c r="G290" i="15" s="1"/>
  <c r="G757" i="13"/>
  <c r="G289" i="15" s="1"/>
  <c r="G756" i="13"/>
  <c r="G288" i="15" s="1"/>
  <c r="G755" i="13"/>
  <c r="G287" i="15" s="1"/>
  <c r="G753" i="13"/>
  <c r="G285" i="15" s="1"/>
  <c r="G752" i="13"/>
  <c r="G284" i="15" s="1"/>
  <c r="G750" i="13"/>
  <c r="G282" i="15" s="1"/>
  <c r="G749" i="13"/>
  <c r="G281" i="15" s="1"/>
  <c r="G748" i="13"/>
  <c r="G280" i="15" s="1"/>
  <c r="G747" i="13"/>
  <c r="G279" i="15" s="1"/>
  <c r="G746" i="13"/>
  <c r="G278" i="15" s="1"/>
  <c r="G745" i="13"/>
  <c r="G277" i="15" s="1"/>
  <c r="G743" i="13"/>
  <c r="G275" i="15" s="1"/>
  <c r="G741" i="13"/>
  <c r="G273" i="15" s="1"/>
  <c r="G739" i="13"/>
  <c r="G271" i="15" s="1"/>
  <c r="G738" i="13"/>
  <c r="G729" i="13"/>
  <c r="G704" i="13"/>
  <c r="G627" i="13"/>
  <c r="G617" i="13"/>
  <c r="G586" i="13"/>
  <c r="G511" i="13"/>
  <c r="G456" i="13"/>
  <c r="G381" i="13"/>
  <c r="G281" i="13"/>
  <c r="G277" i="13" s="1"/>
  <c r="G246" i="13"/>
  <c r="G171" i="13"/>
  <c r="G144" i="13"/>
  <c r="G145" i="15" s="1"/>
  <c r="G142" i="13"/>
  <c r="G143" i="15" s="1"/>
  <c r="G140" i="13"/>
  <c r="G141" i="15" s="1"/>
  <c r="G139" i="13"/>
  <c r="G140" i="15" s="1"/>
  <c r="G137" i="13"/>
  <c r="G138" i="15" s="1"/>
  <c r="G136" i="13"/>
  <c r="G137" i="15" s="1"/>
  <c r="G135" i="13"/>
  <c r="G136" i="15" s="1"/>
  <c r="G133" i="13"/>
  <c r="G134" i="15" s="1"/>
  <c r="G132" i="13"/>
  <c r="G133" i="15" s="1"/>
  <c r="G131" i="13"/>
  <c r="G132" i="15" s="1"/>
  <c r="G130" i="13"/>
  <c r="G131" i="15" s="1"/>
  <c r="G129" i="13"/>
  <c r="G130" i="15" s="1"/>
  <c r="G128" i="13"/>
  <c r="G129" i="15" s="1"/>
  <c r="G127" i="13"/>
  <c r="G128" i="15" s="1"/>
  <c r="G125" i="13"/>
  <c r="G126" i="15" s="1"/>
  <c r="G124" i="13"/>
  <c r="G125" i="15" s="1"/>
  <c r="G123" i="13"/>
  <c r="G124" i="15" s="1"/>
  <c r="G121" i="13"/>
  <c r="G122" i="15" s="1"/>
  <c r="G120" i="13"/>
  <c r="G112" i="13"/>
  <c r="G113" i="15" s="1"/>
  <c r="G111" i="13"/>
  <c r="G112" i="15" s="1"/>
  <c r="G110" i="13"/>
  <c r="G111" i="15" s="1"/>
  <c r="G109" i="13"/>
  <c r="G110" i="15" s="1"/>
  <c r="G108" i="13"/>
  <c r="G109" i="15" s="1"/>
  <c r="G107" i="13"/>
  <c r="G108" i="15" s="1"/>
  <c r="G106" i="13"/>
  <c r="G107" i="15" s="1"/>
  <c r="G105" i="13"/>
  <c r="G106" i="15" s="1"/>
  <c r="G104" i="13"/>
  <c r="G105" i="15" s="1"/>
  <c r="G103" i="13"/>
  <c r="G104" i="15" s="1"/>
  <c r="G101" i="13"/>
  <c r="G102" i="15" s="1"/>
  <c r="G100" i="13"/>
  <c r="G101" i="15" s="1"/>
  <c r="G99" i="13"/>
  <c r="G100" i="15" s="1"/>
  <c r="G97" i="13"/>
  <c r="G98" i="15" s="1"/>
  <c r="G95" i="13"/>
  <c r="G96" i="15" s="1"/>
  <c r="G94" i="13"/>
  <c r="G95" i="15" s="1"/>
  <c r="G93" i="13"/>
  <c r="G94" i="15" s="1"/>
  <c r="G92" i="13"/>
  <c r="G93" i="15" s="1"/>
  <c r="G91" i="13"/>
  <c r="G92" i="15" s="1"/>
  <c r="G90" i="13"/>
  <c r="G91" i="15" s="1"/>
  <c r="G89" i="13"/>
  <c r="G90" i="15" s="1"/>
  <c r="G88" i="13"/>
  <c r="G89" i="15" s="1"/>
  <c r="G87" i="13"/>
  <c r="G88" i="15" s="1"/>
  <c r="G86" i="13"/>
  <c r="G87" i="15" s="1"/>
  <c r="G85" i="13"/>
  <c r="G86" i="15" s="1"/>
  <c r="G84" i="13"/>
  <c r="G85" i="15" s="1"/>
  <c r="G83" i="13"/>
  <c r="G84" i="15" s="1"/>
  <c r="G82" i="13"/>
  <c r="G83" i="15" s="1"/>
  <c r="G81" i="13"/>
  <c r="G82" i="15" s="1"/>
  <c r="G80" i="13"/>
  <c r="G81" i="15" s="1"/>
  <c r="G78" i="13"/>
  <c r="G79" i="15" s="1"/>
  <c r="G77" i="13"/>
  <c r="G78" i="15" s="1"/>
  <c r="G76" i="13"/>
  <c r="G77" i="15" s="1"/>
  <c r="G74" i="13"/>
  <c r="G75" i="15" s="1"/>
  <c r="G72" i="13"/>
  <c r="G73" i="15" s="1"/>
  <c r="G71" i="13"/>
  <c r="G72" i="15" s="1"/>
  <c r="G70" i="13"/>
  <c r="G71" i="15" s="1"/>
  <c r="G69" i="13"/>
  <c r="G70" i="15" s="1"/>
  <c r="G67" i="13"/>
  <c r="G68" i="15" s="1"/>
  <c r="G65" i="13"/>
  <c r="G66" i="15" s="1"/>
  <c r="G64" i="13"/>
  <c r="G65" i="15" s="1"/>
  <c r="G63" i="13"/>
  <c r="G64" i="15" s="1"/>
  <c r="G62" i="13"/>
  <c r="G63" i="15" s="1"/>
  <c r="G61" i="13"/>
  <c r="G62" i="15" s="1"/>
  <c r="G59" i="13"/>
  <c r="G60" i="15" s="1"/>
  <c r="G58" i="13"/>
  <c r="G59" i="15" s="1"/>
  <c r="G56" i="13"/>
  <c r="G57" i="15" s="1"/>
  <c r="G55" i="13"/>
  <c r="G56" i="15" s="1"/>
  <c r="G54" i="13"/>
  <c r="G55" i="15" s="1"/>
  <c r="G53" i="13"/>
  <c r="G54" i="15" s="1"/>
  <c r="G52" i="13"/>
  <c r="G53" i="15" s="1"/>
  <c r="G51" i="13"/>
  <c r="G52" i="15" s="1"/>
  <c r="G49" i="13"/>
  <c r="G50" i="15" s="1"/>
  <c r="G47" i="13"/>
  <c r="G48" i="15" s="1"/>
  <c r="G45" i="13"/>
  <c r="G46" i="15" s="1"/>
  <c r="G44" i="13"/>
  <c r="G39" i="13"/>
  <c r="G37" i="13"/>
  <c r="G38" i="15" s="1"/>
  <c r="G36" i="13"/>
  <c r="G37" i="15" s="1"/>
  <c r="G35" i="13"/>
  <c r="G36" i="15" s="1"/>
  <c r="G31" i="13"/>
  <c r="G32" i="15" s="1"/>
  <c r="G30" i="13"/>
  <c r="G31" i="15" s="1"/>
  <c r="G29" i="13"/>
  <c r="G30" i="15" s="1"/>
  <c r="G28" i="13"/>
  <c r="G29" i="15" s="1"/>
  <c r="G25" i="13"/>
  <c r="G26" i="15" s="1"/>
  <c r="G24" i="13"/>
  <c r="G25" i="15" s="1"/>
  <c r="G23" i="13"/>
  <c r="G24" i="15" s="1"/>
  <c r="G22" i="13"/>
  <c r="G23" i="15" s="1"/>
  <c r="G20" i="13"/>
  <c r="G21" i="15" s="1"/>
  <c r="G143" i="11"/>
  <c r="I143" i="11" s="1"/>
  <c r="G118" i="11"/>
  <c r="C33" i="1"/>
  <c r="G64" i="11"/>
  <c r="I64" i="11" s="1"/>
  <c r="G57" i="11"/>
  <c r="I34" i="9"/>
  <c r="I33" i="9" s="1"/>
  <c r="H34" i="9"/>
  <c r="G34" i="9"/>
  <c r="I26" i="9"/>
  <c r="H26" i="9"/>
  <c r="G26" i="9"/>
  <c r="I22" i="9"/>
  <c r="G27" i="11" s="1"/>
  <c r="I27" i="11" s="1"/>
  <c r="H22" i="9"/>
  <c r="G26" i="11" s="1"/>
  <c r="I26" i="11" s="1"/>
  <c r="G22" i="9"/>
  <c r="G25" i="11" s="1"/>
  <c r="I25" i="11" s="1"/>
  <c r="J25" i="11" s="1"/>
  <c r="X1232" i="13"/>
  <c r="S1232" i="13"/>
  <c r="I1232" i="13"/>
  <c r="X1230" i="13"/>
  <c r="S1230" i="13"/>
  <c r="I1230" i="13"/>
  <c r="X1228" i="13"/>
  <c r="S1228" i="13"/>
  <c r="I1228" i="13"/>
  <c r="X1227" i="13"/>
  <c r="S1227" i="13"/>
  <c r="I1227" i="13"/>
  <c r="X1225" i="13"/>
  <c r="S1225" i="13"/>
  <c r="I1225" i="13"/>
  <c r="X1224" i="13"/>
  <c r="S1224" i="13"/>
  <c r="I1224" i="13"/>
  <c r="X1223" i="13"/>
  <c r="S1223" i="13"/>
  <c r="I1223" i="13"/>
  <c r="X1221" i="13"/>
  <c r="S1221" i="13"/>
  <c r="I1221" i="13"/>
  <c r="X1220" i="13"/>
  <c r="S1220" i="13"/>
  <c r="I1220" i="13"/>
  <c r="X1219" i="13"/>
  <c r="S1219" i="13"/>
  <c r="I1219" i="13"/>
  <c r="X1218" i="13"/>
  <c r="S1218" i="13"/>
  <c r="I1218" i="13"/>
  <c r="X1217" i="13"/>
  <c r="S1217" i="13"/>
  <c r="I1217" i="13"/>
  <c r="X1216" i="13"/>
  <c r="S1216" i="13"/>
  <c r="I1216" i="13"/>
  <c r="X1215" i="13"/>
  <c r="S1215" i="13"/>
  <c r="I1215" i="13"/>
  <c r="X1213" i="13"/>
  <c r="S1213" i="13"/>
  <c r="I1213" i="13"/>
  <c r="X1212" i="13"/>
  <c r="S1212" i="13"/>
  <c r="I1212" i="13"/>
  <c r="X1211" i="13"/>
  <c r="S1211" i="13"/>
  <c r="I1211" i="13"/>
  <c r="X1209" i="13"/>
  <c r="S1209" i="13"/>
  <c r="I1209" i="13"/>
  <c r="X1208" i="13"/>
  <c r="S1208" i="13"/>
  <c r="I1208" i="13"/>
  <c r="W1205" i="13"/>
  <c r="V1205" i="13"/>
  <c r="U1205" i="13"/>
  <c r="T1205" i="13"/>
  <c r="R1205" i="13"/>
  <c r="Q1205" i="13"/>
  <c r="P1205" i="13"/>
  <c r="O1205" i="13"/>
  <c r="M1205" i="13"/>
  <c r="L1205" i="13"/>
  <c r="K1205" i="13"/>
  <c r="H1205" i="13"/>
  <c r="X1203" i="13"/>
  <c r="S1203" i="13"/>
  <c r="I1203" i="13"/>
  <c r="J1203" i="13" s="1"/>
  <c r="N1203" i="13" s="1"/>
  <c r="X1200" i="13"/>
  <c r="S1200" i="13"/>
  <c r="I1200" i="13"/>
  <c r="J1200" i="13" s="1"/>
  <c r="N1200" i="13" s="1"/>
  <c r="X1199" i="13"/>
  <c r="S1199" i="13"/>
  <c r="I1199" i="13"/>
  <c r="J1199" i="13" s="1"/>
  <c r="N1199" i="13" s="1"/>
  <c r="X1198" i="13"/>
  <c r="S1198" i="13"/>
  <c r="I1198" i="13"/>
  <c r="J1198" i="13" s="1"/>
  <c r="N1198" i="13" s="1"/>
  <c r="X1197" i="13"/>
  <c r="S1197" i="13"/>
  <c r="I1197" i="13"/>
  <c r="J1197" i="13" s="1"/>
  <c r="N1197" i="13" s="1"/>
  <c r="X1196" i="13"/>
  <c r="S1196" i="13"/>
  <c r="I1196" i="13"/>
  <c r="J1196" i="13" s="1"/>
  <c r="N1196" i="13" s="1"/>
  <c r="X1195" i="13"/>
  <c r="S1195" i="13"/>
  <c r="I1195" i="13"/>
  <c r="J1195" i="13" s="1"/>
  <c r="N1195" i="13" s="1"/>
  <c r="X1194" i="13"/>
  <c r="S1194" i="13"/>
  <c r="I1194" i="13"/>
  <c r="J1194" i="13" s="1"/>
  <c r="N1194" i="13" s="1"/>
  <c r="X1193" i="13"/>
  <c r="S1193" i="13"/>
  <c r="I1193" i="13"/>
  <c r="J1193" i="13" s="1"/>
  <c r="N1193" i="13" s="1"/>
  <c r="X1192" i="13"/>
  <c r="S1192" i="13"/>
  <c r="I1192" i="13"/>
  <c r="J1192" i="13" s="1"/>
  <c r="N1192" i="13" s="1"/>
  <c r="X1191" i="13"/>
  <c r="S1191" i="13"/>
  <c r="I1191" i="13"/>
  <c r="J1191" i="13" s="1"/>
  <c r="N1191" i="13" s="1"/>
  <c r="X1189" i="13"/>
  <c r="S1189" i="13"/>
  <c r="I1189" i="13"/>
  <c r="J1189" i="13" s="1"/>
  <c r="N1189" i="13" s="1"/>
  <c r="X1188" i="13"/>
  <c r="S1188" i="13"/>
  <c r="I1188" i="13"/>
  <c r="J1188" i="13" s="1"/>
  <c r="N1188" i="13" s="1"/>
  <c r="X1187" i="13"/>
  <c r="S1187" i="13"/>
  <c r="I1187" i="13"/>
  <c r="J1187" i="13" s="1"/>
  <c r="N1187" i="13" s="1"/>
  <c r="X1185" i="13"/>
  <c r="S1185" i="13"/>
  <c r="I1185" i="13"/>
  <c r="J1185" i="13" s="1"/>
  <c r="N1185" i="13" s="1"/>
  <c r="X1183" i="13"/>
  <c r="S1183" i="13"/>
  <c r="I1183" i="13"/>
  <c r="J1183" i="13" s="1"/>
  <c r="N1183" i="13" s="1"/>
  <c r="X1182" i="13"/>
  <c r="S1182" i="13"/>
  <c r="I1182" i="13"/>
  <c r="J1182" i="13" s="1"/>
  <c r="N1182" i="13" s="1"/>
  <c r="X1181" i="13"/>
  <c r="S1181" i="13"/>
  <c r="I1181" i="13"/>
  <c r="J1181" i="13" s="1"/>
  <c r="N1181" i="13" s="1"/>
  <c r="X1180" i="13"/>
  <c r="S1180" i="13"/>
  <c r="I1180" i="13"/>
  <c r="J1180" i="13" s="1"/>
  <c r="N1180" i="13" s="1"/>
  <c r="X1179" i="13"/>
  <c r="S1179" i="13"/>
  <c r="I1179" i="13"/>
  <c r="J1179" i="13" s="1"/>
  <c r="N1179" i="13" s="1"/>
  <c r="X1178" i="13"/>
  <c r="S1178" i="13"/>
  <c r="I1178" i="13"/>
  <c r="J1178" i="13" s="1"/>
  <c r="N1178" i="13" s="1"/>
  <c r="X1177" i="13"/>
  <c r="S1177" i="13"/>
  <c r="I1177" i="13"/>
  <c r="J1177" i="13" s="1"/>
  <c r="N1177" i="13" s="1"/>
  <c r="X1176" i="13"/>
  <c r="S1176" i="13"/>
  <c r="I1176" i="13"/>
  <c r="J1176" i="13" s="1"/>
  <c r="N1176" i="13" s="1"/>
  <c r="X1175" i="13"/>
  <c r="S1175" i="13"/>
  <c r="I1175" i="13"/>
  <c r="J1175" i="13" s="1"/>
  <c r="N1175" i="13" s="1"/>
  <c r="X1174" i="13"/>
  <c r="S1174" i="13"/>
  <c r="I1174" i="13"/>
  <c r="J1174" i="13" s="1"/>
  <c r="N1174" i="13" s="1"/>
  <c r="X1173" i="13"/>
  <c r="S1173" i="13"/>
  <c r="I1173" i="13"/>
  <c r="J1173" i="13" s="1"/>
  <c r="N1173" i="13" s="1"/>
  <c r="X1172" i="13"/>
  <c r="S1172" i="13"/>
  <c r="I1172" i="13"/>
  <c r="J1172" i="13" s="1"/>
  <c r="N1172" i="13" s="1"/>
  <c r="X1171" i="13"/>
  <c r="S1171" i="13"/>
  <c r="I1171" i="13"/>
  <c r="J1171" i="13" s="1"/>
  <c r="N1171" i="13" s="1"/>
  <c r="X1170" i="13"/>
  <c r="S1170" i="13"/>
  <c r="I1170" i="13"/>
  <c r="J1170" i="13" s="1"/>
  <c r="N1170" i="13" s="1"/>
  <c r="X1169" i="13"/>
  <c r="S1169" i="13"/>
  <c r="I1169" i="13"/>
  <c r="J1169" i="13" s="1"/>
  <c r="N1169" i="13" s="1"/>
  <c r="X1168" i="13"/>
  <c r="S1168" i="13"/>
  <c r="I1168" i="13"/>
  <c r="J1168" i="13" s="1"/>
  <c r="N1168" i="13" s="1"/>
  <c r="X1166" i="13"/>
  <c r="S1166" i="13"/>
  <c r="I1166" i="13"/>
  <c r="J1166" i="13" s="1"/>
  <c r="N1166" i="13" s="1"/>
  <c r="X1165" i="13"/>
  <c r="S1165" i="13"/>
  <c r="I1165" i="13"/>
  <c r="J1165" i="13" s="1"/>
  <c r="N1165" i="13" s="1"/>
  <c r="X1164" i="13"/>
  <c r="S1164" i="13"/>
  <c r="I1164" i="13"/>
  <c r="J1164" i="13" s="1"/>
  <c r="N1164" i="13" s="1"/>
  <c r="X1162" i="13"/>
  <c r="S1162" i="13"/>
  <c r="I1162" i="13"/>
  <c r="J1162" i="13" s="1"/>
  <c r="N1162" i="13" s="1"/>
  <c r="X1160" i="13"/>
  <c r="S1160" i="13"/>
  <c r="I1160" i="13"/>
  <c r="J1160" i="13" s="1"/>
  <c r="N1160" i="13" s="1"/>
  <c r="X1159" i="13"/>
  <c r="S1159" i="13"/>
  <c r="I1159" i="13"/>
  <c r="J1159" i="13" s="1"/>
  <c r="N1159" i="13" s="1"/>
  <c r="X1158" i="13"/>
  <c r="S1158" i="13"/>
  <c r="I1158" i="13"/>
  <c r="J1158" i="13" s="1"/>
  <c r="N1158" i="13" s="1"/>
  <c r="X1157" i="13"/>
  <c r="S1157" i="13"/>
  <c r="I1157" i="13"/>
  <c r="J1157" i="13" s="1"/>
  <c r="N1157" i="13" s="1"/>
  <c r="X1155" i="13"/>
  <c r="S1155" i="13"/>
  <c r="I1155" i="13"/>
  <c r="J1155" i="13" s="1"/>
  <c r="N1155" i="13" s="1"/>
  <c r="X1153" i="13"/>
  <c r="S1153" i="13"/>
  <c r="I1153" i="13"/>
  <c r="J1153" i="13" s="1"/>
  <c r="N1153" i="13" s="1"/>
  <c r="X1152" i="13"/>
  <c r="S1152" i="13"/>
  <c r="I1152" i="13"/>
  <c r="J1152" i="13" s="1"/>
  <c r="N1152" i="13" s="1"/>
  <c r="X1151" i="13"/>
  <c r="S1151" i="13"/>
  <c r="I1151" i="13"/>
  <c r="J1151" i="13" s="1"/>
  <c r="N1151" i="13" s="1"/>
  <c r="X1150" i="13"/>
  <c r="S1150" i="13"/>
  <c r="I1150" i="13"/>
  <c r="J1150" i="13" s="1"/>
  <c r="N1150" i="13" s="1"/>
  <c r="X1149" i="13"/>
  <c r="S1149" i="13"/>
  <c r="I1149" i="13"/>
  <c r="J1149" i="13" s="1"/>
  <c r="N1149" i="13" s="1"/>
  <c r="X1147" i="13"/>
  <c r="S1147" i="13"/>
  <c r="I1147" i="13"/>
  <c r="J1147" i="13" s="1"/>
  <c r="N1147" i="13" s="1"/>
  <c r="X1146" i="13"/>
  <c r="S1146" i="13"/>
  <c r="I1146" i="13"/>
  <c r="J1146" i="13" s="1"/>
  <c r="N1146" i="13" s="1"/>
  <c r="X1144" i="13"/>
  <c r="S1144" i="13"/>
  <c r="I1144" i="13"/>
  <c r="J1144" i="13" s="1"/>
  <c r="N1144" i="13" s="1"/>
  <c r="X1143" i="13"/>
  <c r="S1143" i="13"/>
  <c r="I1143" i="13"/>
  <c r="J1143" i="13" s="1"/>
  <c r="N1143" i="13" s="1"/>
  <c r="X1142" i="13"/>
  <c r="S1142" i="13"/>
  <c r="I1142" i="13"/>
  <c r="J1142" i="13" s="1"/>
  <c r="N1142" i="13" s="1"/>
  <c r="X1141" i="13"/>
  <c r="S1141" i="13"/>
  <c r="I1141" i="13"/>
  <c r="J1141" i="13" s="1"/>
  <c r="N1141" i="13" s="1"/>
  <c r="X1140" i="13"/>
  <c r="S1140" i="13"/>
  <c r="I1140" i="13"/>
  <c r="J1140" i="13" s="1"/>
  <c r="N1140" i="13" s="1"/>
  <c r="X1139" i="13"/>
  <c r="S1139" i="13"/>
  <c r="I1139" i="13"/>
  <c r="J1139" i="13" s="1"/>
  <c r="N1139" i="13" s="1"/>
  <c r="X1137" i="13"/>
  <c r="S1137" i="13"/>
  <c r="I1137" i="13"/>
  <c r="J1137" i="13" s="1"/>
  <c r="N1137" i="13" s="1"/>
  <c r="X1135" i="13"/>
  <c r="S1135" i="13"/>
  <c r="I1135" i="13"/>
  <c r="J1135" i="13" s="1"/>
  <c r="N1135" i="13" s="1"/>
  <c r="X1133" i="13"/>
  <c r="S1133" i="13"/>
  <c r="I1133" i="13"/>
  <c r="J1133" i="13" s="1"/>
  <c r="N1133" i="13" s="1"/>
  <c r="X1132" i="13"/>
  <c r="S1132" i="13"/>
  <c r="I1132" i="13"/>
  <c r="J1132" i="13" s="1"/>
  <c r="N1132" i="13" s="1"/>
  <c r="X1126" i="13"/>
  <c r="S1126" i="13"/>
  <c r="I1126" i="13"/>
  <c r="J1126" i="13" s="1"/>
  <c r="N1126" i="13" s="1"/>
  <c r="X1124" i="13"/>
  <c r="S1124" i="13"/>
  <c r="I1124" i="13"/>
  <c r="J1124" i="13" s="1"/>
  <c r="N1124" i="13" s="1"/>
  <c r="X1122" i="13"/>
  <c r="S1122" i="13"/>
  <c r="I1122" i="13"/>
  <c r="J1122" i="13" s="1"/>
  <c r="N1122" i="13" s="1"/>
  <c r="X1121" i="13"/>
  <c r="S1121" i="13"/>
  <c r="I1121" i="13"/>
  <c r="J1121" i="13" s="1"/>
  <c r="N1121" i="13" s="1"/>
  <c r="X1119" i="13"/>
  <c r="S1119" i="13"/>
  <c r="I1119" i="13"/>
  <c r="J1119" i="13" s="1"/>
  <c r="N1119" i="13" s="1"/>
  <c r="X1118" i="13"/>
  <c r="S1118" i="13"/>
  <c r="I1118" i="13"/>
  <c r="J1118" i="13" s="1"/>
  <c r="N1118" i="13" s="1"/>
  <c r="X1117" i="13"/>
  <c r="S1117" i="13"/>
  <c r="I1117" i="13"/>
  <c r="J1117" i="13" s="1"/>
  <c r="N1117" i="13" s="1"/>
  <c r="X1115" i="13"/>
  <c r="S1115" i="13"/>
  <c r="I1115" i="13"/>
  <c r="J1115" i="13" s="1"/>
  <c r="N1115" i="13" s="1"/>
  <c r="X1114" i="13"/>
  <c r="S1114" i="13"/>
  <c r="I1114" i="13"/>
  <c r="J1114" i="13" s="1"/>
  <c r="N1114" i="13" s="1"/>
  <c r="X1113" i="13"/>
  <c r="S1113" i="13"/>
  <c r="I1113" i="13"/>
  <c r="J1113" i="13" s="1"/>
  <c r="N1113" i="13" s="1"/>
  <c r="X1112" i="13"/>
  <c r="S1112" i="13"/>
  <c r="I1112" i="13"/>
  <c r="J1112" i="13" s="1"/>
  <c r="N1112" i="13" s="1"/>
  <c r="X1111" i="13"/>
  <c r="S1111" i="13"/>
  <c r="I1111" i="13"/>
  <c r="J1111" i="13" s="1"/>
  <c r="N1111" i="13" s="1"/>
  <c r="X1110" i="13"/>
  <c r="S1110" i="13"/>
  <c r="I1110" i="13"/>
  <c r="J1110" i="13" s="1"/>
  <c r="N1110" i="13" s="1"/>
  <c r="X1109" i="13"/>
  <c r="S1109" i="13"/>
  <c r="I1109" i="13"/>
  <c r="J1109" i="13" s="1"/>
  <c r="N1109" i="13" s="1"/>
  <c r="X1107" i="13"/>
  <c r="S1107" i="13"/>
  <c r="I1107" i="13"/>
  <c r="J1107" i="13" s="1"/>
  <c r="N1107" i="13" s="1"/>
  <c r="X1106" i="13"/>
  <c r="S1106" i="13"/>
  <c r="I1106" i="13"/>
  <c r="J1106" i="13" s="1"/>
  <c r="N1106" i="13" s="1"/>
  <c r="X1105" i="13"/>
  <c r="S1105" i="13"/>
  <c r="I1105" i="13"/>
  <c r="J1105" i="13" s="1"/>
  <c r="N1105" i="13" s="1"/>
  <c r="X1103" i="13"/>
  <c r="S1103" i="13"/>
  <c r="I1103" i="13"/>
  <c r="J1103" i="13" s="1"/>
  <c r="N1103" i="13" s="1"/>
  <c r="X1102" i="13"/>
  <c r="S1102" i="13"/>
  <c r="I1102" i="13"/>
  <c r="J1102" i="13" s="1"/>
  <c r="N1102" i="13" s="1"/>
  <c r="W1099" i="13"/>
  <c r="V1099" i="13"/>
  <c r="U1099" i="13"/>
  <c r="T1099" i="13"/>
  <c r="R1099" i="13"/>
  <c r="Q1099" i="13"/>
  <c r="P1099" i="13"/>
  <c r="O1099" i="13"/>
  <c r="M1099" i="13"/>
  <c r="L1099" i="13"/>
  <c r="K1099" i="13"/>
  <c r="H1099" i="13"/>
  <c r="X1097" i="13"/>
  <c r="S1097" i="13"/>
  <c r="I1097" i="13"/>
  <c r="X1094" i="13"/>
  <c r="S1094" i="13"/>
  <c r="I1094" i="13"/>
  <c r="X1093" i="13"/>
  <c r="S1093" i="13"/>
  <c r="I1093" i="13"/>
  <c r="X1092" i="13"/>
  <c r="S1092" i="13"/>
  <c r="I1092" i="13"/>
  <c r="X1091" i="13"/>
  <c r="S1091" i="13"/>
  <c r="I1091" i="13"/>
  <c r="X1090" i="13"/>
  <c r="S1090" i="13"/>
  <c r="I1090" i="13"/>
  <c r="X1089" i="13"/>
  <c r="S1089" i="13"/>
  <c r="I1089" i="13"/>
  <c r="X1088" i="13"/>
  <c r="S1088" i="13"/>
  <c r="I1088" i="13"/>
  <c r="X1087" i="13"/>
  <c r="S1087" i="13"/>
  <c r="I1087" i="13"/>
  <c r="X1086" i="13"/>
  <c r="S1086" i="13"/>
  <c r="I1086" i="13"/>
  <c r="X1085" i="13"/>
  <c r="S1085" i="13"/>
  <c r="I1085" i="13"/>
  <c r="X1083" i="13"/>
  <c r="S1083" i="13"/>
  <c r="I1083" i="13"/>
  <c r="X1082" i="13"/>
  <c r="S1082" i="13"/>
  <c r="I1082" i="13"/>
  <c r="X1081" i="13"/>
  <c r="S1081" i="13"/>
  <c r="I1081" i="13"/>
  <c r="X1079" i="13"/>
  <c r="S1079" i="13"/>
  <c r="I1079" i="13"/>
  <c r="X1077" i="13"/>
  <c r="S1077" i="13"/>
  <c r="I1077" i="13"/>
  <c r="X1076" i="13"/>
  <c r="S1076" i="13"/>
  <c r="I1076" i="13"/>
  <c r="X1075" i="13"/>
  <c r="S1075" i="13"/>
  <c r="I1075" i="13"/>
  <c r="X1074" i="13"/>
  <c r="S1074" i="13"/>
  <c r="I1074" i="13"/>
  <c r="X1073" i="13"/>
  <c r="S1073" i="13"/>
  <c r="I1073" i="13"/>
  <c r="X1072" i="13"/>
  <c r="S1072" i="13"/>
  <c r="I1072" i="13"/>
  <c r="X1071" i="13"/>
  <c r="S1071" i="13"/>
  <c r="I1071" i="13"/>
  <c r="X1070" i="13"/>
  <c r="S1070" i="13"/>
  <c r="I1070" i="13"/>
  <c r="X1069" i="13"/>
  <c r="S1069" i="13"/>
  <c r="I1069" i="13"/>
  <c r="X1068" i="13"/>
  <c r="S1068" i="13"/>
  <c r="I1068" i="13"/>
  <c r="X1067" i="13"/>
  <c r="S1067" i="13"/>
  <c r="I1067" i="13"/>
  <c r="X1066" i="13"/>
  <c r="S1066" i="13"/>
  <c r="I1066" i="13"/>
  <c r="X1065" i="13"/>
  <c r="S1065" i="13"/>
  <c r="I1065" i="13"/>
  <c r="X1064" i="13"/>
  <c r="S1064" i="13"/>
  <c r="I1064" i="13"/>
  <c r="X1063" i="13"/>
  <c r="S1063" i="13"/>
  <c r="I1063" i="13"/>
  <c r="X1062" i="13"/>
  <c r="S1062" i="13"/>
  <c r="I1062" i="13"/>
  <c r="X1060" i="13"/>
  <c r="S1060" i="13"/>
  <c r="I1060" i="13"/>
  <c r="X1059" i="13"/>
  <c r="S1059" i="13"/>
  <c r="I1059" i="13"/>
  <c r="X1058" i="13"/>
  <c r="S1058" i="13"/>
  <c r="I1058" i="13"/>
  <c r="X1056" i="13"/>
  <c r="S1056" i="13"/>
  <c r="I1056" i="13"/>
  <c r="X1054" i="13"/>
  <c r="S1054" i="13"/>
  <c r="I1054" i="13"/>
  <c r="X1053" i="13"/>
  <c r="S1053" i="13"/>
  <c r="I1053" i="13"/>
  <c r="X1052" i="13"/>
  <c r="S1052" i="13"/>
  <c r="I1052" i="13"/>
  <c r="X1051" i="13"/>
  <c r="S1051" i="13"/>
  <c r="I1051" i="13"/>
  <c r="X1049" i="13"/>
  <c r="S1049" i="13"/>
  <c r="I1049" i="13"/>
  <c r="X1047" i="13"/>
  <c r="S1047" i="13"/>
  <c r="I1047" i="13"/>
  <c r="X1046" i="13"/>
  <c r="S1046" i="13"/>
  <c r="I1046" i="13"/>
  <c r="X1045" i="13"/>
  <c r="S1045" i="13"/>
  <c r="I1045" i="13"/>
  <c r="X1044" i="13"/>
  <c r="S1044" i="13"/>
  <c r="I1044" i="13"/>
  <c r="X1043" i="13"/>
  <c r="S1043" i="13"/>
  <c r="I1043" i="13"/>
  <c r="X1041" i="13"/>
  <c r="S1041" i="13"/>
  <c r="I1041" i="13"/>
  <c r="X1040" i="13"/>
  <c r="S1040" i="13"/>
  <c r="I1040" i="13"/>
  <c r="X1038" i="13"/>
  <c r="S1038" i="13"/>
  <c r="I1038" i="13"/>
  <c r="X1037" i="13"/>
  <c r="S1037" i="13"/>
  <c r="I1037" i="13"/>
  <c r="X1036" i="13"/>
  <c r="S1036" i="13"/>
  <c r="I1036" i="13"/>
  <c r="X1035" i="13"/>
  <c r="S1035" i="13"/>
  <c r="I1035" i="13"/>
  <c r="X1034" i="13"/>
  <c r="S1034" i="13"/>
  <c r="I1034" i="13"/>
  <c r="X1033" i="13"/>
  <c r="S1033" i="13"/>
  <c r="I1033" i="13"/>
  <c r="X1031" i="13"/>
  <c r="S1031" i="13"/>
  <c r="I1031" i="13"/>
  <c r="X1029" i="13"/>
  <c r="S1029" i="13"/>
  <c r="I1029" i="13"/>
  <c r="X1027" i="13"/>
  <c r="S1027" i="13"/>
  <c r="I1027" i="13"/>
  <c r="X1026" i="13"/>
  <c r="S1026" i="13"/>
  <c r="I1026" i="13"/>
  <c r="X613" i="13"/>
  <c r="S613" i="13"/>
  <c r="I613" i="13"/>
  <c r="X611" i="13"/>
  <c r="S611" i="13"/>
  <c r="I611" i="13"/>
  <c r="X609" i="13"/>
  <c r="S609" i="13"/>
  <c r="I609" i="13"/>
  <c r="X608" i="13"/>
  <c r="S608" i="13"/>
  <c r="I608" i="13"/>
  <c r="X606" i="13"/>
  <c r="S606" i="13"/>
  <c r="I606" i="13"/>
  <c r="X605" i="13"/>
  <c r="S605" i="13"/>
  <c r="I605" i="13"/>
  <c r="X604" i="13"/>
  <c r="S604" i="13"/>
  <c r="I604" i="13"/>
  <c r="X602" i="13"/>
  <c r="S602" i="13"/>
  <c r="I602" i="13"/>
  <c r="X601" i="13"/>
  <c r="S601" i="13"/>
  <c r="I601" i="13"/>
  <c r="X600" i="13"/>
  <c r="S600" i="13"/>
  <c r="I600" i="13"/>
  <c r="X599" i="13"/>
  <c r="S599" i="13"/>
  <c r="I599" i="13"/>
  <c r="X598" i="13"/>
  <c r="S598" i="13"/>
  <c r="I598" i="13"/>
  <c r="X597" i="13"/>
  <c r="S597" i="13"/>
  <c r="I597" i="13"/>
  <c r="X596" i="13"/>
  <c r="S596" i="13"/>
  <c r="I596" i="13"/>
  <c r="X594" i="13"/>
  <c r="S594" i="13"/>
  <c r="I594" i="13"/>
  <c r="X593" i="13"/>
  <c r="S593" i="13"/>
  <c r="I593" i="13"/>
  <c r="X592" i="13"/>
  <c r="S592" i="13"/>
  <c r="I592" i="13"/>
  <c r="X590" i="13"/>
  <c r="S590" i="13"/>
  <c r="I590" i="13"/>
  <c r="X589" i="13"/>
  <c r="S589" i="13"/>
  <c r="I589" i="13"/>
  <c r="W586" i="13"/>
  <c r="V586" i="13"/>
  <c r="U586" i="13"/>
  <c r="T586" i="13"/>
  <c r="R586" i="13"/>
  <c r="Q586" i="13"/>
  <c r="P586" i="13"/>
  <c r="O586" i="13"/>
  <c r="M586" i="13"/>
  <c r="L586" i="13"/>
  <c r="K586" i="13"/>
  <c r="H586" i="13"/>
  <c r="X584" i="13"/>
  <c r="S584" i="13"/>
  <c r="I584" i="13"/>
  <c r="X581" i="13"/>
  <c r="S581" i="13"/>
  <c r="I581" i="13"/>
  <c r="X580" i="13"/>
  <c r="S580" i="13"/>
  <c r="I580" i="13"/>
  <c r="X579" i="13"/>
  <c r="S579" i="13"/>
  <c r="I579" i="13"/>
  <c r="X578" i="13"/>
  <c r="S578" i="13"/>
  <c r="I578" i="13"/>
  <c r="X577" i="13"/>
  <c r="S577" i="13"/>
  <c r="I577" i="13"/>
  <c r="X576" i="13"/>
  <c r="S576" i="13"/>
  <c r="I576" i="13"/>
  <c r="X575" i="13"/>
  <c r="S575" i="13"/>
  <c r="I575" i="13"/>
  <c r="X574" i="13"/>
  <c r="S574" i="13"/>
  <c r="I574" i="13"/>
  <c r="X573" i="13"/>
  <c r="S573" i="13"/>
  <c r="I573" i="13"/>
  <c r="X572" i="13"/>
  <c r="S572" i="13"/>
  <c r="I572" i="13"/>
  <c r="X570" i="13"/>
  <c r="S570" i="13"/>
  <c r="I570" i="13"/>
  <c r="X569" i="13"/>
  <c r="S569" i="13"/>
  <c r="I569" i="13"/>
  <c r="X568" i="13"/>
  <c r="S568" i="13"/>
  <c r="I568" i="13"/>
  <c r="X566" i="13"/>
  <c r="S566" i="13"/>
  <c r="I566" i="13"/>
  <c r="X564" i="13"/>
  <c r="S564" i="13"/>
  <c r="I564" i="13"/>
  <c r="X563" i="13"/>
  <c r="S563" i="13"/>
  <c r="I563" i="13"/>
  <c r="X562" i="13"/>
  <c r="S562" i="13"/>
  <c r="I562" i="13"/>
  <c r="X561" i="13"/>
  <c r="S561" i="13"/>
  <c r="I561" i="13"/>
  <c r="X560" i="13"/>
  <c r="S560" i="13"/>
  <c r="I560" i="13"/>
  <c r="X559" i="13"/>
  <c r="S559" i="13"/>
  <c r="I559" i="13"/>
  <c r="X558" i="13"/>
  <c r="S558" i="13"/>
  <c r="I558" i="13"/>
  <c r="X557" i="13"/>
  <c r="S557" i="13"/>
  <c r="I557" i="13"/>
  <c r="X556" i="13"/>
  <c r="S556" i="13"/>
  <c r="I556" i="13"/>
  <c r="X555" i="13"/>
  <c r="S555" i="13"/>
  <c r="I555" i="13"/>
  <c r="X554" i="13"/>
  <c r="S554" i="13"/>
  <c r="I554" i="13"/>
  <c r="X553" i="13"/>
  <c r="S553" i="13"/>
  <c r="I553" i="13"/>
  <c r="X552" i="13"/>
  <c r="S552" i="13"/>
  <c r="I552" i="13"/>
  <c r="X551" i="13"/>
  <c r="S551" i="13"/>
  <c r="I551" i="13"/>
  <c r="X550" i="13"/>
  <c r="S550" i="13"/>
  <c r="I550" i="13"/>
  <c r="X549" i="13"/>
  <c r="S549" i="13"/>
  <c r="I549" i="13"/>
  <c r="X547" i="13"/>
  <c r="S547" i="13"/>
  <c r="I547" i="13"/>
  <c r="X546" i="13"/>
  <c r="S546" i="13"/>
  <c r="I546" i="13"/>
  <c r="X545" i="13"/>
  <c r="S545" i="13"/>
  <c r="I545" i="13"/>
  <c r="X543" i="13"/>
  <c r="S543" i="13"/>
  <c r="I543" i="13"/>
  <c r="X541" i="13"/>
  <c r="S541" i="13"/>
  <c r="I541" i="13"/>
  <c r="X540" i="13"/>
  <c r="S540" i="13"/>
  <c r="I540" i="13"/>
  <c r="X539" i="13"/>
  <c r="S539" i="13"/>
  <c r="I539" i="13"/>
  <c r="X538" i="13"/>
  <c r="S538" i="13"/>
  <c r="I538" i="13"/>
  <c r="X536" i="13"/>
  <c r="S536" i="13"/>
  <c r="I536" i="13"/>
  <c r="X534" i="13"/>
  <c r="S534" i="13"/>
  <c r="I534" i="13"/>
  <c r="X533" i="13"/>
  <c r="S533" i="13"/>
  <c r="I533" i="13"/>
  <c r="X532" i="13"/>
  <c r="S532" i="13"/>
  <c r="I532" i="13"/>
  <c r="X531" i="13"/>
  <c r="S531" i="13"/>
  <c r="I531" i="13"/>
  <c r="X530" i="13"/>
  <c r="S530" i="13"/>
  <c r="I530" i="13"/>
  <c r="X528" i="13"/>
  <c r="S528" i="13"/>
  <c r="I528" i="13"/>
  <c r="X527" i="13"/>
  <c r="S527" i="13"/>
  <c r="I527" i="13"/>
  <c r="X525" i="13"/>
  <c r="S525" i="13"/>
  <c r="I525" i="13"/>
  <c r="X524" i="13"/>
  <c r="S524" i="13"/>
  <c r="I524" i="13"/>
  <c r="X523" i="13"/>
  <c r="S523" i="13"/>
  <c r="I523" i="13"/>
  <c r="X522" i="13"/>
  <c r="S522" i="13"/>
  <c r="I522" i="13"/>
  <c r="X521" i="13"/>
  <c r="S521" i="13"/>
  <c r="I521" i="13"/>
  <c r="X520" i="13"/>
  <c r="S520" i="13"/>
  <c r="I520" i="13"/>
  <c r="X518" i="13"/>
  <c r="S518" i="13"/>
  <c r="I518" i="13"/>
  <c r="X516" i="13"/>
  <c r="S516" i="13"/>
  <c r="I516" i="13"/>
  <c r="X514" i="13"/>
  <c r="S514" i="13"/>
  <c r="I514" i="13"/>
  <c r="X513" i="13"/>
  <c r="S513" i="13"/>
  <c r="I513" i="13"/>
  <c r="W511" i="13"/>
  <c r="V511" i="13"/>
  <c r="V485" i="13" s="1"/>
  <c r="U511" i="13"/>
  <c r="T511" i="13"/>
  <c r="R511" i="13"/>
  <c r="Q511" i="13"/>
  <c r="Q485" i="13" s="1"/>
  <c r="P511" i="13"/>
  <c r="O511" i="13"/>
  <c r="M511" i="13"/>
  <c r="L511" i="13"/>
  <c r="L485" i="13" s="1"/>
  <c r="K511" i="13"/>
  <c r="H511" i="13"/>
  <c r="X508" i="13"/>
  <c r="S508" i="13"/>
  <c r="I508" i="13"/>
  <c r="X506" i="13"/>
  <c r="S506" i="13"/>
  <c r="I506" i="13"/>
  <c r="X505" i="13"/>
  <c r="S505" i="13"/>
  <c r="I505" i="13"/>
  <c r="X504" i="13"/>
  <c r="S504" i="13"/>
  <c r="I504" i="13"/>
  <c r="X501" i="13"/>
  <c r="S501" i="13"/>
  <c r="I501" i="13"/>
  <c r="X500" i="13"/>
  <c r="S500" i="13"/>
  <c r="I500" i="13"/>
  <c r="X499" i="13"/>
  <c r="S499" i="13"/>
  <c r="I499" i="13"/>
  <c r="X498" i="13"/>
  <c r="S498" i="13"/>
  <c r="I498" i="13"/>
  <c r="X497" i="13"/>
  <c r="S497" i="13"/>
  <c r="I497" i="13"/>
  <c r="X494" i="13"/>
  <c r="S494" i="13"/>
  <c r="I494" i="13"/>
  <c r="X493" i="13"/>
  <c r="S493" i="13"/>
  <c r="I493" i="13"/>
  <c r="X492" i="13"/>
  <c r="S492" i="13"/>
  <c r="I492" i="13"/>
  <c r="X491" i="13"/>
  <c r="S491" i="13"/>
  <c r="I491" i="13"/>
  <c r="X489" i="13"/>
  <c r="S489" i="13"/>
  <c r="I489" i="13"/>
  <c r="X483" i="13"/>
  <c r="S483" i="13"/>
  <c r="I483" i="13"/>
  <c r="J483" i="13" s="1"/>
  <c r="N483" i="13" s="1"/>
  <c r="X481" i="13"/>
  <c r="S481" i="13"/>
  <c r="I481" i="13"/>
  <c r="J481" i="13" s="1"/>
  <c r="N481" i="13" s="1"/>
  <c r="X479" i="13"/>
  <c r="S479" i="13"/>
  <c r="I479" i="13"/>
  <c r="J479" i="13" s="1"/>
  <c r="N479" i="13" s="1"/>
  <c r="X478" i="13"/>
  <c r="S478" i="13"/>
  <c r="I478" i="13"/>
  <c r="J478" i="13" s="1"/>
  <c r="N478" i="13" s="1"/>
  <c r="X476" i="13"/>
  <c r="S476" i="13"/>
  <c r="I476" i="13"/>
  <c r="J476" i="13" s="1"/>
  <c r="N476" i="13" s="1"/>
  <c r="X475" i="13"/>
  <c r="S475" i="13"/>
  <c r="I475" i="13"/>
  <c r="J475" i="13" s="1"/>
  <c r="N475" i="13" s="1"/>
  <c r="X474" i="13"/>
  <c r="S474" i="13"/>
  <c r="I474" i="13"/>
  <c r="J474" i="13" s="1"/>
  <c r="N474" i="13" s="1"/>
  <c r="X472" i="13"/>
  <c r="S472" i="13"/>
  <c r="I472" i="13"/>
  <c r="J472" i="13" s="1"/>
  <c r="N472" i="13" s="1"/>
  <c r="X471" i="13"/>
  <c r="S471" i="13"/>
  <c r="I471" i="13"/>
  <c r="J471" i="13" s="1"/>
  <c r="N471" i="13" s="1"/>
  <c r="X470" i="13"/>
  <c r="S470" i="13"/>
  <c r="I470" i="13"/>
  <c r="J470" i="13" s="1"/>
  <c r="N470" i="13" s="1"/>
  <c r="X469" i="13"/>
  <c r="S469" i="13"/>
  <c r="I469" i="13"/>
  <c r="J469" i="13" s="1"/>
  <c r="N469" i="13" s="1"/>
  <c r="X468" i="13"/>
  <c r="S468" i="13"/>
  <c r="I468" i="13"/>
  <c r="J468" i="13" s="1"/>
  <c r="N468" i="13" s="1"/>
  <c r="X467" i="13"/>
  <c r="S467" i="13"/>
  <c r="I467" i="13"/>
  <c r="J467" i="13" s="1"/>
  <c r="N467" i="13" s="1"/>
  <c r="X466" i="13"/>
  <c r="S466" i="13"/>
  <c r="I466" i="13"/>
  <c r="J466" i="13" s="1"/>
  <c r="N466" i="13" s="1"/>
  <c r="X464" i="13"/>
  <c r="S464" i="13"/>
  <c r="I464" i="13"/>
  <c r="J464" i="13" s="1"/>
  <c r="N464" i="13" s="1"/>
  <c r="X463" i="13"/>
  <c r="S463" i="13"/>
  <c r="I463" i="13"/>
  <c r="J463" i="13" s="1"/>
  <c r="N463" i="13" s="1"/>
  <c r="X462" i="13"/>
  <c r="S462" i="13"/>
  <c r="I462" i="13"/>
  <c r="J462" i="13" s="1"/>
  <c r="N462" i="13" s="1"/>
  <c r="X460" i="13"/>
  <c r="S460" i="13"/>
  <c r="I460" i="13"/>
  <c r="J460" i="13" s="1"/>
  <c r="N460" i="13" s="1"/>
  <c r="X459" i="13"/>
  <c r="S459" i="13"/>
  <c r="I459" i="13"/>
  <c r="J459" i="13" s="1"/>
  <c r="N459" i="13" s="1"/>
  <c r="W456" i="13"/>
  <c r="V456" i="13"/>
  <c r="U456" i="13"/>
  <c r="T456" i="13"/>
  <c r="R456" i="13"/>
  <c r="Q456" i="13"/>
  <c r="P456" i="13"/>
  <c r="O456" i="13"/>
  <c r="M456" i="13"/>
  <c r="L456" i="13"/>
  <c r="K456" i="13"/>
  <c r="K356" i="13" s="1"/>
  <c r="H456" i="13"/>
  <c r="X454" i="13"/>
  <c r="S454" i="13"/>
  <c r="I454" i="13"/>
  <c r="X451" i="13"/>
  <c r="S451" i="13"/>
  <c r="I451" i="13"/>
  <c r="X450" i="13"/>
  <c r="S450" i="13"/>
  <c r="I450" i="13"/>
  <c r="X449" i="13"/>
  <c r="S449" i="13"/>
  <c r="I449" i="13"/>
  <c r="X448" i="13"/>
  <c r="S448" i="13"/>
  <c r="I448" i="13"/>
  <c r="X447" i="13"/>
  <c r="S447" i="13"/>
  <c r="I447" i="13"/>
  <c r="X446" i="13"/>
  <c r="S446" i="13"/>
  <c r="I446" i="13"/>
  <c r="X445" i="13"/>
  <c r="S445" i="13"/>
  <c r="I445" i="13"/>
  <c r="X444" i="13"/>
  <c r="S444" i="13"/>
  <c r="I444" i="13"/>
  <c r="X443" i="13"/>
  <c r="S443" i="13"/>
  <c r="I443" i="13"/>
  <c r="X442" i="13"/>
  <c r="S442" i="13"/>
  <c r="I442" i="13"/>
  <c r="X440" i="13"/>
  <c r="S440" i="13"/>
  <c r="I440" i="13"/>
  <c r="X439" i="13"/>
  <c r="S439" i="13"/>
  <c r="I439" i="13"/>
  <c r="X438" i="13"/>
  <c r="S438" i="13"/>
  <c r="I438" i="13"/>
  <c r="X436" i="13"/>
  <c r="S436" i="13"/>
  <c r="I436" i="13"/>
  <c r="X434" i="13"/>
  <c r="S434" i="13"/>
  <c r="I434" i="13"/>
  <c r="X433" i="13"/>
  <c r="S433" i="13"/>
  <c r="I433" i="13"/>
  <c r="X432" i="13"/>
  <c r="S432" i="13"/>
  <c r="I432" i="13"/>
  <c r="X431" i="13"/>
  <c r="S431" i="13"/>
  <c r="I431" i="13"/>
  <c r="X430" i="13"/>
  <c r="S430" i="13"/>
  <c r="I430" i="13"/>
  <c r="X429" i="13"/>
  <c r="S429" i="13"/>
  <c r="I429" i="13"/>
  <c r="X428" i="13"/>
  <c r="S428" i="13"/>
  <c r="I428" i="13"/>
  <c r="X427" i="13"/>
  <c r="S427" i="13"/>
  <c r="I427" i="13"/>
  <c r="X426" i="13"/>
  <c r="S426" i="13"/>
  <c r="I426" i="13"/>
  <c r="X425" i="13"/>
  <c r="S425" i="13"/>
  <c r="I425" i="13"/>
  <c r="X424" i="13"/>
  <c r="S424" i="13"/>
  <c r="I424" i="13"/>
  <c r="X423" i="13"/>
  <c r="S423" i="13"/>
  <c r="I423" i="13"/>
  <c r="X422" i="13"/>
  <c r="S422" i="13"/>
  <c r="I422" i="13"/>
  <c r="X421" i="13"/>
  <c r="S421" i="13"/>
  <c r="I421" i="13"/>
  <c r="X420" i="13"/>
  <c r="S420" i="13"/>
  <c r="I420" i="13"/>
  <c r="X419" i="13"/>
  <c r="S419" i="13"/>
  <c r="I419" i="13"/>
  <c r="X417" i="13"/>
  <c r="S417" i="13"/>
  <c r="I417" i="13"/>
  <c r="X416" i="13"/>
  <c r="S416" i="13"/>
  <c r="I416" i="13"/>
  <c r="X415" i="13"/>
  <c r="S415" i="13"/>
  <c r="I415" i="13"/>
  <c r="X413" i="13"/>
  <c r="S413" i="13"/>
  <c r="I413" i="13"/>
  <c r="X411" i="13"/>
  <c r="S411" i="13"/>
  <c r="I411" i="13"/>
  <c r="X410" i="13"/>
  <c r="S410" i="13"/>
  <c r="I410" i="13"/>
  <c r="X409" i="13"/>
  <c r="S409" i="13"/>
  <c r="I409" i="13"/>
  <c r="X408" i="13"/>
  <c r="S408" i="13"/>
  <c r="I408" i="13"/>
  <c r="X406" i="13"/>
  <c r="S406" i="13"/>
  <c r="I406" i="13"/>
  <c r="X404" i="13"/>
  <c r="S404" i="13"/>
  <c r="I404" i="13"/>
  <c r="X403" i="13"/>
  <c r="S403" i="13"/>
  <c r="I403" i="13"/>
  <c r="X402" i="13"/>
  <c r="S402" i="13"/>
  <c r="I402" i="13"/>
  <c r="X401" i="13"/>
  <c r="S401" i="13"/>
  <c r="I401" i="13"/>
  <c r="X400" i="13"/>
  <c r="S400" i="13"/>
  <c r="I400" i="13"/>
  <c r="X398" i="13"/>
  <c r="S398" i="13"/>
  <c r="I398" i="13"/>
  <c r="X397" i="13"/>
  <c r="S397" i="13"/>
  <c r="I397" i="13"/>
  <c r="X395" i="13"/>
  <c r="S395" i="13"/>
  <c r="I395" i="13"/>
  <c r="X394" i="13"/>
  <c r="S394" i="13"/>
  <c r="I394" i="13"/>
  <c r="X393" i="13"/>
  <c r="S393" i="13"/>
  <c r="I393" i="13"/>
  <c r="X392" i="13"/>
  <c r="S392" i="13"/>
  <c r="I392" i="13"/>
  <c r="X391" i="13"/>
  <c r="S391" i="13"/>
  <c r="I391" i="13"/>
  <c r="X390" i="13"/>
  <c r="S390" i="13"/>
  <c r="I390" i="13"/>
  <c r="X388" i="13"/>
  <c r="S388" i="13"/>
  <c r="I388" i="13"/>
  <c r="X386" i="13"/>
  <c r="S386" i="13"/>
  <c r="I386" i="13"/>
  <c r="X384" i="13"/>
  <c r="S384" i="13"/>
  <c r="I384" i="13"/>
  <c r="X383" i="13"/>
  <c r="S383" i="13"/>
  <c r="I383" i="13"/>
  <c r="W381" i="13"/>
  <c r="V381" i="13"/>
  <c r="U381" i="13"/>
  <c r="T381" i="13"/>
  <c r="T356" i="13" s="1"/>
  <c r="R381" i="13"/>
  <c r="Q381" i="13"/>
  <c r="P381" i="13"/>
  <c r="O381" i="13"/>
  <c r="O356" i="13" s="1"/>
  <c r="M381" i="13"/>
  <c r="L381" i="13"/>
  <c r="K381" i="13"/>
  <c r="H381" i="13"/>
  <c r="H356" i="13" s="1"/>
  <c r="X378" i="13"/>
  <c r="S378" i="13"/>
  <c r="I378" i="13"/>
  <c r="X376" i="13"/>
  <c r="S376" i="13"/>
  <c r="I376" i="13"/>
  <c r="X375" i="13"/>
  <c r="S375" i="13"/>
  <c r="I375" i="13"/>
  <c r="X374" i="13"/>
  <c r="S374" i="13"/>
  <c r="I374" i="13"/>
  <c r="X372" i="13"/>
  <c r="S372" i="13"/>
  <c r="I372" i="13"/>
  <c r="X370" i="13"/>
  <c r="S370" i="13"/>
  <c r="I370" i="13"/>
  <c r="X369" i="13"/>
  <c r="S369" i="13"/>
  <c r="I369" i="13"/>
  <c r="X368" i="13"/>
  <c r="S368" i="13"/>
  <c r="I368" i="13"/>
  <c r="X367" i="13"/>
  <c r="S367" i="13"/>
  <c r="I367" i="13"/>
  <c r="X364" i="13"/>
  <c r="S364" i="13"/>
  <c r="I364" i="13"/>
  <c r="X363" i="13"/>
  <c r="S363" i="13"/>
  <c r="I363" i="13"/>
  <c r="X362" i="13"/>
  <c r="S362" i="13"/>
  <c r="I362" i="13"/>
  <c r="J362" i="13" s="1"/>
  <c r="N362" i="13" s="1"/>
  <c r="X361" i="13"/>
  <c r="S361" i="13"/>
  <c r="I361" i="13"/>
  <c r="X359" i="13"/>
  <c r="S359" i="13"/>
  <c r="I359" i="13"/>
  <c r="W130" i="11"/>
  <c r="W129" i="11"/>
  <c r="W127" i="11"/>
  <c r="W126" i="11"/>
  <c r="W124" i="11"/>
  <c r="W123" i="11"/>
  <c r="V130" i="11"/>
  <c r="V129" i="11"/>
  <c r="V126" i="11"/>
  <c r="V127" i="11"/>
  <c r="V124" i="11"/>
  <c r="V123" i="11"/>
  <c r="U130" i="11"/>
  <c r="U129" i="11"/>
  <c r="U127" i="11"/>
  <c r="U126" i="11"/>
  <c r="U124" i="11"/>
  <c r="U123" i="11"/>
  <c r="T130" i="11"/>
  <c r="T129" i="11"/>
  <c r="T127" i="11"/>
  <c r="T126" i="11"/>
  <c r="T124" i="11"/>
  <c r="T123" i="11"/>
  <c r="R130" i="11"/>
  <c r="R129" i="11"/>
  <c r="R127" i="11"/>
  <c r="R126" i="11"/>
  <c r="R124" i="11"/>
  <c r="R123" i="11"/>
  <c r="Q130" i="11"/>
  <c r="Q129" i="11"/>
  <c r="Q127" i="11"/>
  <c r="Q126" i="11"/>
  <c r="Q124" i="11"/>
  <c r="Q123" i="11"/>
  <c r="O130" i="11"/>
  <c r="O129" i="11"/>
  <c r="O127" i="11"/>
  <c r="O126" i="11"/>
  <c r="O124" i="11"/>
  <c r="O123" i="11"/>
  <c r="M130" i="11"/>
  <c r="M129" i="11"/>
  <c r="M127" i="11"/>
  <c r="M126" i="11"/>
  <c r="M124" i="11"/>
  <c r="M123" i="11"/>
  <c r="K130" i="11"/>
  <c r="K129" i="11"/>
  <c r="K127" i="11"/>
  <c r="K126" i="11"/>
  <c r="K124" i="11"/>
  <c r="K123" i="11"/>
  <c r="G140" i="11"/>
  <c r="I140" i="11" s="1"/>
  <c r="G139" i="11"/>
  <c r="I139" i="11" s="1"/>
  <c r="J139" i="11" s="1"/>
  <c r="G130" i="11"/>
  <c r="I130" i="11" s="1"/>
  <c r="G129" i="11"/>
  <c r="I129" i="11" s="1"/>
  <c r="G127" i="11"/>
  <c r="I127" i="11" s="1"/>
  <c r="J127" i="11" s="1"/>
  <c r="G126" i="11"/>
  <c r="I126" i="11" s="1"/>
  <c r="J126" i="11" s="1"/>
  <c r="G124" i="11"/>
  <c r="I124" i="11" s="1"/>
  <c r="G123" i="11"/>
  <c r="I123" i="11" s="1"/>
  <c r="G119" i="11"/>
  <c r="I119" i="11" s="1"/>
  <c r="G115" i="11"/>
  <c r="I115" i="11" s="1"/>
  <c r="G114" i="11"/>
  <c r="I114" i="11" s="1"/>
  <c r="V99" i="11"/>
  <c r="V731" i="13" s="1"/>
  <c r="V263" i="15" s="1"/>
  <c r="V98" i="11"/>
  <c r="V730" i="13" s="1"/>
  <c r="V262" i="15" s="1"/>
  <c r="V96" i="11"/>
  <c r="V726" i="13" s="1"/>
  <c r="V258" i="15" s="1"/>
  <c r="V95" i="11"/>
  <c r="V725" i="13" s="1"/>
  <c r="V257" i="15" s="1"/>
  <c r="V94" i="11"/>
  <c r="W99" i="11"/>
  <c r="W731" i="13" s="1"/>
  <c r="W263" i="15" s="1"/>
  <c r="W98" i="11"/>
  <c r="W730" i="13" s="1"/>
  <c r="W262" i="15" s="1"/>
  <c r="W96" i="11"/>
  <c r="W95" i="11"/>
  <c r="W725" i="13" s="1"/>
  <c r="W94" i="11"/>
  <c r="U99" i="11"/>
  <c r="U731" i="13" s="1"/>
  <c r="U263" i="15" s="1"/>
  <c r="U98" i="11"/>
  <c r="U730" i="13" s="1"/>
  <c r="U262" i="15" s="1"/>
  <c r="U96" i="11"/>
  <c r="U726" i="13" s="1"/>
  <c r="U258" i="15" s="1"/>
  <c r="U95" i="11"/>
  <c r="U725" i="13" s="1"/>
  <c r="U257" i="15" s="1"/>
  <c r="U94" i="11"/>
  <c r="T99" i="11"/>
  <c r="T731" i="13" s="1"/>
  <c r="T263" i="15" s="1"/>
  <c r="T98" i="11"/>
  <c r="T730" i="13" s="1"/>
  <c r="T262" i="15" s="1"/>
  <c r="T96" i="11"/>
  <c r="T726" i="13" s="1"/>
  <c r="T258" i="15" s="1"/>
  <c r="T95" i="11"/>
  <c r="T725" i="13" s="1"/>
  <c r="T257" i="15" s="1"/>
  <c r="T94" i="11"/>
  <c r="R99" i="11"/>
  <c r="R731" i="13" s="1"/>
  <c r="R263" i="15" s="1"/>
  <c r="R98" i="11"/>
  <c r="R730" i="13" s="1"/>
  <c r="R262" i="15" s="1"/>
  <c r="R96" i="11"/>
  <c r="R95" i="11"/>
  <c r="R725" i="13" s="1"/>
  <c r="R94" i="11"/>
  <c r="Q99" i="11"/>
  <c r="Q731" i="13" s="1"/>
  <c r="Q263" i="15" s="1"/>
  <c r="Q98" i="11"/>
  <c r="Q730" i="13" s="1"/>
  <c r="Q262" i="15" s="1"/>
  <c r="Q96" i="11"/>
  <c r="Q726" i="13" s="1"/>
  <c r="Q258" i="15" s="1"/>
  <c r="Q95" i="11"/>
  <c r="Q725" i="13" s="1"/>
  <c r="Q257" i="15" s="1"/>
  <c r="Q94" i="11"/>
  <c r="P99" i="11"/>
  <c r="P731" i="13" s="1"/>
  <c r="P263" i="15" s="1"/>
  <c r="P98" i="11"/>
  <c r="P730" i="13" s="1"/>
  <c r="P262" i="15" s="1"/>
  <c r="P96" i="11"/>
  <c r="P726" i="13" s="1"/>
  <c r="P258" i="15" s="1"/>
  <c r="P95" i="11"/>
  <c r="P725" i="13" s="1"/>
  <c r="P257" i="15" s="1"/>
  <c r="P94" i="11"/>
  <c r="O99" i="11"/>
  <c r="O98" i="11"/>
  <c r="O730" i="13" s="1"/>
  <c r="O262" i="15" s="1"/>
  <c r="O96" i="11"/>
  <c r="O726" i="13" s="1"/>
  <c r="O258" i="15" s="1"/>
  <c r="O95" i="11"/>
  <c r="O725" i="13" s="1"/>
  <c r="O257" i="15" s="1"/>
  <c r="O94" i="11"/>
  <c r="M99" i="11"/>
  <c r="M731" i="13" s="1"/>
  <c r="M263" i="15" s="1"/>
  <c r="M98" i="11"/>
  <c r="M730" i="13" s="1"/>
  <c r="M262" i="15" s="1"/>
  <c r="M96" i="11"/>
  <c r="M726" i="13" s="1"/>
  <c r="M258" i="15" s="1"/>
  <c r="M95" i="11"/>
  <c r="M725" i="13" s="1"/>
  <c r="M94" i="11"/>
  <c r="K99" i="11"/>
  <c r="K731" i="13" s="1"/>
  <c r="K98" i="11"/>
  <c r="K730" i="13" s="1"/>
  <c r="K96" i="11"/>
  <c r="K726" i="13" s="1"/>
  <c r="K95" i="11"/>
  <c r="K725" i="13" s="1"/>
  <c r="K94" i="11"/>
  <c r="G99" i="11"/>
  <c r="I731" i="13" s="1"/>
  <c r="G98" i="11"/>
  <c r="I98" i="11" s="1"/>
  <c r="G96" i="11"/>
  <c r="I96" i="11" s="1"/>
  <c r="G95" i="11"/>
  <c r="I95" i="11" s="1"/>
  <c r="G94" i="11"/>
  <c r="I94" i="11" s="1"/>
  <c r="C34" i="1"/>
  <c r="AA102" i="11"/>
  <c r="AA101" i="11" s="1"/>
  <c r="L102" i="11"/>
  <c r="H102" i="11"/>
  <c r="H101" i="11" s="1"/>
  <c r="BV150" i="9"/>
  <c r="BU150" i="9"/>
  <c r="BT150" i="9"/>
  <c r="BO150" i="9"/>
  <c r="BI150" i="9"/>
  <c r="BH150" i="9"/>
  <c r="BG150" i="9"/>
  <c r="BE150" i="9"/>
  <c r="BD150" i="9"/>
  <c r="BC150" i="9"/>
  <c r="BA150" i="9"/>
  <c r="AZ150" i="9"/>
  <c r="AY150" i="9"/>
  <c r="U150" i="9"/>
  <c r="T150" i="9"/>
  <c r="S150" i="9"/>
  <c r="Q150" i="9"/>
  <c r="P150" i="9"/>
  <c r="O150" i="9"/>
  <c r="M150" i="9"/>
  <c r="L150" i="9"/>
  <c r="K150" i="9"/>
  <c r="BV146" i="9"/>
  <c r="BU146" i="9"/>
  <c r="BT146" i="9"/>
  <c r="BT145" i="9" s="1"/>
  <c r="BO146" i="9"/>
  <c r="BI146" i="9"/>
  <c r="BH146" i="9"/>
  <c r="BG146" i="9"/>
  <c r="BG145" i="9" s="1"/>
  <c r="BE146" i="9"/>
  <c r="BD146" i="9"/>
  <c r="BC146" i="9"/>
  <c r="BA146" i="9"/>
  <c r="AZ146" i="9"/>
  <c r="AY146" i="9"/>
  <c r="U146" i="9"/>
  <c r="T146" i="9"/>
  <c r="T145" i="9" s="1"/>
  <c r="S146" i="9"/>
  <c r="Q146" i="9"/>
  <c r="P146" i="9"/>
  <c r="O146" i="9"/>
  <c r="O145" i="9" s="1"/>
  <c r="M146" i="9"/>
  <c r="L146" i="9"/>
  <c r="K146" i="9"/>
  <c r="BW152" i="9"/>
  <c r="BM152" i="9"/>
  <c r="BL152" i="9"/>
  <c r="BK152" i="9"/>
  <c r="BJ152" i="9"/>
  <c r="BF152" i="9"/>
  <c r="BB152" i="9"/>
  <c r="Y152" i="9"/>
  <c r="BR152" i="9" s="1"/>
  <c r="X152" i="9"/>
  <c r="W152" i="9"/>
  <c r="V152" i="9"/>
  <c r="R152" i="9"/>
  <c r="N152" i="9"/>
  <c r="J152" i="9"/>
  <c r="BW151" i="9"/>
  <c r="BM151" i="9"/>
  <c r="BL151" i="9"/>
  <c r="BL150" i="9" s="1"/>
  <c r="M33" i="1" s="1"/>
  <c r="BK151" i="9"/>
  <c r="BJ151" i="9"/>
  <c r="BF151" i="9"/>
  <c r="BB151" i="9"/>
  <c r="BB150" i="9" s="1"/>
  <c r="Y151" i="9"/>
  <c r="BR151" i="9" s="1"/>
  <c r="X151" i="9"/>
  <c r="BQ151" i="9" s="1"/>
  <c r="W151" i="9"/>
  <c r="V151" i="9"/>
  <c r="V150" i="9" s="1"/>
  <c r="R151" i="9"/>
  <c r="N151" i="9"/>
  <c r="J151" i="9"/>
  <c r="BW149" i="9"/>
  <c r="BM149" i="9"/>
  <c r="BZ149" i="9" s="1"/>
  <c r="BL149" i="9"/>
  <c r="BY149" i="9" s="1"/>
  <c r="BK149" i="9"/>
  <c r="BJ149" i="9"/>
  <c r="BF149" i="9"/>
  <c r="BB149" i="9"/>
  <c r="Y149" i="9"/>
  <c r="BR149" i="9" s="1"/>
  <c r="X149" i="9"/>
  <c r="W149" i="9"/>
  <c r="V149" i="9"/>
  <c r="R149" i="9"/>
  <c r="N149" i="9"/>
  <c r="J149" i="9"/>
  <c r="BW148" i="9"/>
  <c r="BM148" i="9"/>
  <c r="BZ148" i="9" s="1"/>
  <c r="BL148" i="9"/>
  <c r="BK148" i="9"/>
  <c r="BJ148" i="9"/>
  <c r="BF148" i="9"/>
  <c r="BB148" i="9"/>
  <c r="Y148" i="9"/>
  <c r="BR148" i="9" s="1"/>
  <c r="X148" i="9"/>
  <c r="BQ148" i="9" s="1"/>
  <c r="W148" i="9"/>
  <c r="V148" i="9"/>
  <c r="R148" i="9"/>
  <c r="N148" i="9"/>
  <c r="J148" i="9"/>
  <c r="BW147" i="9"/>
  <c r="BM147" i="9"/>
  <c r="BL147" i="9"/>
  <c r="BY147" i="9" s="1"/>
  <c r="BK147" i="9"/>
  <c r="BJ147" i="9"/>
  <c r="BF147" i="9"/>
  <c r="BB147" i="9"/>
  <c r="BZ147" i="9"/>
  <c r="Y147" i="9"/>
  <c r="X147" i="9"/>
  <c r="BQ147" i="9" s="1"/>
  <c r="W147" i="9"/>
  <c r="V147" i="9"/>
  <c r="V146" i="9" s="1"/>
  <c r="V145" i="9" s="1"/>
  <c r="R147" i="9"/>
  <c r="N147" i="9"/>
  <c r="J147" i="9"/>
  <c r="W83" i="11"/>
  <c r="W158" i="15" s="1"/>
  <c r="W82" i="11"/>
  <c r="W157" i="15" s="1"/>
  <c r="W81" i="11"/>
  <c r="W156" i="15" s="1"/>
  <c r="W79" i="11"/>
  <c r="W154" i="15" s="1"/>
  <c r="W78" i="11"/>
  <c r="W153" i="15" s="1"/>
  <c r="W77" i="11"/>
  <c r="W152" i="15" s="1"/>
  <c r="W75" i="11"/>
  <c r="W74" i="11"/>
  <c r="V83" i="11"/>
  <c r="V158" i="15" s="1"/>
  <c r="V82" i="11"/>
  <c r="V157" i="15" s="1"/>
  <c r="V81" i="11"/>
  <c r="V156" i="15" s="1"/>
  <c r="V79" i="11"/>
  <c r="V154" i="15" s="1"/>
  <c r="V78" i="11"/>
  <c r="V153" i="15" s="1"/>
  <c r="V77" i="11"/>
  <c r="V152" i="15" s="1"/>
  <c r="V75" i="11"/>
  <c r="V74" i="11"/>
  <c r="U83" i="11"/>
  <c r="U158" i="15" s="1"/>
  <c r="U82" i="11"/>
  <c r="U157" i="15" s="1"/>
  <c r="U81" i="11"/>
  <c r="U156" i="15" s="1"/>
  <c r="U79" i="11"/>
  <c r="U154" i="15" s="1"/>
  <c r="U78" i="11"/>
  <c r="U153" i="15" s="1"/>
  <c r="U77" i="11"/>
  <c r="U152" i="15" s="1"/>
  <c r="U74" i="11"/>
  <c r="T83" i="11"/>
  <c r="T158" i="15" s="1"/>
  <c r="T82" i="11"/>
  <c r="T157" i="15" s="1"/>
  <c r="T81" i="11"/>
  <c r="T156" i="15" s="1"/>
  <c r="T79" i="11"/>
  <c r="T154" i="15" s="1"/>
  <c r="T78" i="11"/>
  <c r="T153" i="15" s="1"/>
  <c r="T77" i="11"/>
  <c r="T152" i="15" s="1"/>
  <c r="T75" i="11"/>
  <c r="T74" i="11"/>
  <c r="R83" i="11"/>
  <c r="R158" i="15" s="1"/>
  <c r="R82" i="11"/>
  <c r="R157" i="15" s="1"/>
  <c r="R81" i="11"/>
  <c r="R156" i="15" s="1"/>
  <c r="R79" i="11"/>
  <c r="R154" i="15" s="1"/>
  <c r="R78" i="11"/>
  <c r="R153" i="15" s="1"/>
  <c r="R77" i="11"/>
  <c r="R152" i="15" s="1"/>
  <c r="R75" i="11"/>
  <c r="R74" i="11"/>
  <c r="Q83" i="11"/>
  <c r="Q158" i="15" s="1"/>
  <c r="Q82" i="11"/>
  <c r="Q157" i="15" s="1"/>
  <c r="Q81" i="11"/>
  <c r="Q156" i="15" s="1"/>
  <c r="Q79" i="11"/>
  <c r="Q154" i="15" s="1"/>
  <c r="Q78" i="11"/>
  <c r="Q153" i="15" s="1"/>
  <c r="Q77" i="11"/>
  <c r="Q152" i="15" s="1"/>
  <c r="Q75" i="11"/>
  <c r="Q74" i="11"/>
  <c r="P83" i="11"/>
  <c r="P158" i="15" s="1"/>
  <c r="P79" i="11"/>
  <c r="P154" i="15" s="1"/>
  <c r="P81" i="11"/>
  <c r="P156" i="15" s="1"/>
  <c r="P78" i="11"/>
  <c r="P153" i="15" s="1"/>
  <c r="P75" i="11"/>
  <c r="P77" i="11"/>
  <c r="P152" i="15" s="1"/>
  <c r="P74" i="11"/>
  <c r="O83" i="11"/>
  <c r="O158" i="15" s="1"/>
  <c r="O82" i="11"/>
  <c r="O157" i="15" s="1"/>
  <c r="O81" i="11"/>
  <c r="O156" i="15" s="1"/>
  <c r="O79" i="11"/>
  <c r="O154" i="15" s="1"/>
  <c r="O78" i="11"/>
  <c r="O153" i="15" s="1"/>
  <c r="O77" i="11"/>
  <c r="O152" i="15" s="1"/>
  <c r="O75" i="11"/>
  <c r="O74" i="11"/>
  <c r="M83" i="11"/>
  <c r="M158" i="15" s="1"/>
  <c r="M82" i="11"/>
  <c r="M157" i="15" s="1"/>
  <c r="M156" i="15"/>
  <c r="M79" i="11"/>
  <c r="M154" i="15" s="1"/>
  <c r="M78" i="11"/>
  <c r="M153" i="15" s="1"/>
  <c r="M77" i="11"/>
  <c r="M152" i="15" s="1"/>
  <c r="M75" i="11"/>
  <c r="M74" i="11"/>
  <c r="K83" i="11"/>
  <c r="K158" i="15" s="1"/>
  <c r="N158" i="15" s="1"/>
  <c r="K82" i="11"/>
  <c r="K157" i="15" s="1"/>
  <c r="N157" i="15" s="1"/>
  <c r="K81" i="11"/>
  <c r="K156" i="15" s="1"/>
  <c r="N156" i="15" s="1"/>
  <c r="K79" i="11"/>
  <c r="K154" i="15" s="1"/>
  <c r="N154" i="15" s="1"/>
  <c r="K78" i="11"/>
  <c r="K153" i="15" s="1"/>
  <c r="N153" i="15" s="1"/>
  <c r="K77" i="11"/>
  <c r="K152" i="15" s="1"/>
  <c r="N152" i="15" s="1"/>
  <c r="K75" i="11"/>
  <c r="K74" i="11"/>
  <c r="G83" i="11"/>
  <c r="I83" i="11" s="1"/>
  <c r="G82" i="11"/>
  <c r="I82" i="11" s="1"/>
  <c r="G81" i="11"/>
  <c r="I81" i="11" s="1"/>
  <c r="G79" i="11"/>
  <c r="I79" i="11" s="1"/>
  <c r="G78" i="11"/>
  <c r="I621" i="13" s="1"/>
  <c r="G77" i="11"/>
  <c r="I77" i="11" s="1"/>
  <c r="G75" i="11"/>
  <c r="I75" i="11" s="1"/>
  <c r="G74" i="11"/>
  <c r="I74" i="11" s="1"/>
  <c r="I78" i="11"/>
  <c r="W43" i="11"/>
  <c r="W42" i="11"/>
  <c r="W41" i="11"/>
  <c r="W39" i="11"/>
  <c r="W38" i="11"/>
  <c r="W37" i="11"/>
  <c r="G55" i="11"/>
  <c r="I55" i="11" s="1"/>
  <c r="J55" i="11" s="1"/>
  <c r="G54" i="11"/>
  <c r="I54" i="11" s="1"/>
  <c r="J54" i="11" s="1"/>
  <c r="G53" i="11"/>
  <c r="I53" i="11" s="1"/>
  <c r="W35" i="11"/>
  <c r="W34" i="11"/>
  <c r="W33" i="11"/>
  <c r="V43" i="11"/>
  <c r="V42" i="11"/>
  <c r="V41" i="11"/>
  <c r="V39" i="11"/>
  <c r="V38" i="11"/>
  <c r="V37" i="11"/>
  <c r="V35" i="11"/>
  <c r="V34" i="11"/>
  <c r="V33" i="11"/>
  <c r="U43" i="11"/>
  <c r="U42" i="11"/>
  <c r="U41" i="11"/>
  <c r="U39" i="11"/>
  <c r="U38" i="11"/>
  <c r="U37" i="11"/>
  <c r="U35" i="11"/>
  <c r="U34" i="11"/>
  <c r="U33" i="11"/>
  <c r="T43" i="11"/>
  <c r="T42" i="11"/>
  <c r="T41" i="11"/>
  <c r="T39" i="11"/>
  <c r="T38" i="11"/>
  <c r="T37" i="11"/>
  <c r="T35" i="11"/>
  <c r="T34" i="11"/>
  <c r="T33" i="11"/>
  <c r="R43" i="11"/>
  <c r="R42" i="11"/>
  <c r="R41" i="11"/>
  <c r="R39" i="11"/>
  <c r="R38" i="11"/>
  <c r="R37" i="11"/>
  <c r="R35" i="11"/>
  <c r="R34" i="11"/>
  <c r="R33" i="11"/>
  <c r="Q43" i="11"/>
  <c r="Q42" i="11"/>
  <c r="Q41" i="11"/>
  <c r="Q39" i="11"/>
  <c r="Q38" i="11"/>
  <c r="Q37" i="11"/>
  <c r="Q35" i="11"/>
  <c r="Q34" i="11"/>
  <c r="Q33" i="11"/>
  <c r="P43" i="11"/>
  <c r="P42" i="11"/>
  <c r="P41" i="11"/>
  <c r="P39" i="11"/>
  <c r="P38" i="11"/>
  <c r="P37" i="11"/>
  <c r="P35" i="11"/>
  <c r="P34" i="11"/>
  <c r="P33" i="11"/>
  <c r="O43" i="11"/>
  <c r="O42" i="11"/>
  <c r="O41" i="11"/>
  <c r="O39" i="11"/>
  <c r="O38" i="11"/>
  <c r="O37" i="11"/>
  <c r="O35" i="11"/>
  <c r="O34" i="11"/>
  <c r="O33" i="11"/>
  <c r="M43" i="11"/>
  <c r="M42" i="11"/>
  <c r="M41" i="11"/>
  <c r="M39" i="11"/>
  <c r="M38" i="11"/>
  <c r="M37" i="11"/>
  <c r="M35" i="11"/>
  <c r="M34" i="11"/>
  <c r="M33" i="11"/>
  <c r="K43" i="11"/>
  <c r="K42" i="11"/>
  <c r="K41" i="11"/>
  <c r="K39" i="11"/>
  <c r="K38" i="11"/>
  <c r="K37" i="11"/>
  <c r="K35" i="11"/>
  <c r="K34" i="11"/>
  <c r="K33" i="11"/>
  <c r="G43" i="11"/>
  <c r="I43" i="11" s="1"/>
  <c r="G42" i="11"/>
  <c r="I42" i="11" s="1"/>
  <c r="G41" i="11"/>
  <c r="I41" i="11" s="1"/>
  <c r="J41" i="11" s="1"/>
  <c r="G39" i="11"/>
  <c r="I39" i="11" s="1"/>
  <c r="G38" i="11"/>
  <c r="I38" i="11" s="1"/>
  <c r="G37" i="11"/>
  <c r="I37" i="11" s="1"/>
  <c r="G35" i="11"/>
  <c r="I35" i="11" s="1"/>
  <c r="G34" i="11"/>
  <c r="I34" i="11" s="1"/>
  <c r="G33" i="11"/>
  <c r="I33" i="11" s="1"/>
  <c r="B4" i="7"/>
  <c r="A3" i="11"/>
  <c r="Q47" i="7"/>
  <c r="P47" i="7"/>
  <c r="O47" i="7"/>
  <c r="N47" i="7"/>
  <c r="Q46" i="7"/>
  <c r="P46" i="7"/>
  <c r="O46" i="7"/>
  <c r="N46" i="7"/>
  <c r="J47" i="7"/>
  <c r="J46" i="7"/>
  <c r="H1130" i="13"/>
  <c r="K1130" i="13"/>
  <c r="L1130" i="13"/>
  <c r="M1130" i="13"/>
  <c r="O1130" i="13"/>
  <c r="P1130" i="13"/>
  <c r="Q1130" i="13"/>
  <c r="R1130" i="13"/>
  <c r="T1130" i="13"/>
  <c r="U1130" i="13"/>
  <c r="V1130" i="13"/>
  <c r="W1130" i="13"/>
  <c r="W1024" i="13"/>
  <c r="V1024" i="13"/>
  <c r="U1024" i="13"/>
  <c r="T1024" i="13"/>
  <c r="R1024" i="13"/>
  <c r="Q1024" i="13"/>
  <c r="P1024" i="13"/>
  <c r="O1024" i="13"/>
  <c r="M1024" i="13"/>
  <c r="L1024" i="13"/>
  <c r="K1024" i="13"/>
  <c r="H1024" i="13"/>
  <c r="X1021" i="13"/>
  <c r="S1021" i="13"/>
  <c r="I1021" i="13"/>
  <c r="X1018" i="13"/>
  <c r="S1018" i="13"/>
  <c r="I1018" i="13"/>
  <c r="X1017" i="13"/>
  <c r="S1017" i="13"/>
  <c r="I1017" i="13"/>
  <c r="X1016" i="13"/>
  <c r="S1016" i="13"/>
  <c r="I1016" i="13"/>
  <c r="X1015" i="13"/>
  <c r="S1015" i="13"/>
  <c r="I1015" i="13"/>
  <c r="X1014" i="13"/>
  <c r="S1014" i="13"/>
  <c r="I1014" i="13"/>
  <c r="X1013" i="13"/>
  <c r="S1013" i="13"/>
  <c r="I1013" i="13"/>
  <c r="X1012" i="13"/>
  <c r="S1012" i="13"/>
  <c r="I1012" i="13"/>
  <c r="X1011" i="13"/>
  <c r="S1011" i="13"/>
  <c r="I1011" i="13"/>
  <c r="X1010" i="13"/>
  <c r="S1010" i="13"/>
  <c r="I1010" i="13"/>
  <c r="X1009" i="13"/>
  <c r="S1009" i="13"/>
  <c r="I1009" i="13"/>
  <c r="X1007" i="13"/>
  <c r="S1007" i="13"/>
  <c r="I1007" i="13"/>
  <c r="X1006" i="13"/>
  <c r="S1006" i="13"/>
  <c r="I1006" i="13"/>
  <c r="X1005" i="13"/>
  <c r="S1005" i="13"/>
  <c r="I1005" i="13"/>
  <c r="X1003" i="13"/>
  <c r="S1003" i="13"/>
  <c r="I1003" i="13"/>
  <c r="X1001" i="13"/>
  <c r="S1001" i="13"/>
  <c r="I1001" i="13"/>
  <c r="X1000" i="13"/>
  <c r="S1000" i="13"/>
  <c r="I1000" i="13"/>
  <c r="X999" i="13"/>
  <c r="S999" i="13"/>
  <c r="I999" i="13"/>
  <c r="X998" i="13"/>
  <c r="S998" i="13"/>
  <c r="I998" i="13"/>
  <c r="X997" i="13"/>
  <c r="S997" i="13"/>
  <c r="I997" i="13"/>
  <c r="X996" i="13"/>
  <c r="S996" i="13"/>
  <c r="I996" i="13"/>
  <c r="X995" i="13"/>
  <c r="S995" i="13"/>
  <c r="I995" i="13"/>
  <c r="X994" i="13"/>
  <c r="S994" i="13"/>
  <c r="I994" i="13"/>
  <c r="X993" i="13"/>
  <c r="S993" i="13"/>
  <c r="I993" i="13"/>
  <c r="X992" i="13"/>
  <c r="S992" i="13"/>
  <c r="I992" i="13"/>
  <c r="X991" i="13"/>
  <c r="S991" i="13"/>
  <c r="I991" i="13"/>
  <c r="X990" i="13"/>
  <c r="S990" i="13"/>
  <c r="I990" i="13"/>
  <c r="X989" i="13"/>
  <c r="S989" i="13"/>
  <c r="I989" i="13"/>
  <c r="X988" i="13"/>
  <c r="S988" i="13"/>
  <c r="I988" i="13"/>
  <c r="X987" i="13"/>
  <c r="S987" i="13"/>
  <c r="I987" i="13"/>
  <c r="X986" i="13"/>
  <c r="S986" i="13"/>
  <c r="I986" i="13"/>
  <c r="X984" i="13"/>
  <c r="S984" i="13"/>
  <c r="I984" i="13"/>
  <c r="X983" i="13"/>
  <c r="S983" i="13"/>
  <c r="I983" i="13"/>
  <c r="X982" i="13"/>
  <c r="S982" i="13"/>
  <c r="I982" i="13"/>
  <c r="X980" i="13"/>
  <c r="S980" i="13"/>
  <c r="I980" i="13"/>
  <c r="X978" i="13"/>
  <c r="S978" i="13"/>
  <c r="I978" i="13"/>
  <c r="X977" i="13"/>
  <c r="S977" i="13"/>
  <c r="I977" i="13"/>
  <c r="X976" i="13"/>
  <c r="S976" i="13"/>
  <c r="I976" i="13"/>
  <c r="X975" i="13"/>
  <c r="S975" i="13"/>
  <c r="I975" i="13"/>
  <c r="X973" i="13"/>
  <c r="S973" i="13"/>
  <c r="I973" i="13"/>
  <c r="X971" i="13"/>
  <c r="S971" i="13"/>
  <c r="I971" i="13"/>
  <c r="X970" i="13"/>
  <c r="S970" i="13"/>
  <c r="I970" i="13"/>
  <c r="X969" i="13"/>
  <c r="S969" i="13"/>
  <c r="I969" i="13"/>
  <c r="X968" i="13"/>
  <c r="S968" i="13"/>
  <c r="I968" i="13"/>
  <c r="X967" i="13"/>
  <c r="S967" i="13"/>
  <c r="I967" i="13"/>
  <c r="X965" i="13"/>
  <c r="S965" i="13"/>
  <c r="I965" i="13"/>
  <c r="X964" i="13"/>
  <c r="S964" i="13"/>
  <c r="I964" i="13"/>
  <c r="X962" i="13"/>
  <c r="S962" i="13"/>
  <c r="I962" i="13"/>
  <c r="X961" i="13"/>
  <c r="S961" i="13"/>
  <c r="I961" i="13"/>
  <c r="X960" i="13"/>
  <c r="S960" i="13"/>
  <c r="I960" i="13"/>
  <c r="X959" i="13"/>
  <c r="S959" i="13"/>
  <c r="I959" i="13"/>
  <c r="X958" i="13"/>
  <c r="S958" i="13"/>
  <c r="I958" i="13"/>
  <c r="X957" i="13"/>
  <c r="S957" i="13"/>
  <c r="I957" i="13"/>
  <c r="X955" i="13"/>
  <c r="S955" i="13"/>
  <c r="I955" i="13"/>
  <c r="X953" i="13"/>
  <c r="S953" i="13"/>
  <c r="I953" i="13"/>
  <c r="X951" i="13"/>
  <c r="S951" i="13"/>
  <c r="I951" i="13"/>
  <c r="X950" i="13"/>
  <c r="S950" i="13"/>
  <c r="I950" i="13"/>
  <c r="X943" i="13"/>
  <c r="S943" i="13"/>
  <c r="I943" i="13"/>
  <c r="X941" i="13"/>
  <c r="S941" i="13"/>
  <c r="I941" i="13"/>
  <c r="X939" i="13"/>
  <c r="S939" i="13"/>
  <c r="I939" i="13"/>
  <c r="X938" i="13"/>
  <c r="S938" i="13"/>
  <c r="I938" i="13"/>
  <c r="X936" i="13"/>
  <c r="S936" i="13"/>
  <c r="I936" i="13"/>
  <c r="X935" i="13"/>
  <c r="S935" i="13"/>
  <c r="I935" i="13"/>
  <c r="X934" i="13"/>
  <c r="S934" i="13"/>
  <c r="I934" i="13"/>
  <c r="X932" i="13"/>
  <c r="S932" i="13"/>
  <c r="I932" i="13"/>
  <c r="X931" i="13"/>
  <c r="S931" i="13"/>
  <c r="I931" i="13"/>
  <c r="X930" i="13"/>
  <c r="S930" i="13"/>
  <c r="I930" i="13"/>
  <c r="X929" i="13"/>
  <c r="S929" i="13"/>
  <c r="I929" i="13"/>
  <c r="X928" i="13"/>
  <c r="S928" i="13"/>
  <c r="I928" i="13"/>
  <c r="X927" i="13"/>
  <c r="S927" i="13"/>
  <c r="I927" i="13"/>
  <c r="X926" i="13"/>
  <c r="S926" i="13"/>
  <c r="I926" i="13"/>
  <c r="X924" i="13"/>
  <c r="S924" i="13"/>
  <c r="I924" i="13"/>
  <c r="X923" i="13"/>
  <c r="S923" i="13"/>
  <c r="I923" i="13"/>
  <c r="X922" i="13"/>
  <c r="S922" i="13"/>
  <c r="I922" i="13"/>
  <c r="X920" i="13"/>
  <c r="S920" i="13"/>
  <c r="I920" i="13"/>
  <c r="X919" i="13"/>
  <c r="S919" i="13"/>
  <c r="I919" i="13"/>
  <c r="W916" i="13"/>
  <c r="V916" i="13"/>
  <c r="U916" i="13"/>
  <c r="T916" i="13"/>
  <c r="R916" i="13"/>
  <c r="Q916" i="13"/>
  <c r="P916" i="13"/>
  <c r="O916" i="13"/>
  <c r="M916" i="13"/>
  <c r="L916" i="13"/>
  <c r="K916" i="13"/>
  <c r="H916" i="13"/>
  <c r="X914" i="13"/>
  <c r="S914" i="13"/>
  <c r="I914" i="13"/>
  <c r="X911" i="13"/>
  <c r="S911" i="13"/>
  <c r="I911" i="13"/>
  <c r="X910" i="13"/>
  <c r="S910" i="13"/>
  <c r="I910" i="13"/>
  <c r="X909" i="13"/>
  <c r="S909" i="13"/>
  <c r="I909" i="13"/>
  <c r="X908" i="13"/>
  <c r="S908" i="13"/>
  <c r="I908" i="13"/>
  <c r="X907" i="13"/>
  <c r="S907" i="13"/>
  <c r="I907" i="13"/>
  <c r="X906" i="13"/>
  <c r="S906" i="13"/>
  <c r="I906" i="13"/>
  <c r="X905" i="13"/>
  <c r="S905" i="13"/>
  <c r="I905" i="13"/>
  <c r="X904" i="13"/>
  <c r="S904" i="13"/>
  <c r="I904" i="13"/>
  <c r="X903" i="13"/>
  <c r="S903" i="13"/>
  <c r="I903" i="13"/>
  <c r="X902" i="13"/>
  <c r="S902" i="13"/>
  <c r="I902" i="13"/>
  <c r="X900" i="13"/>
  <c r="S900" i="13"/>
  <c r="I900" i="13"/>
  <c r="X899" i="13"/>
  <c r="S899" i="13"/>
  <c r="I899" i="13"/>
  <c r="X898" i="13"/>
  <c r="S898" i="13"/>
  <c r="I898" i="13"/>
  <c r="X896" i="13"/>
  <c r="S896" i="13"/>
  <c r="I896" i="13"/>
  <c r="X894" i="13"/>
  <c r="S894" i="13"/>
  <c r="I894" i="13"/>
  <c r="X893" i="13"/>
  <c r="S893" i="13"/>
  <c r="I893" i="13"/>
  <c r="X892" i="13"/>
  <c r="S892" i="13"/>
  <c r="I892" i="13"/>
  <c r="X891" i="13"/>
  <c r="S891" i="13"/>
  <c r="I891" i="13"/>
  <c r="X890" i="13"/>
  <c r="S890" i="13"/>
  <c r="I890" i="13"/>
  <c r="X889" i="13"/>
  <c r="S889" i="13"/>
  <c r="I889" i="13"/>
  <c r="J889" i="13" s="1"/>
  <c r="N889" i="13" s="1"/>
  <c r="X888" i="13"/>
  <c r="S888" i="13"/>
  <c r="I888" i="13"/>
  <c r="X887" i="13"/>
  <c r="S887" i="13"/>
  <c r="I887" i="13"/>
  <c r="X886" i="13"/>
  <c r="S886" i="13"/>
  <c r="I886" i="13"/>
  <c r="X885" i="13"/>
  <c r="S885" i="13"/>
  <c r="I885" i="13"/>
  <c r="X884" i="13"/>
  <c r="S884" i="13"/>
  <c r="I884" i="13"/>
  <c r="X883" i="13"/>
  <c r="S883" i="13"/>
  <c r="I883" i="13"/>
  <c r="X882" i="13"/>
  <c r="S882" i="13"/>
  <c r="I882" i="13"/>
  <c r="X881" i="13"/>
  <c r="S881" i="13"/>
  <c r="I881" i="13"/>
  <c r="X880" i="13"/>
  <c r="S880" i="13"/>
  <c r="I880" i="13"/>
  <c r="X879" i="13"/>
  <c r="S879" i="13"/>
  <c r="I879" i="13"/>
  <c r="X877" i="13"/>
  <c r="S877" i="13"/>
  <c r="I877" i="13"/>
  <c r="X876" i="13"/>
  <c r="S876" i="13"/>
  <c r="I876" i="13"/>
  <c r="X875" i="13"/>
  <c r="S875" i="13"/>
  <c r="I875" i="13"/>
  <c r="X873" i="13"/>
  <c r="S873" i="13"/>
  <c r="I873" i="13"/>
  <c r="X871" i="13"/>
  <c r="S871" i="13"/>
  <c r="I871" i="13"/>
  <c r="X870" i="13"/>
  <c r="S870" i="13"/>
  <c r="I870" i="13"/>
  <c r="X869" i="13"/>
  <c r="S869" i="13"/>
  <c r="I869" i="13"/>
  <c r="X868" i="13"/>
  <c r="S868" i="13"/>
  <c r="I868" i="13"/>
  <c r="X866" i="13"/>
  <c r="S866" i="13"/>
  <c r="I866" i="13"/>
  <c r="X864" i="13"/>
  <c r="S864" i="13"/>
  <c r="I864" i="13"/>
  <c r="X863" i="13"/>
  <c r="S863" i="13"/>
  <c r="I863" i="13"/>
  <c r="X862" i="13"/>
  <c r="S862" i="13"/>
  <c r="I862" i="13"/>
  <c r="X861" i="13"/>
  <c r="S861" i="13"/>
  <c r="I861" i="13"/>
  <c r="X860" i="13"/>
  <c r="S860" i="13"/>
  <c r="I860" i="13"/>
  <c r="X858" i="13"/>
  <c r="S858" i="13"/>
  <c r="I858" i="13"/>
  <c r="X857" i="13"/>
  <c r="S857" i="13"/>
  <c r="I857" i="13"/>
  <c r="X855" i="13"/>
  <c r="S855" i="13"/>
  <c r="I855" i="13"/>
  <c r="X854" i="13"/>
  <c r="S854" i="13"/>
  <c r="I854" i="13"/>
  <c r="X853" i="13"/>
  <c r="S853" i="13"/>
  <c r="I853" i="13"/>
  <c r="X852" i="13"/>
  <c r="S852" i="13"/>
  <c r="I852" i="13"/>
  <c r="X851" i="13"/>
  <c r="S851" i="13"/>
  <c r="I851" i="13"/>
  <c r="X850" i="13"/>
  <c r="S850" i="13"/>
  <c r="I850" i="13"/>
  <c r="X848" i="13"/>
  <c r="S848" i="13"/>
  <c r="I848" i="13"/>
  <c r="X846" i="13"/>
  <c r="S846" i="13"/>
  <c r="I846" i="13"/>
  <c r="X844" i="13"/>
  <c r="S844" i="13"/>
  <c r="I844" i="13"/>
  <c r="X843" i="13"/>
  <c r="S843" i="13"/>
  <c r="I843" i="13"/>
  <c r="W841" i="13"/>
  <c r="V841" i="13"/>
  <c r="U841" i="13"/>
  <c r="T841" i="13"/>
  <c r="R841" i="13"/>
  <c r="Q841" i="13"/>
  <c r="P841" i="13"/>
  <c r="O841" i="13"/>
  <c r="M841" i="13"/>
  <c r="L841" i="13"/>
  <c r="K841" i="13"/>
  <c r="H841" i="13"/>
  <c r="W838" i="13"/>
  <c r="W370" i="15" s="1"/>
  <c r="V838" i="13"/>
  <c r="V370" i="15" s="1"/>
  <c r="U838" i="13"/>
  <c r="U370" i="15" s="1"/>
  <c r="T838" i="13"/>
  <c r="T370" i="15" s="1"/>
  <c r="R838" i="13"/>
  <c r="R370" i="15" s="1"/>
  <c r="Q838" i="13"/>
  <c r="Q370" i="15" s="1"/>
  <c r="P838" i="13"/>
  <c r="P370" i="15" s="1"/>
  <c r="O838" i="13"/>
  <c r="O370" i="15" s="1"/>
  <c r="M838" i="13"/>
  <c r="M370" i="15" s="1"/>
  <c r="L838" i="13"/>
  <c r="L370" i="15" s="1"/>
  <c r="K838" i="13"/>
  <c r="K370" i="15" s="1"/>
  <c r="H838" i="13"/>
  <c r="H370" i="15" s="1"/>
  <c r="W836" i="13"/>
  <c r="W368" i="15" s="1"/>
  <c r="V836" i="13"/>
  <c r="V368" i="15" s="1"/>
  <c r="U836" i="13"/>
  <c r="U368" i="15" s="1"/>
  <c r="T836" i="13"/>
  <c r="T368" i="15" s="1"/>
  <c r="R836" i="13"/>
  <c r="R368" i="15" s="1"/>
  <c r="Q836" i="13"/>
  <c r="Q368" i="15" s="1"/>
  <c r="P836" i="13"/>
  <c r="P368" i="15" s="1"/>
  <c r="O836" i="13"/>
  <c r="O368" i="15" s="1"/>
  <c r="M836" i="13"/>
  <c r="M368" i="15" s="1"/>
  <c r="L836" i="13"/>
  <c r="L368" i="15" s="1"/>
  <c r="K836" i="13"/>
  <c r="K368" i="15" s="1"/>
  <c r="H836" i="13"/>
  <c r="H368" i="15" s="1"/>
  <c r="W834" i="13"/>
  <c r="W366" i="15" s="1"/>
  <c r="V834" i="13"/>
  <c r="V366" i="15" s="1"/>
  <c r="U834" i="13"/>
  <c r="U366" i="15" s="1"/>
  <c r="T834" i="13"/>
  <c r="R834" i="13"/>
  <c r="R366" i="15" s="1"/>
  <c r="Q834" i="13"/>
  <c r="Q366" i="15" s="1"/>
  <c r="P834" i="13"/>
  <c r="P366" i="15" s="1"/>
  <c r="O834" i="13"/>
  <c r="M834" i="13"/>
  <c r="M366" i="15" s="1"/>
  <c r="L834" i="13"/>
  <c r="L366" i="15" s="1"/>
  <c r="K834" i="13"/>
  <c r="K366" i="15" s="1"/>
  <c r="H834" i="13"/>
  <c r="H366" i="15" s="1"/>
  <c r="W833" i="13"/>
  <c r="W365" i="15" s="1"/>
  <c r="V833" i="13"/>
  <c r="V365" i="15" s="1"/>
  <c r="U833" i="13"/>
  <c r="U365" i="15" s="1"/>
  <c r="T833" i="13"/>
  <c r="T365" i="15" s="1"/>
  <c r="R833" i="13"/>
  <c r="R365" i="15" s="1"/>
  <c r="Q833" i="13"/>
  <c r="Q365" i="15" s="1"/>
  <c r="P833" i="13"/>
  <c r="P365" i="15" s="1"/>
  <c r="O833" i="13"/>
  <c r="O365" i="15" s="1"/>
  <c r="M833" i="13"/>
  <c r="M365" i="15" s="1"/>
  <c r="L833" i="13"/>
  <c r="L365" i="15" s="1"/>
  <c r="K833" i="13"/>
  <c r="K365" i="15" s="1"/>
  <c r="H833" i="13"/>
  <c r="H365" i="15" s="1"/>
  <c r="W831" i="13"/>
  <c r="W363" i="15" s="1"/>
  <c r="V831" i="13"/>
  <c r="V363" i="15" s="1"/>
  <c r="U831" i="13"/>
  <c r="U363" i="15" s="1"/>
  <c r="T831" i="13"/>
  <c r="T363" i="15" s="1"/>
  <c r="R831" i="13"/>
  <c r="R363" i="15" s="1"/>
  <c r="Q831" i="13"/>
  <c r="Q363" i="15" s="1"/>
  <c r="P831" i="13"/>
  <c r="P363" i="15" s="1"/>
  <c r="O831" i="13"/>
  <c r="O363" i="15" s="1"/>
  <c r="M831" i="13"/>
  <c r="M363" i="15" s="1"/>
  <c r="L831" i="13"/>
  <c r="L363" i="15" s="1"/>
  <c r="K831" i="13"/>
  <c r="K363" i="15" s="1"/>
  <c r="H831" i="13"/>
  <c r="H363" i="15" s="1"/>
  <c r="W830" i="13"/>
  <c r="W362" i="15" s="1"/>
  <c r="V830" i="13"/>
  <c r="V362" i="15" s="1"/>
  <c r="U830" i="13"/>
  <c r="U362" i="15" s="1"/>
  <c r="T830" i="13"/>
  <c r="T362" i="15" s="1"/>
  <c r="R830" i="13"/>
  <c r="R362" i="15" s="1"/>
  <c r="Q830" i="13"/>
  <c r="Q362" i="15" s="1"/>
  <c r="P830" i="13"/>
  <c r="P362" i="15" s="1"/>
  <c r="O830" i="13"/>
  <c r="O362" i="15" s="1"/>
  <c r="M830" i="13"/>
  <c r="M362" i="15" s="1"/>
  <c r="L830" i="13"/>
  <c r="L362" i="15" s="1"/>
  <c r="K830" i="13"/>
  <c r="K362" i="15" s="1"/>
  <c r="H830" i="13"/>
  <c r="H362" i="15" s="1"/>
  <c r="W829" i="13"/>
  <c r="W361" i="15" s="1"/>
  <c r="V829" i="13"/>
  <c r="V361" i="15" s="1"/>
  <c r="U829" i="13"/>
  <c r="U361" i="15" s="1"/>
  <c r="T829" i="13"/>
  <c r="T361" i="15" s="1"/>
  <c r="R829" i="13"/>
  <c r="R361" i="15" s="1"/>
  <c r="Q829" i="13"/>
  <c r="Q361" i="15" s="1"/>
  <c r="P829" i="13"/>
  <c r="P361" i="15" s="1"/>
  <c r="O829" i="13"/>
  <c r="O361" i="15" s="1"/>
  <c r="M829" i="13"/>
  <c r="M361" i="15" s="1"/>
  <c r="L829" i="13"/>
  <c r="L361" i="15" s="1"/>
  <c r="K829" i="13"/>
  <c r="K361" i="15" s="1"/>
  <c r="H829" i="13"/>
  <c r="H361" i="15" s="1"/>
  <c r="W827" i="13"/>
  <c r="W359" i="15" s="1"/>
  <c r="V827" i="13"/>
  <c r="V359" i="15" s="1"/>
  <c r="U827" i="13"/>
  <c r="U359" i="15" s="1"/>
  <c r="T827" i="13"/>
  <c r="T359" i="15" s="1"/>
  <c r="R827" i="13"/>
  <c r="R359" i="15" s="1"/>
  <c r="Q827" i="13"/>
  <c r="Q359" i="15" s="1"/>
  <c r="P827" i="13"/>
  <c r="P359" i="15" s="1"/>
  <c r="O827" i="13"/>
  <c r="O359" i="15" s="1"/>
  <c r="M827" i="13"/>
  <c r="M359" i="15" s="1"/>
  <c r="L827" i="13"/>
  <c r="L359" i="15" s="1"/>
  <c r="K827" i="13"/>
  <c r="K359" i="15" s="1"/>
  <c r="H827" i="13"/>
  <c r="H359" i="15" s="1"/>
  <c r="W826" i="13"/>
  <c r="W358" i="15" s="1"/>
  <c r="V826" i="13"/>
  <c r="V358" i="15" s="1"/>
  <c r="U826" i="13"/>
  <c r="U358" i="15" s="1"/>
  <c r="T826" i="13"/>
  <c r="T358" i="15" s="1"/>
  <c r="R826" i="13"/>
  <c r="R358" i="15" s="1"/>
  <c r="Q826" i="13"/>
  <c r="Q358" i="15" s="1"/>
  <c r="P826" i="13"/>
  <c r="P358" i="15" s="1"/>
  <c r="O826" i="13"/>
  <c r="O358" i="15" s="1"/>
  <c r="M826" i="13"/>
  <c r="M358" i="15" s="1"/>
  <c r="L826" i="13"/>
  <c r="L358" i="15" s="1"/>
  <c r="K826" i="13"/>
  <c r="K358" i="15" s="1"/>
  <c r="H826" i="13"/>
  <c r="H358" i="15" s="1"/>
  <c r="W825" i="13"/>
  <c r="W357" i="15" s="1"/>
  <c r="V825" i="13"/>
  <c r="V357" i="15" s="1"/>
  <c r="U825" i="13"/>
  <c r="U357" i="15" s="1"/>
  <c r="T825" i="13"/>
  <c r="T357" i="15" s="1"/>
  <c r="R825" i="13"/>
  <c r="R357" i="15" s="1"/>
  <c r="Q825" i="13"/>
  <c r="Q357" i="15" s="1"/>
  <c r="P825" i="13"/>
  <c r="P357" i="15" s="1"/>
  <c r="O825" i="13"/>
  <c r="O357" i="15" s="1"/>
  <c r="M825" i="13"/>
  <c r="M357" i="15" s="1"/>
  <c r="L825" i="13"/>
  <c r="L357" i="15" s="1"/>
  <c r="K825" i="13"/>
  <c r="K357" i="15" s="1"/>
  <c r="H825" i="13"/>
  <c r="H357" i="15" s="1"/>
  <c r="W824" i="13"/>
  <c r="W356" i="15" s="1"/>
  <c r="V824" i="13"/>
  <c r="V356" i="15" s="1"/>
  <c r="U824" i="13"/>
  <c r="U356" i="15" s="1"/>
  <c r="T824" i="13"/>
  <c r="T356" i="15" s="1"/>
  <c r="R824" i="13"/>
  <c r="R356" i="15" s="1"/>
  <c r="Q824" i="13"/>
  <c r="Q356" i="15" s="1"/>
  <c r="P824" i="13"/>
  <c r="P356" i="15" s="1"/>
  <c r="O824" i="13"/>
  <c r="O356" i="15" s="1"/>
  <c r="M824" i="13"/>
  <c r="M356" i="15" s="1"/>
  <c r="L824" i="13"/>
  <c r="L356" i="15" s="1"/>
  <c r="K824" i="13"/>
  <c r="K356" i="15" s="1"/>
  <c r="H824" i="13"/>
  <c r="H356" i="15" s="1"/>
  <c r="W823" i="13"/>
  <c r="W355" i="15" s="1"/>
  <c r="V823" i="13"/>
  <c r="V355" i="15" s="1"/>
  <c r="U823" i="13"/>
  <c r="U355" i="15" s="1"/>
  <c r="T823" i="13"/>
  <c r="T355" i="15" s="1"/>
  <c r="R823" i="13"/>
  <c r="R355" i="15" s="1"/>
  <c r="Q823" i="13"/>
  <c r="Q355" i="15" s="1"/>
  <c r="P823" i="13"/>
  <c r="P355" i="15" s="1"/>
  <c r="O823" i="13"/>
  <c r="O355" i="15" s="1"/>
  <c r="M823" i="13"/>
  <c r="M355" i="15" s="1"/>
  <c r="L823" i="13"/>
  <c r="L355" i="15" s="1"/>
  <c r="K823" i="13"/>
  <c r="K355" i="15" s="1"/>
  <c r="H823" i="13"/>
  <c r="H355" i="15" s="1"/>
  <c r="W822" i="13"/>
  <c r="W354" i="15" s="1"/>
  <c r="V822" i="13"/>
  <c r="V354" i="15" s="1"/>
  <c r="U822" i="13"/>
  <c r="U354" i="15" s="1"/>
  <c r="T822" i="13"/>
  <c r="T354" i="15" s="1"/>
  <c r="R822" i="13"/>
  <c r="R354" i="15" s="1"/>
  <c r="Q822" i="13"/>
  <c r="Q354" i="15" s="1"/>
  <c r="P822" i="13"/>
  <c r="P354" i="15" s="1"/>
  <c r="O822" i="13"/>
  <c r="O354" i="15" s="1"/>
  <c r="M822" i="13"/>
  <c r="M354" i="15" s="1"/>
  <c r="L822" i="13"/>
  <c r="L354" i="15" s="1"/>
  <c r="K822" i="13"/>
  <c r="K354" i="15" s="1"/>
  <c r="H822" i="13"/>
  <c r="H354" i="15" s="1"/>
  <c r="W821" i="13"/>
  <c r="W353" i="15" s="1"/>
  <c r="V821" i="13"/>
  <c r="V353" i="15" s="1"/>
  <c r="U821" i="13"/>
  <c r="U353" i="15" s="1"/>
  <c r="T821" i="13"/>
  <c r="T353" i="15" s="1"/>
  <c r="R821" i="13"/>
  <c r="R353" i="15" s="1"/>
  <c r="Q821" i="13"/>
  <c r="Q353" i="15" s="1"/>
  <c r="P821" i="13"/>
  <c r="P353" i="15" s="1"/>
  <c r="O821" i="13"/>
  <c r="O353" i="15" s="1"/>
  <c r="M821" i="13"/>
  <c r="M353" i="15" s="1"/>
  <c r="L821" i="13"/>
  <c r="L353" i="15" s="1"/>
  <c r="K821" i="13"/>
  <c r="K353" i="15" s="1"/>
  <c r="H821" i="13"/>
  <c r="H353" i="15" s="1"/>
  <c r="W819" i="13"/>
  <c r="W351" i="15" s="1"/>
  <c r="V819" i="13"/>
  <c r="V351" i="15" s="1"/>
  <c r="U819" i="13"/>
  <c r="U351" i="15" s="1"/>
  <c r="T819" i="13"/>
  <c r="T351" i="15" s="1"/>
  <c r="R819" i="13"/>
  <c r="R351" i="15" s="1"/>
  <c r="Q819" i="13"/>
  <c r="Q351" i="15" s="1"/>
  <c r="P819" i="13"/>
  <c r="P351" i="15" s="1"/>
  <c r="O819" i="13"/>
  <c r="O351" i="15" s="1"/>
  <c r="M819" i="13"/>
  <c r="M351" i="15" s="1"/>
  <c r="L819" i="13"/>
  <c r="L351" i="15" s="1"/>
  <c r="K819" i="13"/>
  <c r="K351" i="15" s="1"/>
  <c r="H819" i="13"/>
  <c r="H351" i="15" s="1"/>
  <c r="W818" i="13"/>
  <c r="W350" i="15" s="1"/>
  <c r="V818" i="13"/>
  <c r="V350" i="15" s="1"/>
  <c r="U818" i="13"/>
  <c r="U350" i="15" s="1"/>
  <c r="T818" i="13"/>
  <c r="T350" i="15" s="1"/>
  <c r="R818" i="13"/>
  <c r="R350" i="15" s="1"/>
  <c r="Q818" i="13"/>
  <c r="Q350" i="15" s="1"/>
  <c r="P818" i="13"/>
  <c r="P350" i="15" s="1"/>
  <c r="O818" i="13"/>
  <c r="O350" i="15" s="1"/>
  <c r="M818" i="13"/>
  <c r="M350" i="15" s="1"/>
  <c r="L818" i="13"/>
  <c r="L350" i="15" s="1"/>
  <c r="K818" i="13"/>
  <c r="K350" i="15" s="1"/>
  <c r="H818" i="13"/>
  <c r="H350" i="15" s="1"/>
  <c r="W817" i="13"/>
  <c r="W349" i="15" s="1"/>
  <c r="V817" i="13"/>
  <c r="V349" i="15" s="1"/>
  <c r="U817" i="13"/>
  <c r="U349" i="15" s="1"/>
  <c r="T817" i="13"/>
  <c r="T349" i="15" s="1"/>
  <c r="R817" i="13"/>
  <c r="R349" i="15" s="1"/>
  <c r="Q817" i="13"/>
  <c r="Q349" i="15" s="1"/>
  <c r="P817" i="13"/>
  <c r="P349" i="15" s="1"/>
  <c r="O817" i="13"/>
  <c r="O349" i="15" s="1"/>
  <c r="M817" i="13"/>
  <c r="M349" i="15" s="1"/>
  <c r="L817" i="13"/>
  <c r="L349" i="15" s="1"/>
  <c r="K817" i="13"/>
  <c r="K349" i="15" s="1"/>
  <c r="H817" i="13"/>
  <c r="W815" i="13"/>
  <c r="W347" i="15" s="1"/>
  <c r="V815" i="13"/>
  <c r="V347" i="15" s="1"/>
  <c r="U815" i="13"/>
  <c r="U347" i="15" s="1"/>
  <c r="T815" i="13"/>
  <c r="T347" i="15" s="1"/>
  <c r="R815" i="13"/>
  <c r="R347" i="15" s="1"/>
  <c r="Q815" i="13"/>
  <c r="Q347" i="15" s="1"/>
  <c r="P815" i="13"/>
  <c r="P347" i="15" s="1"/>
  <c r="O815" i="13"/>
  <c r="O347" i="15" s="1"/>
  <c r="M815" i="13"/>
  <c r="M347" i="15" s="1"/>
  <c r="L815" i="13"/>
  <c r="L347" i="15" s="1"/>
  <c r="K815" i="13"/>
  <c r="K347" i="15" s="1"/>
  <c r="H815" i="13"/>
  <c r="H347" i="15" s="1"/>
  <c r="W814" i="13"/>
  <c r="W346" i="15" s="1"/>
  <c r="W343" i="15" s="1"/>
  <c r="V814" i="13"/>
  <c r="U814" i="13"/>
  <c r="U346" i="15" s="1"/>
  <c r="U343" i="15" s="1"/>
  <c r="T814" i="13"/>
  <c r="R814" i="13"/>
  <c r="R346" i="15" s="1"/>
  <c r="R343" i="15" s="1"/>
  <c r="Q814" i="13"/>
  <c r="P814" i="13"/>
  <c r="P346" i="15" s="1"/>
  <c r="P343" i="15" s="1"/>
  <c r="O814" i="13"/>
  <c r="O346" i="15" s="1"/>
  <c r="M814" i="13"/>
  <c r="M346" i="15" s="1"/>
  <c r="M343" i="15" s="1"/>
  <c r="L814" i="13"/>
  <c r="K814" i="13"/>
  <c r="K346" i="15" s="1"/>
  <c r="K343" i="15" s="1"/>
  <c r="H814" i="13"/>
  <c r="H346" i="15" s="1"/>
  <c r="R811" i="13"/>
  <c r="W806" i="13"/>
  <c r="W338" i="15" s="1"/>
  <c r="V806" i="13"/>
  <c r="V338" i="15" s="1"/>
  <c r="U806" i="13"/>
  <c r="U338" i="15" s="1"/>
  <c r="T806" i="13"/>
  <c r="T338" i="15" s="1"/>
  <c r="R806" i="13"/>
  <c r="R338" i="15" s="1"/>
  <c r="Q806" i="13"/>
  <c r="Q338" i="15" s="1"/>
  <c r="P806" i="13"/>
  <c r="P338" i="15" s="1"/>
  <c r="O806" i="13"/>
  <c r="O338" i="15" s="1"/>
  <c r="M806" i="13"/>
  <c r="M338" i="15" s="1"/>
  <c r="L806" i="13"/>
  <c r="L338" i="15" s="1"/>
  <c r="K806" i="13"/>
  <c r="K338" i="15" s="1"/>
  <c r="H806" i="13"/>
  <c r="H338" i="15" s="1"/>
  <c r="W805" i="13"/>
  <c r="W337" i="15" s="1"/>
  <c r="V805" i="13"/>
  <c r="V337" i="15" s="1"/>
  <c r="U805" i="13"/>
  <c r="U337" i="15" s="1"/>
  <c r="T805" i="13"/>
  <c r="T337" i="15" s="1"/>
  <c r="R805" i="13"/>
  <c r="R337" i="15" s="1"/>
  <c r="Q805" i="13"/>
  <c r="Q337" i="15" s="1"/>
  <c r="P805" i="13"/>
  <c r="P337" i="15" s="1"/>
  <c r="O805" i="13"/>
  <c r="O337" i="15" s="1"/>
  <c r="M805" i="13"/>
  <c r="M337" i="15" s="1"/>
  <c r="L805" i="13"/>
  <c r="L337" i="15" s="1"/>
  <c r="K805" i="13"/>
  <c r="K337" i="15" s="1"/>
  <c r="H805" i="13"/>
  <c r="H337" i="15" s="1"/>
  <c r="W804" i="13"/>
  <c r="W336" i="15" s="1"/>
  <c r="V804" i="13"/>
  <c r="V336" i="15" s="1"/>
  <c r="U804" i="13"/>
  <c r="U336" i="15" s="1"/>
  <c r="T804" i="13"/>
  <c r="T336" i="15" s="1"/>
  <c r="R804" i="13"/>
  <c r="R336" i="15" s="1"/>
  <c r="Q804" i="13"/>
  <c r="Q336" i="15" s="1"/>
  <c r="P804" i="13"/>
  <c r="P336" i="15" s="1"/>
  <c r="O804" i="13"/>
  <c r="O336" i="15" s="1"/>
  <c r="M804" i="13"/>
  <c r="M336" i="15" s="1"/>
  <c r="L804" i="13"/>
  <c r="L336" i="15" s="1"/>
  <c r="K804" i="13"/>
  <c r="K336" i="15" s="1"/>
  <c r="H804" i="13"/>
  <c r="H336" i="15" s="1"/>
  <c r="W803" i="13"/>
  <c r="W335" i="15" s="1"/>
  <c r="V803" i="13"/>
  <c r="V335" i="15" s="1"/>
  <c r="U803" i="13"/>
  <c r="U335" i="15" s="1"/>
  <c r="T803" i="13"/>
  <c r="T335" i="15" s="1"/>
  <c r="R803" i="13"/>
  <c r="R335" i="15" s="1"/>
  <c r="Q803" i="13"/>
  <c r="Q335" i="15" s="1"/>
  <c r="P803" i="13"/>
  <c r="P335" i="15" s="1"/>
  <c r="O803" i="13"/>
  <c r="O335" i="15" s="1"/>
  <c r="M803" i="13"/>
  <c r="M335" i="15" s="1"/>
  <c r="L803" i="13"/>
  <c r="L335" i="15" s="1"/>
  <c r="K803" i="13"/>
  <c r="K335" i="15" s="1"/>
  <c r="H803" i="13"/>
  <c r="H335" i="15" s="1"/>
  <c r="W802" i="13"/>
  <c r="W334" i="15" s="1"/>
  <c r="V802" i="13"/>
  <c r="V334" i="15" s="1"/>
  <c r="U802" i="13"/>
  <c r="U334" i="15" s="1"/>
  <c r="T802" i="13"/>
  <c r="T334" i="15" s="1"/>
  <c r="R802" i="13"/>
  <c r="R334" i="15" s="1"/>
  <c r="Q802" i="13"/>
  <c r="Q334" i="15" s="1"/>
  <c r="P802" i="13"/>
  <c r="P334" i="15" s="1"/>
  <c r="O802" i="13"/>
  <c r="O334" i="15" s="1"/>
  <c r="M802" i="13"/>
  <c r="M334" i="15" s="1"/>
  <c r="L802" i="13"/>
  <c r="L334" i="15" s="1"/>
  <c r="K802" i="13"/>
  <c r="K334" i="15" s="1"/>
  <c r="H802" i="13"/>
  <c r="H334" i="15" s="1"/>
  <c r="W801" i="13"/>
  <c r="W333" i="15" s="1"/>
  <c r="V801" i="13"/>
  <c r="V333" i="15" s="1"/>
  <c r="U801" i="13"/>
  <c r="U333" i="15" s="1"/>
  <c r="T801" i="13"/>
  <c r="T333" i="15" s="1"/>
  <c r="R801" i="13"/>
  <c r="R333" i="15" s="1"/>
  <c r="Q801" i="13"/>
  <c r="Q333" i="15" s="1"/>
  <c r="P801" i="13"/>
  <c r="P333" i="15" s="1"/>
  <c r="O801" i="13"/>
  <c r="O333" i="15" s="1"/>
  <c r="M801" i="13"/>
  <c r="M333" i="15" s="1"/>
  <c r="L801" i="13"/>
  <c r="L333" i="15" s="1"/>
  <c r="K801" i="13"/>
  <c r="K333" i="15" s="1"/>
  <c r="H801" i="13"/>
  <c r="H333" i="15" s="1"/>
  <c r="W800" i="13"/>
  <c r="W332" i="15" s="1"/>
  <c r="V800" i="13"/>
  <c r="V332" i="15" s="1"/>
  <c r="U800" i="13"/>
  <c r="U332" i="15" s="1"/>
  <c r="T800" i="13"/>
  <c r="T332" i="15" s="1"/>
  <c r="R800" i="13"/>
  <c r="R332" i="15" s="1"/>
  <c r="Q800" i="13"/>
  <c r="Q332" i="15" s="1"/>
  <c r="P800" i="13"/>
  <c r="P332" i="15" s="1"/>
  <c r="O800" i="13"/>
  <c r="O332" i="15" s="1"/>
  <c r="M800" i="13"/>
  <c r="M332" i="15" s="1"/>
  <c r="L800" i="13"/>
  <c r="L332" i="15" s="1"/>
  <c r="K800" i="13"/>
  <c r="K332" i="15" s="1"/>
  <c r="H800" i="13"/>
  <c r="H332" i="15" s="1"/>
  <c r="W799" i="13"/>
  <c r="W331" i="15" s="1"/>
  <c r="V799" i="13"/>
  <c r="V331" i="15" s="1"/>
  <c r="U799" i="13"/>
  <c r="U331" i="15" s="1"/>
  <c r="T799" i="13"/>
  <c r="T331" i="15" s="1"/>
  <c r="R799" i="13"/>
  <c r="R331" i="15" s="1"/>
  <c r="Q799" i="13"/>
  <c r="Q331" i="15" s="1"/>
  <c r="P799" i="13"/>
  <c r="P331" i="15" s="1"/>
  <c r="O799" i="13"/>
  <c r="O331" i="15" s="1"/>
  <c r="M799" i="13"/>
  <c r="M331" i="15" s="1"/>
  <c r="L799" i="13"/>
  <c r="L331" i="15" s="1"/>
  <c r="K799" i="13"/>
  <c r="K331" i="15" s="1"/>
  <c r="H799" i="13"/>
  <c r="H331" i="15" s="1"/>
  <c r="W798" i="13"/>
  <c r="W330" i="15" s="1"/>
  <c r="V798" i="13"/>
  <c r="V330" i="15" s="1"/>
  <c r="U798" i="13"/>
  <c r="U330" i="15" s="1"/>
  <c r="T798" i="13"/>
  <c r="T330" i="15" s="1"/>
  <c r="R798" i="13"/>
  <c r="R330" i="15" s="1"/>
  <c r="Q798" i="13"/>
  <c r="Q330" i="15" s="1"/>
  <c r="P798" i="13"/>
  <c r="P330" i="15" s="1"/>
  <c r="O798" i="13"/>
  <c r="O330" i="15" s="1"/>
  <c r="M798" i="13"/>
  <c r="M330" i="15" s="1"/>
  <c r="L798" i="13"/>
  <c r="L330" i="15" s="1"/>
  <c r="K798" i="13"/>
  <c r="K330" i="15" s="1"/>
  <c r="H798" i="13"/>
  <c r="H330" i="15" s="1"/>
  <c r="W797" i="13"/>
  <c r="W329" i="15" s="1"/>
  <c r="V797" i="13"/>
  <c r="V329" i="15" s="1"/>
  <c r="U797" i="13"/>
  <c r="U329" i="15" s="1"/>
  <c r="T797" i="13"/>
  <c r="T329" i="15" s="1"/>
  <c r="R797" i="13"/>
  <c r="R329" i="15" s="1"/>
  <c r="Q797" i="13"/>
  <c r="Q329" i="15" s="1"/>
  <c r="P797" i="13"/>
  <c r="P329" i="15" s="1"/>
  <c r="O797" i="13"/>
  <c r="O329" i="15" s="1"/>
  <c r="M797" i="13"/>
  <c r="M329" i="15" s="1"/>
  <c r="L797" i="13"/>
  <c r="L329" i="15" s="1"/>
  <c r="K797" i="13"/>
  <c r="K329" i="15" s="1"/>
  <c r="H797" i="13"/>
  <c r="H329" i="15" s="1"/>
  <c r="W795" i="13"/>
  <c r="W327" i="15" s="1"/>
  <c r="V795" i="13"/>
  <c r="V327" i="15" s="1"/>
  <c r="U795" i="13"/>
  <c r="U327" i="15" s="1"/>
  <c r="T795" i="13"/>
  <c r="T327" i="15" s="1"/>
  <c r="R795" i="13"/>
  <c r="R327" i="15" s="1"/>
  <c r="Q795" i="13"/>
  <c r="Q327" i="15" s="1"/>
  <c r="P795" i="13"/>
  <c r="P327" i="15" s="1"/>
  <c r="O795" i="13"/>
  <c r="O327" i="15" s="1"/>
  <c r="M795" i="13"/>
  <c r="M327" i="15" s="1"/>
  <c r="L795" i="13"/>
  <c r="L327" i="15" s="1"/>
  <c r="K795" i="13"/>
  <c r="K327" i="15" s="1"/>
  <c r="H795" i="13"/>
  <c r="H327" i="15" s="1"/>
  <c r="W794" i="13"/>
  <c r="W326" i="15" s="1"/>
  <c r="V794" i="13"/>
  <c r="V326" i="15" s="1"/>
  <c r="U794" i="13"/>
  <c r="U326" i="15" s="1"/>
  <c r="T794" i="13"/>
  <c r="T326" i="15" s="1"/>
  <c r="R794" i="13"/>
  <c r="R326" i="15" s="1"/>
  <c r="Q794" i="13"/>
  <c r="Q326" i="15" s="1"/>
  <c r="P794" i="13"/>
  <c r="P326" i="15" s="1"/>
  <c r="O794" i="13"/>
  <c r="O326" i="15" s="1"/>
  <c r="M794" i="13"/>
  <c r="M326" i="15" s="1"/>
  <c r="L794" i="13"/>
  <c r="L326" i="15" s="1"/>
  <c r="K794" i="13"/>
  <c r="K326" i="15" s="1"/>
  <c r="H794" i="13"/>
  <c r="H326" i="15" s="1"/>
  <c r="W793" i="13"/>
  <c r="W325" i="15" s="1"/>
  <c r="V793" i="13"/>
  <c r="V325" i="15" s="1"/>
  <c r="U793" i="13"/>
  <c r="U325" i="15" s="1"/>
  <c r="T793" i="13"/>
  <c r="T325" i="15" s="1"/>
  <c r="R793" i="13"/>
  <c r="R325" i="15" s="1"/>
  <c r="Q793" i="13"/>
  <c r="Q325" i="15" s="1"/>
  <c r="P793" i="13"/>
  <c r="P325" i="15" s="1"/>
  <c r="O793" i="13"/>
  <c r="O325" i="15" s="1"/>
  <c r="M793" i="13"/>
  <c r="M325" i="15" s="1"/>
  <c r="L793" i="13"/>
  <c r="L325" i="15" s="1"/>
  <c r="K793" i="13"/>
  <c r="K325" i="15" s="1"/>
  <c r="H793" i="13"/>
  <c r="H325" i="15" s="1"/>
  <c r="W791" i="13"/>
  <c r="W323" i="15" s="1"/>
  <c r="V791" i="13"/>
  <c r="V323" i="15" s="1"/>
  <c r="U791" i="13"/>
  <c r="U323" i="15" s="1"/>
  <c r="T791" i="13"/>
  <c r="T323" i="15" s="1"/>
  <c r="R791" i="13"/>
  <c r="R323" i="15" s="1"/>
  <c r="Q791" i="13"/>
  <c r="Q323" i="15" s="1"/>
  <c r="P791" i="13"/>
  <c r="P323" i="15" s="1"/>
  <c r="O791" i="13"/>
  <c r="O323" i="15" s="1"/>
  <c r="M791" i="13"/>
  <c r="M323" i="15" s="1"/>
  <c r="L791" i="13"/>
  <c r="L323" i="15" s="1"/>
  <c r="K791" i="13"/>
  <c r="K323" i="15" s="1"/>
  <c r="H791" i="13"/>
  <c r="H323" i="15" s="1"/>
  <c r="W789" i="13"/>
  <c r="W321" i="15" s="1"/>
  <c r="V789" i="13"/>
  <c r="V321" i="15" s="1"/>
  <c r="U789" i="13"/>
  <c r="U321" i="15" s="1"/>
  <c r="T789" i="13"/>
  <c r="T321" i="15" s="1"/>
  <c r="R789" i="13"/>
  <c r="R321" i="15" s="1"/>
  <c r="Q789" i="13"/>
  <c r="Q321" i="15" s="1"/>
  <c r="P789" i="13"/>
  <c r="P321" i="15" s="1"/>
  <c r="O789" i="13"/>
  <c r="O321" i="15" s="1"/>
  <c r="M789" i="13"/>
  <c r="M321" i="15" s="1"/>
  <c r="L789" i="13"/>
  <c r="L321" i="15" s="1"/>
  <c r="K789" i="13"/>
  <c r="K321" i="15" s="1"/>
  <c r="H789" i="13"/>
  <c r="H321" i="15" s="1"/>
  <c r="W788" i="13"/>
  <c r="W320" i="15" s="1"/>
  <c r="V788" i="13"/>
  <c r="V320" i="15" s="1"/>
  <c r="U788" i="13"/>
  <c r="U320" i="15" s="1"/>
  <c r="T788" i="13"/>
  <c r="T320" i="15" s="1"/>
  <c r="R788" i="13"/>
  <c r="R320" i="15" s="1"/>
  <c r="Q788" i="13"/>
  <c r="Q320" i="15" s="1"/>
  <c r="P788" i="13"/>
  <c r="P320" i="15" s="1"/>
  <c r="O788" i="13"/>
  <c r="O320" i="15" s="1"/>
  <c r="M788" i="13"/>
  <c r="M320" i="15" s="1"/>
  <c r="L788" i="13"/>
  <c r="L320" i="15" s="1"/>
  <c r="K788" i="13"/>
  <c r="K320" i="15" s="1"/>
  <c r="H788" i="13"/>
  <c r="H320" i="15" s="1"/>
  <c r="W787" i="13"/>
  <c r="W319" i="15" s="1"/>
  <c r="V787" i="13"/>
  <c r="V319" i="15" s="1"/>
  <c r="U787" i="13"/>
  <c r="U319" i="15" s="1"/>
  <c r="T787" i="13"/>
  <c r="T319" i="15" s="1"/>
  <c r="R787" i="13"/>
  <c r="R319" i="15" s="1"/>
  <c r="Q787" i="13"/>
  <c r="Q319" i="15" s="1"/>
  <c r="P787" i="13"/>
  <c r="P319" i="15" s="1"/>
  <c r="O787" i="13"/>
  <c r="O319" i="15" s="1"/>
  <c r="M787" i="13"/>
  <c r="M319" i="15" s="1"/>
  <c r="L787" i="13"/>
  <c r="L319" i="15" s="1"/>
  <c r="K787" i="13"/>
  <c r="K319" i="15" s="1"/>
  <c r="H787" i="13"/>
  <c r="H319" i="15" s="1"/>
  <c r="W786" i="13"/>
  <c r="W318" i="15" s="1"/>
  <c r="V786" i="13"/>
  <c r="V318" i="15" s="1"/>
  <c r="U786" i="13"/>
  <c r="U318" i="15" s="1"/>
  <c r="T786" i="13"/>
  <c r="T318" i="15" s="1"/>
  <c r="R786" i="13"/>
  <c r="R318" i="15" s="1"/>
  <c r="Q786" i="13"/>
  <c r="Q318" i="15" s="1"/>
  <c r="P786" i="13"/>
  <c r="P318" i="15" s="1"/>
  <c r="O786" i="13"/>
  <c r="O318" i="15" s="1"/>
  <c r="M786" i="13"/>
  <c r="M318" i="15" s="1"/>
  <c r="L786" i="13"/>
  <c r="L318" i="15" s="1"/>
  <c r="K786" i="13"/>
  <c r="K318" i="15" s="1"/>
  <c r="H786" i="13"/>
  <c r="H318" i="15" s="1"/>
  <c r="W785" i="13"/>
  <c r="W317" i="15" s="1"/>
  <c r="V785" i="13"/>
  <c r="V317" i="15" s="1"/>
  <c r="U785" i="13"/>
  <c r="U317" i="15" s="1"/>
  <c r="T785" i="13"/>
  <c r="T317" i="15" s="1"/>
  <c r="R785" i="13"/>
  <c r="R317" i="15" s="1"/>
  <c r="Q785" i="13"/>
  <c r="Q317" i="15" s="1"/>
  <c r="P785" i="13"/>
  <c r="P317" i="15" s="1"/>
  <c r="O785" i="13"/>
  <c r="M785" i="13"/>
  <c r="M317" i="15" s="1"/>
  <c r="L785" i="13"/>
  <c r="L317" i="15" s="1"/>
  <c r="K785" i="13"/>
  <c r="K317" i="15" s="1"/>
  <c r="H785" i="13"/>
  <c r="H317" i="15" s="1"/>
  <c r="W784" i="13"/>
  <c r="W316" i="15" s="1"/>
  <c r="V784" i="13"/>
  <c r="V316" i="15" s="1"/>
  <c r="U784" i="13"/>
  <c r="U316" i="15" s="1"/>
  <c r="T784" i="13"/>
  <c r="T316" i="15" s="1"/>
  <c r="R784" i="13"/>
  <c r="R316" i="15" s="1"/>
  <c r="Q784" i="13"/>
  <c r="Q316" i="15" s="1"/>
  <c r="P784" i="13"/>
  <c r="P316" i="15" s="1"/>
  <c r="O784" i="13"/>
  <c r="O316" i="15" s="1"/>
  <c r="M784" i="13"/>
  <c r="M316" i="15" s="1"/>
  <c r="L784" i="13"/>
  <c r="L316" i="15" s="1"/>
  <c r="K784" i="13"/>
  <c r="K316" i="15" s="1"/>
  <c r="H784" i="13"/>
  <c r="H316" i="15" s="1"/>
  <c r="W783" i="13"/>
  <c r="W315" i="15" s="1"/>
  <c r="V783" i="13"/>
  <c r="V315" i="15" s="1"/>
  <c r="U783" i="13"/>
  <c r="U315" i="15" s="1"/>
  <c r="T783" i="13"/>
  <c r="T315" i="15" s="1"/>
  <c r="R783" i="13"/>
  <c r="R315" i="15" s="1"/>
  <c r="Q783" i="13"/>
  <c r="Q315" i="15" s="1"/>
  <c r="P783" i="13"/>
  <c r="P315" i="15" s="1"/>
  <c r="O783" i="13"/>
  <c r="O315" i="15" s="1"/>
  <c r="M783" i="13"/>
  <c r="M315" i="15" s="1"/>
  <c r="L783" i="13"/>
  <c r="L315" i="15" s="1"/>
  <c r="K783" i="13"/>
  <c r="K315" i="15" s="1"/>
  <c r="H783" i="13"/>
  <c r="H315" i="15" s="1"/>
  <c r="W782" i="13"/>
  <c r="W314" i="15" s="1"/>
  <c r="V782" i="13"/>
  <c r="V314" i="15" s="1"/>
  <c r="U782" i="13"/>
  <c r="U314" i="15" s="1"/>
  <c r="T782" i="13"/>
  <c r="T314" i="15" s="1"/>
  <c r="R782" i="13"/>
  <c r="R314" i="15" s="1"/>
  <c r="Q782" i="13"/>
  <c r="Q314" i="15" s="1"/>
  <c r="P782" i="13"/>
  <c r="P314" i="15" s="1"/>
  <c r="O782" i="13"/>
  <c r="O314" i="15" s="1"/>
  <c r="M782" i="13"/>
  <c r="M314" i="15" s="1"/>
  <c r="L782" i="13"/>
  <c r="L314" i="15" s="1"/>
  <c r="K782" i="13"/>
  <c r="K314" i="15" s="1"/>
  <c r="H782" i="13"/>
  <c r="H314" i="15" s="1"/>
  <c r="W781" i="13"/>
  <c r="W313" i="15" s="1"/>
  <c r="V781" i="13"/>
  <c r="V313" i="15" s="1"/>
  <c r="U781" i="13"/>
  <c r="U313" i="15" s="1"/>
  <c r="T781" i="13"/>
  <c r="T313" i="15" s="1"/>
  <c r="R781" i="13"/>
  <c r="R313" i="15" s="1"/>
  <c r="Q781" i="13"/>
  <c r="Q313" i="15" s="1"/>
  <c r="P781" i="13"/>
  <c r="P313" i="15" s="1"/>
  <c r="O781" i="13"/>
  <c r="O313" i="15" s="1"/>
  <c r="M781" i="13"/>
  <c r="M313" i="15" s="1"/>
  <c r="L781" i="13"/>
  <c r="L313" i="15" s="1"/>
  <c r="K781" i="13"/>
  <c r="K313" i="15" s="1"/>
  <c r="H781" i="13"/>
  <c r="H313" i="15" s="1"/>
  <c r="W780" i="13"/>
  <c r="W312" i="15" s="1"/>
  <c r="V780" i="13"/>
  <c r="V312" i="15" s="1"/>
  <c r="U780" i="13"/>
  <c r="U312" i="15" s="1"/>
  <c r="T780" i="13"/>
  <c r="T312" i="15" s="1"/>
  <c r="R780" i="13"/>
  <c r="R312" i="15" s="1"/>
  <c r="Q780" i="13"/>
  <c r="Q312" i="15" s="1"/>
  <c r="P780" i="13"/>
  <c r="P312" i="15" s="1"/>
  <c r="O780" i="13"/>
  <c r="O312" i="15" s="1"/>
  <c r="M780" i="13"/>
  <c r="M312" i="15" s="1"/>
  <c r="L780" i="13"/>
  <c r="L312" i="15" s="1"/>
  <c r="K780" i="13"/>
  <c r="K312" i="15" s="1"/>
  <c r="H780" i="13"/>
  <c r="H312" i="15" s="1"/>
  <c r="W779" i="13"/>
  <c r="W311" i="15" s="1"/>
  <c r="V779" i="13"/>
  <c r="V311" i="15" s="1"/>
  <c r="U779" i="13"/>
  <c r="U311" i="15" s="1"/>
  <c r="T779" i="13"/>
  <c r="T311" i="15" s="1"/>
  <c r="R779" i="13"/>
  <c r="R311" i="15" s="1"/>
  <c r="Q779" i="13"/>
  <c r="Q311" i="15" s="1"/>
  <c r="P779" i="13"/>
  <c r="P311" i="15" s="1"/>
  <c r="O779" i="13"/>
  <c r="O311" i="15" s="1"/>
  <c r="M779" i="13"/>
  <c r="M311" i="15" s="1"/>
  <c r="L779" i="13"/>
  <c r="L311" i="15" s="1"/>
  <c r="K779" i="13"/>
  <c r="K311" i="15" s="1"/>
  <c r="H779" i="13"/>
  <c r="H311" i="15" s="1"/>
  <c r="W778" i="13"/>
  <c r="W310" i="15" s="1"/>
  <c r="V778" i="13"/>
  <c r="V310" i="15" s="1"/>
  <c r="U778" i="13"/>
  <c r="U310" i="15" s="1"/>
  <c r="T778" i="13"/>
  <c r="T310" i="15" s="1"/>
  <c r="R778" i="13"/>
  <c r="R310" i="15" s="1"/>
  <c r="Q778" i="13"/>
  <c r="Q310" i="15" s="1"/>
  <c r="P778" i="13"/>
  <c r="P310" i="15" s="1"/>
  <c r="O778" i="13"/>
  <c r="O310" i="15" s="1"/>
  <c r="M778" i="13"/>
  <c r="M310" i="15" s="1"/>
  <c r="L778" i="13"/>
  <c r="L310" i="15" s="1"/>
  <c r="K778" i="13"/>
  <c r="K310" i="15" s="1"/>
  <c r="H778" i="13"/>
  <c r="H310" i="15" s="1"/>
  <c r="W777" i="13"/>
  <c r="W309" i="15" s="1"/>
  <c r="V777" i="13"/>
  <c r="V309" i="15" s="1"/>
  <c r="U777" i="13"/>
  <c r="U309" i="15" s="1"/>
  <c r="T777" i="13"/>
  <c r="T309" i="15" s="1"/>
  <c r="R777" i="13"/>
  <c r="R309" i="15" s="1"/>
  <c r="Q777" i="13"/>
  <c r="Q309" i="15" s="1"/>
  <c r="P777" i="13"/>
  <c r="P309" i="15" s="1"/>
  <c r="O777" i="13"/>
  <c r="O309" i="15" s="1"/>
  <c r="M777" i="13"/>
  <c r="M309" i="15" s="1"/>
  <c r="L777" i="13"/>
  <c r="L309" i="15" s="1"/>
  <c r="K777" i="13"/>
  <c r="K309" i="15" s="1"/>
  <c r="H777" i="13"/>
  <c r="H309" i="15" s="1"/>
  <c r="W776" i="13"/>
  <c r="W308" i="15" s="1"/>
  <c r="V776" i="13"/>
  <c r="V308" i="15" s="1"/>
  <c r="U776" i="13"/>
  <c r="U308" i="15" s="1"/>
  <c r="T776" i="13"/>
  <c r="T308" i="15" s="1"/>
  <c r="R776" i="13"/>
  <c r="R308" i="15" s="1"/>
  <c r="Q776" i="13"/>
  <c r="Q308" i="15" s="1"/>
  <c r="P776" i="13"/>
  <c r="P308" i="15" s="1"/>
  <c r="O776" i="13"/>
  <c r="O308" i="15" s="1"/>
  <c r="M776" i="13"/>
  <c r="M308" i="15" s="1"/>
  <c r="L776" i="13"/>
  <c r="L308" i="15" s="1"/>
  <c r="K776" i="13"/>
  <c r="K308" i="15" s="1"/>
  <c r="H776" i="13"/>
  <c r="H308" i="15" s="1"/>
  <c r="W775" i="13"/>
  <c r="W307" i="15" s="1"/>
  <c r="V775" i="13"/>
  <c r="V307" i="15" s="1"/>
  <c r="U775" i="13"/>
  <c r="U307" i="15" s="1"/>
  <c r="T775" i="13"/>
  <c r="T307" i="15" s="1"/>
  <c r="R775" i="13"/>
  <c r="R307" i="15" s="1"/>
  <c r="Q775" i="13"/>
  <c r="Q307" i="15" s="1"/>
  <c r="P775" i="13"/>
  <c r="P307" i="15" s="1"/>
  <c r="O775" i="13"/>
  <c r="O307" i="15" s="1"/>
  <c r="M775" i="13"/>
  <c r="M307" i="15" s="1"/>
  <c r="L775" i="13"/>
  <c r="L307" i="15" s="1"/>
  <c r="K775" i="13"/>
  <c r="K307" i="15" s="1"/>
  <c r="H775" i="13"/>
  <c r="H307" i="15" s="1"/>
  <c r="W774" i="13"/>
  <c r="W306" i="15" s="1"/>
  <c r="V774" i="13"/>
  <c r="V306" i="15" s="1"/>
  <c r="U774" i="13"/>
  <c r="U306" i="15" s="1"/>
  <c r="T774" i="13"/>
  <c r="T306" i="15" s="1"/>
  <c r="R774" i="13"/>
  <c r="R306" i="15" s="1"/>
  <c r="Q774" i="13"/>
  <c r="Q306" i="15" s="1"/>
  <c r="P774" i="13"/>
  <c r="P306" i="15" s="1"/>
  <c r="O774" i="13"/>
  <c r="O306" i="15" s="1"/>
  <c r="M774" i="13"/>
  <c r="M306" i="15" s="1"/>
  <c r="L774" i="13"/>
  <c r="L306" i="15" s="1"/>
  <c r="K774" i="13"/>
  <c r="K306" i="15" s="1"/>
  <c r="H774" i="13"/>
  <c r="H306" i="15" s="1"/>
  <c r="W772" i="13"/>
  <c r="W304" i="15" s="1"/>
  <c r="V772" i="13"/>
  <c r="V304" i="15" s="1"/>
  <c r="U772" i="13"/>
  <c r="U304" i="15" s="1"/>
  <c r="T772" i="13"/>
  <c r="T304" i="15" s="1"/>
  <c r="R772" i="13"/>
  <c r="R304" i="15" s="1"/>
  <c r="Q772" i="13"/>
  <c r="Q304" i="15" s="1"/>
  <c r="P772" i="13"/>
  <c r="P304" i="15" s="1"/>
  <c r="O772" i="13"/>
  <c r="O304" i="15" s="1"/>
  <c r="M772" i="13"/>
  <c r="M304" i="15" s="1"/>
  <c r="L772" i="13"/>
  <c r="L304" i="15" s="1"/>
  <c r="K772" i="13"/>
  <c r="K304" i="15" s="1"/>
  <c r="H772" i="13"/>
  <c r="H304" i="15" s="1"/>
  <c r="W771" i="13"/>
  <c r="W303" i="15" s="1"/>
  <c r="V771" i="13"/>
  <c r="V303" i="15" s="1"/>
  <c r="U771" i="13"/>
  <c r="U303" i="15" s="1"/>
  <c r="T771" i="13"/>
  <c r="T303" i="15" s="1"/>
  <c r="R771" i="13"/>
  <c r="R303" i="15" s="1"/>
  <c r="Q771" i="13"/>
  <c r="Q303" i="15" s="1"/>
  <c r="P771" i="13"/>
  <c r="P303" i="15" s="1"/>
  <c r="O771" i="13"/>
  <c r="O303" i="15" s="1"/>
  <c r="M771" i="13"/>
  <c r="M303" i="15" s="1"/>
  <c r="L771" i="13"/>
  <c r="L303" i="15" s="1"/>
  <c r="K771" i="13"/>
  <c r="K303" i="15" s="1"/>
  <c r="H771" i="13"/>
  <c r="H303" i="15" s="1"/>
  <c r="W770" i="13"/>
  <c r="W302" i="15" s="1"/>
  <c r="V770" i="13"/>
  <c r="V302" i="15" s="1"/>
  <c r="U770" i="13"/>
  <c r="U302" i="15" s="1"/>
  <c r="T770" i="13"/>
  <c r="T302" i="15" s="1"/>
  <c r="R770" i="13"/>
  <c r="R302" i="15" s="1"/>
  <c r="Q770" i="13"/>
  <c r="Q302" i="15" s="1"/>
  <c r="P770" i="13"/>
  <c r="P302" i="15" s="1"/>
  <c r="O770" i="13"/>
  <c r="O302" i="15" s="1"/>
  <c r="M770" i="13"/>
  <c r="M302" i="15" s="1"/>
  <c r="L770" i="13"/>
  <c r="L302" i="15" s="1"/>
  <c r="K770" i="13"/>
  <c r="K302" i="15" s="1"/>
  <c r="H770" i="13"/>
  <c r="H302" i="15" s="1"/>
  <c r="W768" i="13"/>
  <c r="W300" i="15" s="1"/>
  <c r="V768" i="13"/>
  <c r="V300" i="15" s="1"/>
  <c r="U768" i="13"/>
  <c r="U300" i="15" s="1"/>
  <c r="T768" i="13"/>
  <c r="T300" i="15" s="1"/>
  <c r="R768" i="13"/>
  <c r="R300" i="15" s="1"/>
  <c r="Q768" i="13"/>
  <c r="Q300" i="15" s="1"/>
  <c r="P768" i="13"/>
  <c r="P300" i="15" s="1"/>
  <c r="O768" i="13"/>
  <c r="O300" i="15" s="1"/>
  <c r="M768" i="13"/>
  <c r="M300" i="15" s="1"/>
  <c r="L768" i="13"/>
  <c r="L300" i="15" s="1"/>
  <c r="K768" i="13"/>
  <c r="K300" i="15" s="1"/>
  <c r="H768" i="13"/>
  <c r="H300" i="15" s="1"/>
  <c r="W766" i="13"/>
  <c r="W298" i="15" s="1"/>
  <c r="V766" i="13"/>
  <c r="V298" i="15" s="1"/>
  <c r="U766" i="13"/>
  <c r="U298" i="15" s="1"/>
  <c r="T766" i="13"/>
  <c r="T298" i="15" s="1"/>
  <c r="R766" i="13"/>
  <c r="R298" i="15" s="1"/>
  <c r="Q766" i="13"/>
  <c r="Q298" i="15" s="1"/>
  <c r="P766" i="13"/>
  <c r="P298" i="15" s="1"/>
  <c r="O766" i="13"/>
  <c r="O298" i="15" s="1"/>
  <c r="M766" i="13"/>
  <c r="M298" i="15" s="1"/>
  <c r="L766" i="13"/>
  <c r="L298" i="15" s="1"/>
  <c r="K766" i="13"/>
  <c r="K298" i="15" s="1"/>
  <c r="H766" i="13"/>
  <c r="H298" i="15" s="1"/>
  <c r="W765" i="13"/>
  <c r="W297" i="15" s="1"/>
  <c r="V765" i="13"/>
  <c r="V297" i="15" s="1"/>
  <c r="U765" i="13"/>
  <c r="U297" i="15" s="1"/>
  <c r="T765" i="13"/>
  <c r="T297" i="15" s="1"/>
  <c r="R765" i="13"/>
  <c r="R297" i="15" s="1"/>
  <c r="Q765" i="13"/>
  <c r="Q297" i="15" s="1"/>
  <c r="P765" i="13"/>
  <c r="P297" i="15" s="1"/>
  <c r="O765" i="13"/>
  <c r="O297" i="15" s="1"/>
  <c r="M765" i="13"/>
  <c r="M297" i="15" s="1"/>
  <c r="L765" i="13"/>
  <c r="L297" i="15" s="1"/>
  <c r="K765" i="13"/>
  <c r="K297" i="15" s="1"/>
  <c r="H765" i="13"/>
  <c r="H297" i="15" s="1"/>
  <c r="W764" i="13"/>
  <c r="W296" i="15" s="1"/>
  <c r="V764" i="13"/>
  <c r="V296" i="15" s="1"/>
  <c r="U764" i="13"/>
  <c r="U296" i="15" s="1"/>
  <c r="T764" i="13"/>
  <c r="T296" i="15" s="1"/>
  <c r="R764" i="13"/>
  <c r="R296" i="15" s="1"/>
  <c r="Q764" i="13"/>
  <c r="Q296" i="15" s="1"/>
  <c r="P764" i="13"/>
  <c r="P296" i="15" s="1"/>
  <c r="O764" i="13"/>
  <c r="O296" i="15" s="1"/>
  <c r="M764" i="13"/>
  <c r="M296" i="15" s="1"/>
  <c r="L764" i="13"/>
  <c r="L296" i="15" s="1"/>
  <c r="K764" i="13"/>
  <c r="K296" i="15" s="1"/>
  <c r="H764" i="13"/>
  <c r="H296" i="15" s="1"/>
  <c r="W763" i="13"/>
  <c r="W295" i="15" s="1"/>
  <c r="V763" i="13"/>
  <c r="V295" i="15" s="1"/>
  <c r="U763" i="13"/>
  <c r="U295" i="15" s="1"/>
  <c r="T763" i="13"/>
  <c r="T295" i="15" s="1"/>
  <c r="R763" i="13"/>
  <c r="R295" i="15" s="1"/>
  <c r="Q763" i="13"/>
  <c r="Q295" i="15" s="1"/>
  <c r="P763" i="13"/>
  <c r="P295" i="15" s="1"/>
  <c r="O763" i="13"/>
  <c r="O295" i="15" s="1"/>
  <c r="M763" i="13"/>
  <c r="M295" i="15" s="1"/>
  <c r="L763" i="13"/>
  <c r="L295" i="15" s="1"/>
  <c r="K763" i="13"/>
  <c r="K295" i="15" s="1"/>
  <c r="H763" i="13"/>
  <c r="H295" i="15" s="1"/>
  <c r="W761" i="13"/>
  <c r="W293" i="15" s="1"/>
  <c r="V761" i="13"/>
  <c r="V293" i="15" s="1"/>
  <c r="U761" i="13"/>
  <c r="U293" i="15" s="1"/>
  <c r="T761" i="13"/>
  <c r="T293" i="15" s="1"/>
  <c r="R761" i="13"/>
  <c r="R293" i="15" s="1"/>
  <c r="Q761" i="13"/>
  <c r="Q293" i="15" s="1"/>
  <c r="P761" i="13"/>
  <c r="P293" i="15" s="1"/>
  <c r="O761" i="13"/>
  <c r="O293" i="15" s="1"/>
  <c r="M761" i="13"/>
  <c r="M293" i="15" s="1"/>
  <c r="L761" i="13"/>
  <c r="L293" i="15" s="1"/>
  <c r="K761" i="13"/>
  <c r="K293" i="15" s="1"/>
  <c r="H761" i="13"/>
  <c r="H293" i="15" s="1"/>
  <c r="W759" i="13"/>
  <c r="W291" i="15" s="1"/>
  <c r="V759" i="13"/>
  <c r="V291" i="15" s="1"/>
  <c r="U759" i="13"/>
  <c r="U291" i="15" s="1"/>
  <c r="T759" i="13"/>
  <c r="T291" i="15" s="1"/>
  <c r="R759" i="13"/>
  <c r="R291" i="15" s="1"/>
  <c r="Q759" i="13"/>
  <c r="Q291" i="15" s="1"/>
  <c r="P759" i="13"/>
  <c r="P291" i="15" s="1"/>
  <c r="O759" i="13"/>
  <c r="O291" i="15" s="1"/>
  <c r="M759" i="13"/>
  <c r="M291" i="15" s="1"/>
  <c r="L759" i="13"/>
  <c r="L291" i="15" s="1"/>
  <c r="K759" i="13"/>
  <c r="K291" i="15" s="1"/>
  <c r="H759" i="13"/>
  <c r="H291" i="15" s="1"/>
  <c r="W758" i="13"/>
  <c r="W290" i="15" s="1"/>
  <c r="V758" i="13"/>
  <c r="V290" i="15" s="1"/>
  <c r="U758" i="13"/>
  <c r="U290" i="15" s="1"/>
  <c r="T758" i="13"/>
  <c r="T290" i="15" s="1"/>
  <c r="R758" i="13"/>
  <c r="R290" i="15" s="1"/>
  <c r="Q758" i="13"/>
  <c r="Q290" i="15" s="1"/>
  <c r="P758" i="13"/>
  <c r="P290" i="15" s="1"/>
  <c r="O758" i="13"/>
  <c r="O290" i="15" s="1"/>
  <c r="M758" i="13"/>
  <c r="M290" i="15" s="1"/>
  <c r="L758" i="13"/>
  <c r="L290" i="15" s="1"/>
  <c r="K758" i="13"/>
  <c r="K290" i="15" s="1"/>
  <c r="H758" i="13"/>
  <c r="H290" i="15" s="1"/>
  <c r="W757" i="13"/>
  <c r="W289" i="15" s="1"/>
  <c r="V757" i="13"/>
  <c r="V289" i="15" s="1"/>
  <c r="U757" i="13"/>
  <c r="U289" i="15" s="1"/>
  <c r="T757" i="13"/>
  <c r="T289" i="15" s="1"/>
  <c r="R757" i="13"/>
  <c r="R289" i="15" s="1"/>
  <c r="Q757" i="13"/>
  <c r="Q289" i="15" s="1"/>
  <c r="P757" i="13"/>
  <c r="P289" i="15" s="1"/>
  <c r="O757" i="13"/>
  <c r="O289" i="15" s="1"/>
  <c r="M757" i="13"/>
  <c r="M289" i="15" s="1"/>
  <c r="L757" i="13"/>
  <c r="L289" i="15" s="1"/>
  <c r="K757" i="13"/>
  <c r="K289" i="15" s="1"/>
  <c r="H757" i="13"/>
  <c r="H289" i="15" s="1"/>
  <c r="W756" i="13"/>
  <c r="W288" i="15" s="1"/>
  <c r="V756" i="13"/>
  <c r="V288" i="15" s="1"/>
  <c r="U756" i="13"/>
  <c r="U288" i="15" s="1"/>
  <c r="T756" i="13"/>
  <c r="T288" i="15" s="1"/>
  <c r="R756" i="13"/>
  <c r="R288" i="15" s="1"/>
  <c r="Q756" i="13"/>
  <c r="Q288" i="15" s="1"/>
  <c r="P756" i="13"/>
  <c r="P288" i="15" s="1"/>
  <c r="O756" i="13"/>
  <c r="O288" i="15" s="1"/>
  <c r="M756" i="13"/>
  <c r="M288" i="15" s="1"/>
  <c r="L756" i="13"/>
  <c r="L288" i="15" s="1"/>
  <c r="K756" i="13"/>
  <c r="K288" i="15" s="1"/>
  <c r="H756" i="13"/>
  <c r="H288" i="15" s="1"/>
  <c r="W755" i="13"/>
  <c r="W287" i="15" s="1"/>
  <c r="V755" i="13"/>
  <c r="V287" i="15" s="1"/>
  <c r="U755" i="13"/>
  <c r="U287" i="15" s="1"/>
  <c r="T755" i="13"/>
  <c r="T287" i="15" s="1"/>
  <c r="R755" i="13"/>
  <c r="R287" i="15" s="1"/>
  <c r="Q755" i="13"/>
  <c r="Q287" i="15" s="1"/>
  <c r="P755" i="13"/>
  <c r="P287" i="15" s="1"/>
  <c r="O755" i="13"/>
  <c r="O287" i="15" s="1"/>
  <c r="M755" i="13"/>
  <c r="M287" i="15" s="1"/>
  <c r="L755" i="13"/>
  <c r="L287" i="15" s="1"/>
  <c r="K755" i="13"/>
  <c r="K287" i="15" s="1"/>
  <c r="H755" i="13"/>
  <c r="H287" i="15" s="1"/>
  <c r="W753" i="13"/>
  <c r="W285" i="15" s="1"/>
  <c r="V753" i="13"/>
  <c r="V285" i="15" s="1"/>
  <c r="U753" i="13"/>
  <c r="U285" i="15" s="1"/>
  <c r="T753" i="13"/>
  <c r="T285" i="15" s="1"/>
  <c r="R753" i="13"/>
  <c r="R285" i="15" s="1"/>
  <c r="Q753" i="13"/>
  <c r="Q285" i="15" s="1"/>
  <c r="P753" i="13"/>
  <c r="P285" i="15" s="1"/>
  <c r="O753" i="13"/>
  <c r="O285" i="15" s="1"/>
  <c r="M753" i="13"/>
  <c r="M285" i="15" s="1"/>
  <c r="L753" i="13"/>
  <c r="L285" i="15" s="1"/>
  <c r="K753" i="13"/>
  <c r="K285" i="15" s="1"/>
  <c r="H753" i="13"/>
  <c r="H285" i="15" s="1"/>
  <c r="W752" i="13"/>
  <c r="W284" i="15" s="1"/>
  <c r="V752" i="13"/>
  <c r="V284" i="15" s="1"/>
  <c r="U752" i="13"/>
  <c r="U284" i="15" s="1"/>
  <c r="T752" i="13"/>
  <c r="T284" i="15" s="1"/>
  <c r="R752" i="13"/>
  <c r="R284" i="15" s="1"/>
  <c r="Q752" i="13"/>
  <c r="Q284" i="15" s="1"/>
  <c r="P752" i="13"/>
  <c r="P284" i="15" s="1"/>
  <c r="O752" i="13"/>
  <c r="O284" i="15" s="1"/>
  <c r="M752" i="13"/>
  <c r="M284" i="15" s="1"/>
  <c r="L752" i="13"/>
  <c r="L284" i="15" s="1"/>
  <c r="K752" i="13"/>
  <c r="K284" i="15" s="1"/>
  <c r="H752" i="13"/>
  <c r="H284" i="15" s="1"/>
  <c r="W750" i="13"/>
  <c r="W282" i="15" s="1"/>
  <c r="V750" i="13"/>
  <c r="V282" i="15" s="1"/>
  <c r="U750" i="13"/>
  <c r="U282" i="15" s="1"/>
  <c r="T750" i="13"/>
  <c r="T282" i="15" s="1"/>
  <c r="R750" i="13"/>
  <c r="R282" i="15" s="1"/>
  <c r="Q750" i="13"/>
  <c r="Q282" i="15" s="1"/>
  <c r="P750" i="13"/>
  <c r="P282" i="15" s="1"/>
  <c r="O750" i="13"/>
  <c r="O282" i="15" s="1"/>
  <c r="M750" i="13"/>
  <c r="M282" i="15" s="1"/>
  <c r="L750" i="13"/>
  <c r="L282" i="15" s="1"/>
  <c r="K750" i="13"/>
  <c r="K282" i="15" s="1"/>
  <c r="H750" i="13"/>
  <c r="H282" i="15" s="1"/>
  <c r="W749" i="13"/>
  <c r="W281" i="15" s="1"/>
  <c r="V749" i="13"/>
  <c r="V281" i="15" s="1"/>
  <c r="U749" i="13"/>
  <c r="U281" i="15" s="1"/>
  <c r="T749" i="13"/>
  <c r="T281" i="15" s="1"/>
  <c r="R749" i="13"/>
  <c r="R281" i="15" s="1"/>
  <c r="Q749" i="13"/>
  <c r="Q281" i="15" s="1"/>
  <c r="P749" i="13"/>
  <c r="P281" i="15" s="1"/>
  <c r="O749" i="13"/>
  <c r="O281" i="15" s="1"/>
  <c r="M749" i="13"/>
  <c r="M281" i="15" s="1"/>
  <c r="L749" i="13"/>
  <c r="L281" i="15" s="1"/>
  <c r="K749" i="13"/>
  <c r="K281" i="15" s="1"/>
  <c r="H749" i="13"/>
  <c r="H281" i="15" s="1"/>
  <c r="W748" i="13"/>
  <c r="W280" i="15" s="1"/>
  <c r="V748" i="13"/>
  <c r="V280" i="15" s="1"/>
  <c r="U748" i="13"/>
  <c r="U280" i="15" s="1"/>
  <c r="T748" i="13"/>
  <c r="T280" i="15" s="1"/>
  <c r="R748" i="13"/>
  <c r="R280" i="15" s="1"/>
  <c r="Q748" i="13"/>
  <c r="Q280" i="15" s="1"/>
  <c r="P748" i="13"/>
  <c r="P280" i="15" s="1"/>
  <c r="O748" i="13"/>
  <c r="O280" i="15" s="1"/>
  <c r="M748" i="13"/>
  <c r="M280" i="15" s="1"/>
  <c r="L748" i="13"/>
  <c r="L280" i="15" s="1"/>
  <c r="K748" i="13"/>
  <c r="K280" i="15" s="1"/>
  <c r="H748" i="13"/>
  <c r="H280" i="15" s="1"/>
  <c r="W747" i="13"/>
  <c r="W279" i="15" s="1"/>
  <c r="V747" i="13"/>
  <c r="V279" i="15" s="1"/>
  <c r="U747" i="13"/>
  <c r="U279" i="15" s="1"/>
  <c r="T747" i="13"/>
  <c r="T279" i="15" s="1"/>
  <c r="R747" i="13"/>
  <c r="R279" i="15" s="1"/>
  <c r="Q747" i="13"/>
  <c r="Q279" i="15" s="1"/>
  <c r="P747" i="13"/>
  <c r="P279" i="15" s="1"/>
  <c r="O747" i="13"/>
  <c r="O279" i="15" s="1"/>
  <c r="M747" i="13"/>
  <c r="M279" i="15" s="1"/>
  <c r="L747" i="13"/>
  <c r="L279" i="15" s="1"/>
  <c r="K747" i="13"/>
  <c r="K279" i="15" s="1"/>
  <c r="H747" i="13"/>
  <c r="H279" i="15" s="1"/>
  <c r="W746" i="13"/>
  <c r="W278" i="15" s="1"/>
  <c r="V746" i="13"/>
  <c r="V278" i="15" s="1"/>
  <c r="U746" i="13"/>
  <c r="U278" i="15" s="1"/>
  <c r="T746" i="13"/>
  <c r="T278" i="15" s="1"/>
  <c r="R746" i="13"/>
  <c r="R278" i="15" s="1"/>
  <c r="Q746" i="13"/>
  <c r="Q278" i="15" s="1"/>
  <c r="P746" i="13"/>
  <c r="P278" i="15" s="1"/>
  <c r="O746" i="13"/>
  <c r="O278" i="15" s="1"/>
  <c r="M746" i="13"/>
  <c r="M278" i="15" s="1"/>
  <c r="L746" i="13"/>
  <c r="L278" i="15" s="1"/>
  <c r="K746" i="13"/>
  <c r="K278" i="15" s="1"/>
  <c r="H746" i="13"/>
  <c r="H278" i="15" s="1"/>
  <c r="W745" i="13"/>
  <c r="W277" i="15" s="1"/>
  <c r="V745" i="13"/>
  <c r="V277" i="15" s="1"/>
  <c r="U745" i="13"/>
  <c r="U277" i="15" s="1"/>
  <c r="T745" i="13"/>
  <c r="T277" i="15" s="1"/>
  <c r="R745" i="13"/>
  <c r="R277" i="15" s="1"/>
  <c r="Q745" i="13"/>
  <c r="Q277" i="15" s="1"/>
  <c r="P745" i="13"/>
  <c r="P277" i="15" s="1"/>
  <c r="O745" i="13"/>
  <c r="O277" i="15" s="1"/>
  <c r="M745" i="13"/>
  <c r="M277" i="15" s="1"/>
  <c r="L745" i="13"/>
  <c r="L277" i="15" s="1"/>
  <c r="K745" i="13"/>
  <c r="K277" i="15" s="1"/>
  <c r="H745" i="13"/>
  <c r="H277" i="15" s="1"/>
  <c r="W743" i="13"/>
  <c r="W275" i="15" s="1"/>
  <c r="V743" i="13"/>
  <c r="V275" i="15" s="1"/>
  <c r="U743" i="13"/>
  <c r="U275" i="15" s="1"/>
  <c r="T743" i="13"/>
  <c r="T275" i="15" s="1"/>
  <c r="R743" i="13"/>
  <c r="R275" i="15" s="1"/>
  <c r="Q743" i="13"/>
  <c r="Q275" i="15" s="1"/>
  <c r="P275" i="15"/>
  <c r="O743" i="13"/>
  <c r="O275" i="15" s="1"/>
  <c r="M743" i="13"/>
  <c r="M275" i="15" s="1"/>
  <c r="L743" i="13"/>
  <c r="L275" i="15" s="1"/>
  <c r="K743" i="13"/>
  <c r="K275" i="15" s="1"/>
  <c r="H743" i="13"/>
  <c r="H275" i="15" s="1"/>
  <c r="W741" i="13"/>
  <c r="W273" i="15" s="1"/>
  <c r="V741" i="13"/>
  <c r="V273" i="15" s="1"/>
  <c r="U741" i="13"/>
  <c r="U273" i="15" s="1"/>
  <c r="T741" i="13"/>
  <c r="T273" i="15" s="1"/>
  <c r="R741" i="13"/>
  <c r="R273" i="15" s="1"/>
  <c r="Q741" i="13"/>
  <c r="Q273" i="15" s="1"/>
  <c r="P741" i="13"/>
  <c r="P273" i="15" s="1"/>
  <c r="O741" i="13"/>
  <c r="O273" i="15" s="1"/>
  <c r="M741" i="13"/>
  <c r="M273" i="15" s="1"/>
  <c r="L741" i="13"/>
  <c r="L273" i="15" s="1"/>
  <c r="K741" i="13"/>
  <c r="K273" i="15" s="1"/>
  <c r="H741" i="13"/>
  <c r="H273" i="15" s="1"/>
  <c r="W739" i="13"/>
  <c r="W271" i="15" s="1"/>
  <c r="V739" i="13"/>
  <c r="V271" i="15" s="1"/>
  <c r="U739" i="13"/>
  <c r="U271" i="15" s="1"/>
  <c r="T739" i="13"/>
  <c r="T271" i="15" s="1"/>
  <c r="R739" i="13"/>
  <c r="R271" i="15" s="1"/>
  <c r="Q739" i="13"/>
  <c r="Q271" i="15" s="1"/>
  <c r="P739" i="13"/>
  <c r="P271" i="15" s="1"/>
  <c r="O739" i="13"/>
  <c r="O271" i="15" s="1"/>
  <c r="M739" i="13"/>
  <c r="M271" i="15" s="1"/>
  <c r="L739" i="13"/>
  <c r="L271" i="15" s="1"/>
  <c r="K739" i="13"/>
  <c r="K271" i="15" s="1"/>
  <c r="H739" i="13"/>
  <c r="H271" i="15" s="1"/>
  <c r="W738" i="13"/>
  <c r="W270" i="15" s="1"/>
  <c r="V738" i="13"/>
  <c r="V270" i="15" s="1"/>
  <c r="U738" i="13"/>
  <c r="T738" i="13"/>
  <c r="T270" i="15" s="1"/>
  <c r="R738" i="13"/>
  <c r="R270" i="15" s="1"/>
  <c r="Q738" i="13"/>
  <c r="Q270" i="15" s="1"/>
  <c r="P738" i="13"/>
  <c r="P270" i="15" s="1"/>
  <c r="O738" i="13"/>
  <c r="O270" i="15" s="1"/>
  <c r="M738" i="13"/>
  <c r="M270" i="15" s="1"/>
  <c r="M268" i="15" s="1"/>
  <c r="L738" i="13"/>
  <c r="L270" i="15" s="1"/>
  <c r="L268" i="15" s="1"/>
  <c r="K738" i="13"/>
  <c r="H738" i="13"/>
  <c r="H270" i="15" s="1"/>
  <c r="L729" i="13"/>
  <c r="H729" i="13"/>
  <c r="L704" i="13"/>
  <c r="H704" i="13"/>
  <c r="X724" i="13"/>
  <c r="S724" i="13"/>
  <c r="I724" i="13"/>
  <c r="X722" i="13"/>
  <c r="S722" i="13"/>
  <c r="I722" i="13"/>
  <c r="J722" i="13" s="1"/>
  <c r="N722" i="13" s="1"/>
  <c r="X720" i="13"/>
  <c r="S720" i="13"/>
  <c r="I720" i="13"/>
  <c r="J720" i="13" s="1"/>
  <c r="N720" i="13" s="1"/>
  <c r="X719" i="13"/>
  <c r="S719" i="13"/>
  <c r="I719" i="13"/>
  <c r="J719" i="13" s="1"/>
  <c r="N719" i="13" s="1"/>
  <c r="X718" i="13"/>
  <c r="S718" i="13"/>
  <c r="I718" i="13"/>
  <c r="J718" i="13" s="1"/>
  <c r="N718" i="13" s="1"/>
  <c r="X716" i="13"/>
  <c r="S716" i="13"/>
  <c r="I716" i="13"/>
  <c r="X715" i="13"/>
  <c r="S715" i="13"/>
  <c r="I715" i="13"/>
  <c r="X714" i="13"/>
  <c r="S714" i="13"/>
  <c r="I714" i="13"/>
  <c r="X713" i="13"/>
  <c r="S713" i="13"/>
  <c r="I713" i="13"/>
  <c r="X712" i="13"/>
  <c r="S712" i="13"/>
  <c r="I712" i="13"/>
  <c r="X711" i="13"/>
  <c r="S711" i="13"/>
  <c r="I711" i="13"/>
  <c r="X710" i="13"/>
  <c r="S710" i="13"/>
  <c r="I710" i="13"/>
  <c r="X709" i="13"/>
  <c r="S709" i="13"/>
  <c r="I709" i="13"/>
  <c r="X707" i="13"/>
  <c r="S707" i="13"/>
  <c r="I707" i="13"/>
  <c r="W627" i="13"/>
  <c r="V627" i="13"/>
  <c r="U627" i="13"/>
  <c r="T627" i="13"/>
  <c r="R627" i="13"/>
  <c r="Q627" i="13"/>
  <c r="P627" i="13"/>
  <c r="O627" i="13"/>
  <c r="M627" i="13"/>
  <c r="L627" i="13"/>
  <c r="K627" i="13"/>
  <c r="H627" i="13"/>
  <c r="X701" i="13"/>
  <c r="S701" i="13"/>
  <c r="I701" i="13"/>
  <c r="X698" i="13"/>
  <c r="S698" i="13"/>
  <c r="I698" i="13"/>
  <c r="X697" i="13"/>
  <c r="S697" i="13"/>
  <c r="I697" i="13"/>
  <c r="X696" i="13"/>
  <c r="S696" i="13"/>
  <c r="I696" i="13"/>
  <c r="X695" i="13"/>
  <c r="S695" i="13"/>
  <c r="I695" i="13"/>
  <c r="X694" i="13"/>
  <c r="S694" i="13"/>
  <c r="I694" i="13"/>
  <c r="X693" i="13"/>
  <c r="S693" i="13"/>
  <c r="I693" i="13"/>
  <c r="X692" i="13"/>
  <c r="S692" i="13"/>
  <c r="I692" i="13"/>
  <c r="X691" i="13"/>
  <c r="S691" i="13"/>
  <c r="I691" i="13"/>
  <c r="X690" i="13"/>
  <c r="S690" i="13"/>
  <c r="I690" i="13"/>
  <c r="X689" i="13"/>
  <c r="S689" i="13"/>
  <c r="I689" i="13"/>
  <c r="X687" i="13"/>
  <c r="S687" i="13"/>
  <c r="I687" i="13"/>
  <c r="X686" i="13"/>
  <c r="S686" i="13"/>
  <c r="I686" i="13"/>
  <c r="X685" i="13"/>
  <c r="S685" i="13"/>
  <c r="I685" i="13"/>
  <c r="X683" i="13"/>
  <c r="S683" i="13"/>
  <c r="I683" i="13"/>
  <c r="X681" i="13"/>
  <c r="S681" i="13"/>
  <c r="I681" i="13"/>
  <c r="X680" i="13"/>
  <c r="S680" i="13"/>
  <c r="I680" i="13"/>
  <c r="X679" i="13"/>
  <c r="S679" i="13"/>
  <c r="I679" i="13"/>
  <c r="X678" i="13"/>
  <c r="S678" i="13"/>
  <c r="I678" i="13"/>
  <c r="X677" i="13"/>
  <c r="S677" i="13"/>
  <c r="I677" i="13"/>
  <c r="X676" i="13"/>
  <c r="S676" i="13"/>
  <c r="I676" i="13"/>
  <c r="X675" i="13"/>
  <c r="S675" i="13"/>
  <c r="I675" i="13"/>
  <c r="X674" i="13"/>
  <c r="S674" i="13"/>
  <c r="I674" i="13"/>
  <c r="X673" i="13"/>
  <c r="S673" i="13"/>
  <c r="I673" i="13"/>
  <c r="X672" i="13"/>
  <c r="S672" i="13"/>
  <c r="I672" i="13"/>
  <c r="X671" i="13"/>
  <c r="S671" i="13"/>
  <c r="I671" i="13"/>
  <c r="X670" i="13"/>
  <c r="S670" i="13"/>
  <c r="I670" i="13"/>
  <c r="X669" i="13"/>
  <c r="S669" i="13"/>
  <c r="I669" i="13"/>
  <c r="X668" i="13"/>
  <c r="S668" i="13"/>
  <c r="I668" i="13"/>
  <c r="X667" i="13"/>
  <c r="S667" i="13"/>
  <c r="I667" i="13"/>
  <c r="X666" i="13"/>
  <c r="S666" i="13"/>
  <c r="I666" i="13"/>
  <c r="X664" i="13"/>
  <c r="S664" i="13"/>
  <c r="I664" i="13"/>
  <c r="X663" i="13"/>
  <c r="S663" i="13"/>
  <c r="I663" i="13"/>
  <c r="X662" i="13"/>
  <c r="S662" i="13"/>
  <c r="I662" i="13"/>
  <c r="X660" i="13"/>
  <c r="S660" i="13"/>
  <c r="I660" i="13"/>
  <c r="X658" i="13"/>
  <c r="S658" i="13"/>
  <c r="I658" i="13"/>
  <c r="X657" i="13"/>
  <c r="S657" i="13"/>
  <c r="I657" i="13"/>
  <c r="X656" i="13"/>
  <c r="S656" i="13"/>
  <c r="I656" i="13"/>
  <c r="X655" i="13"/>
  <c r="S655" i="13"/>
  <c r="I655" i="13"/>
  <c r="X653" i="13"/>
  <c r="S653" i="13"/>
  <c r="I653" i="13"/>
  <c r="X651" i="13"/>
  <c r="S651" i="13"/>
  <c r="I651" i="13"/>
  <c r="X650" i="13"/>
  <c r="S650" i="13"/>
  <c r="I650" i="13"/>
  <c r="X649" i="13"/>
  <c r="S649" i="13"/>
  <c r="I649" i="13"/>
  <c r="X648" i="13"/>
  <c r="S648" i="13"/>
  <c r="I648" i="13"/>
  <c r="X647" i="13"/>
  <c r="S647" i="13"/>
  <c r="I647" i="13"/>
  <c r="X645" i="13"/>
  <c r="S645" i="13"/>
  <c r="I645" i="13"/>
  <c r="X644" i="13"/>
  <c r="S644" i="13"/>
  <c r="I644" i="13"/>
  <c r="X642" i="13"/>
  <c r="S642" i="13"/>
  <c r="I642" i="13"/>
  <c r="X641" i="13"/>
  <c r="S641" i="13"/>
  <c r="I641" i="13"/>
  <c r="X640" i="13"/>
  <c r="S640" i="13"/>
  <c r="I640" i="13"/>
  <c r="X639" i="13"/>
  <c r="S639" i="13"/>
  <c r="I639" i="13"/>
  <c r="X638" i="13"/>
  <c r="S638" i="13"/>
  <c r="I638" i="13"/>
  <c r="X637" i="13"/>
  <c r="S637" i="13"/>
  <c r="I637" i="13"/>
  <c r="X635" i="13"/>
  <c r="S635" i="13"/>
  <c r="I635" i="13"/>
  <c r="X633" i="13"/>
  <c r="S633" i="13"/>
  <c r="I633" i="13"/>
  <c r="X631" i="13"/>
  <c r="S631" i="13"/>
  <c r="I631" i="13"/>
  <c r="X630" i="13"/>
  <c r="S630" i="13"/>
  <c r="I630" i="13"/>
  <c r="W144" i="13"/>
  <c r="W145" i="15" s="1"/>
  <c r="V144" i="13"/>
  <c r="V145" i="15" s="1"/>
  <c r="U144" i="13"/>
  <c r="U145" i="15" s="1"/>
  <c r="T144" i="13"/>
  <c r="T145" i="15" s="1"/>
  <c r="W142" i="13"/>
  <c r="W143" i="15" s="1"/>
  <c r="V142" i="13"/>
  <c r="V143" i="15" s="1"/>
  <c r="U142" i="13"/>
  <c r="U143" i="15" s="1"/>
  <c r="T142" i="13"/>
  <c r="T143" i="15" s="1"/>
  <c r="W140" i="13"/>
  <c r="W141" i="15" s="1"/>
  <c r="V140" i="13"/>
  <c r="V141" i="15" s="1"/>
  <c r="U140" i="13"/>
  <c r="U141" i="15" s="1"/>
  <c r="T140" i="13"/>
  <c r="T141" i="15" s="1"/>
  <c r="W139" i="13"/>
  <c r="W140" i="15" s="1"/>
  <c r="V139" i="13"/>
  <c r="V140" i="15" s="1"/>
  <c r="U139" i="13"/>
  <c r="U140" i="15" s="1"/>
  <c r="T139" i="13"/>
  <c r="T140" i="15" s="1"/>
  <c r="W137" i="13"/>
  <c r="W138" i="15" s="1"/>
  <c r="V137" i="13"/>
  <c r="V138" i="15" s="1"/>
  <c r="U137" i="13"/>
  <c r="U138" i="15" s="1"/>
  <c r="T137" i="13"/>
  <c r="T138" i="15" s="1"/>
  <c r="W136" i="13"/>
  <c r="W137" i="15" s="1"/>
  <c r="V136" i="13"/>
  <c r="V137" i="15" s="1"/>
  <c r="U136" i="13"/>
  <c r="U137" i="15" s="1"/>
  <c r="T136" i="13"/>
  <c r="T137" i="15" s="1"/>
  <c r="W135" i="13"/>
  <c r="W136" i="15" s="1"/>
  <c r="V135" i="13"/>
  <c r="V136" i="15" s="1"/>
  <c r="U135" i="13"/>
  <c r="U136" i="15" s="1"/>
  <c r="T135" i="13"/>
  <c r="T136" i="15" s="1"/>
  <c r="W133" i="13"/>
  <c r="W134" i="15" s="1"/>
  <c r="V133" i="13"/>
  <c r="V134" i="15" s="1"/>
  <c r="U133" i="13"/>
  <c r="U134" i="15" s="1"/>
  <c r="T133" i="13"/>
  <c r="T134" i="15" s="1"/>
  <c r="W132" i="13"/>
  <c r="W133" i="15" s="1"/>
  <c r="V132" i="13"/>
  <c r="V133" i="15" s="1"/>
  <c r="U132" i="13"/>
  <c r="U133" i="15" s="1"/>
  <c r="T132" i="13"/>
  <c r="T133" i="15" s="1"/>
  <c r="W131" i="13"/>
  <c r="W132" i="15" s="1"/>
  <c r="V131" i="13"/>
  <c r="V132" i="15" s="1"/>
  <c r="U131" i="13"/>
  <c r="U132" i="15" s="1"/>
  <c r="T131" i="13"/>
  <c r="T132" i="15" s="1"/>
  <c r="W130" i="13"/>
  <c r="W131" i="15" s="1"/>
  <c r="V130" i="13"/>
  <c r="V131" i="15" s="1"/>
  <c r="U130" i="13"/>
  <c r="U131" i="15" s="1"/>
  <c r="T130" i="13"/>
  <c r="T131" i="15" s="1"/>
  <c r="W129" i="13"/>
  <c r="W130" i="15" s="1"/>
  <c r="V129" i="13"/>
  <c r="V130" i="15" s="1"/>
  <c r="U129" i="13"/>
  <c r="U130" i="15" s="1"/>
  <c r="T129" i="13"/>
  <c r="T130" i="15" s="1"/>
  <c r="W128" i="13"/>
  <c r="W129" i="15" s="1"/>
  <c r="V128" i="13"/>
  <c r="V129" i="15" s="1"/>
  <c r="U128" i="13"/>
  <c r="U129" i="15" s="1"/>
  <c r="T128" i="13"/>
  <c r="T129" i="15" s="1"/>
  <c r="W127" i="13"/>
  <c r="W128" i="15" s="1"/>
  <c r="V127" i="13"/>
  <c r="V128" i="15" s="1"/>
  <c r="U127" i="13"/>
  <c r="U128" i="15" s="1"/>
  <c r="T127" i="13"/>
  <c r="T128" i="15" s="1"/>
  <c r="W125" i="13"/>
  <c r="W126" i="15" s="1"/>
  <c r="V125" i="13"/>
  <c r="V126" i="15" s="1"/>
  <c r="U125" i="13"/>
  <c r="U126" i="15" s="1"/>
  <c r="T125" i="13"/>
  <c r="T126" i="15" s="1"/>
  <c r="W124" i="13"/>
  <c r="W125" i="15" s="1"/>
  <c r="V124" i="13"/>
  <c r="V125" i="15" s="1"/>
  <c r="U124" i="13"/>
  <c r="U125" i="15" s="1"/>
  <c r="T124" i="13"/>
  <c r="T125" i="15" s="1"/>
  <c r="W123" i="13"/>
  <c r="W124" i="15" s="1"/>
  <c r="V123" i="13"/>
  <c r="V124" i="15" s="1"/>
  <c r="U123" i="13"/>
  <c r="U124" i="15" s="1"/>
  <c r="T123" i="13"/>
  <c r="T124" i="15" s="1"/>
  <c r="W121" i="13"/>
  <c r="W122" i="15" s="1"/>
  <c r="V121" i="13"/>
  <c r="V122" i="15" s="1"/>
  <c r="U121" i="13"/>
  <c r="U122" i="15" s="1"/>
  <c r="T121" i="13"/>
  <c r="T122" i="15" s="1"/>
  <c r="W120" i="13"/>
  <c r="W121" i="15" s="1"/>
  <c r="V120" i="13"/>
  <c r="V121" i="15" s="1"/>
  <c r="U120" i="13"/>
  <c r="U121" i="15" s="1"/>
  <c r="U118" i="15" s="1"/>
  <c r="T120" i="13"/>
  <c r="T121" i="15" s="1"/>
  <c r="W117" i="13"/>
  <c r="W112" i="13"/>
  <c r="W113" i="15" s="1"/>
  <c r="V112" i="13"/>
  <c r="V113" i="15" s="1"/>
  <c r="U112" i="13"/>
  <c r="U113" i="15" s="1"/>
  <c r="T112" i="13"/>
  <c r="T113" i="15" s="1"/>
  <c r="W111" i="13"/>
  <c r="W112" i="15" s="1"/>
  <c r="V111" i="13"/>
  <c r="V112" i="15" s="1"/>
  <c r="U111" i="13"/>
  <c r="U112" i="15" s="1"/>
  <c r="T111" i="13"/>
  <c r="T112" i="15" s="1"/>
  <c r="W110" i="13"/>
  <c r="W111" i="15" s="1"/>
  <c r="V110" i="13"/>
  <c r="V111" i="15" s="1"/>
  <c r="U110" i="13"/>
  <c r="U111" i="15" s="1"/>
  <c r="T110" i="13"/>
  <c r="T111" i="15" s="1"/>
  <c r="W109" i="13"/>
  <c r="W110" i="15" s="1"/>
  <c r="V109" i="13"/>
  <c r="V110" i="15" s="1"/>
  <c r="U109" i="13"/>
  <c r="U110" i="15" s="1"/>
  <c r="T109" i="13"/>
  <c r="T110" i="15" s="1"/>
  <c r="W108" i="13"/>
  <c r="W109" i="15" s="1"/>
  <c r="V108" i="13"/>
  <c r="V109" i="15" s="1"/>
  <c r="U108" i="13"/>
  <c r="U109" i="15" s="1"/>
  <c r="T108" i="13"/>
  <c r="T109" i="15" s="1"/>
  <c r="W107" i="13"/>
  <c r="W108" i="15" s="1"/>
  <c r="V107" i="13"/>
  <c r="V108" i="15" s="1"/>
  <c r="U107" i="13"/>
  <c r="U108" i="15" s="1"/>
  <c r="T107" i="13"/>
  <c r="T108" i="15" s="1"/>
  <c r="W106" i="13"/>
  <c r="W107" i="15" s="1"/>
  <c r="V106" i="13"/>
  <c r="V107" i="15" s="1"/>
  <c r="U106" i="13"/>
  <c r="U107" i="15" s="1"/>
  <c r="T106" i="13"/>
  <c r="T107" i="15" s="1"/>
  <c r="W105" i="13"/>
  <c r="W106" i="15" s="1"/>
  <c r="V105" i="13"/>
  <c r="V106" i="15" s="1"/>
  <c r="U105" i="13"/>
  <c r="U106" i="15" s="1"/>
  <c r="T105" i="13"/>
  <c r="T106" i="15" s="1"/>
  <c r="W104" i="13"/>
  <c r="W105" i="15" s="1"/>
  <c r="V104" i="13"/>
  <c r="V105" i="15" s="1"/>
  <c r="U104" i="13"/>
  <c r="U105" i="15" s="1"/>
  <c r="T104" i="13"/>
  <c r="T105" i="15" s="1"/>
  <c r="W103" i="13"/>
  <c r="W104" i="15" s="1"/>
  <c r="V103" i="13"/>
  <c r="V104" i="15" s="1"/>
  <c r="U103" i="13"/>
  <c r="U104" i="15" s="1"/>
  <c r="T103" i="13"/>
  <c r="T104" i="15" s="1"/>
  <c r="W101" i="13"/>
  <c r="W102" i="15" s="1"/>
  <c r="V101" i="13"/>
  <c r="V102" i="15" s="1"/>
  <c r="U101" i="13"/>
  <c r="U102" i="15" s="1"/>
  <c r="T101" i="13"/>
  <c r="T102" i="15" s="1"/>
  <c r="W100" i="13"/>
  <c r="W101" i="15" s="1"/>
  <c r="V100" i="13"/>
  <c r="V101" i="15" s="1"/>
  <c r="U100" i="13"/>
  <c r="U101" i="15" s="1"/>
  <c r="T100" i="13"/>
  <c r="T101" i="15" s="1"/>
  <c r="W99" i="13"/>
  <c r="W100" i="15" s="1"/>
  <c r="V99" i="13"/>
  <c r="V100" i="15" s="1"/>
  <c r="U99" i="13"/>
  <c r="U100" i="15" s="1"/>
  <c r="T99" i="13"/>
  <c r="T100" i="15" s="1"/>
  <c r="W97" i="13"/>
  <c r="W98" i="15" s="1"/>
  <c r="V97" i="13"/>
  <c r="V98" i="15" s="1"/>
  <c r="U97" i="13"/>
  <c r="U98" i="15" s="1"/>
  <c r="T97" i="13"/>
  <c r="T98" i="15" s="1"/>
  <c r="W95" i="13"/>
  <c r="W96" i="15" s="1"/>
  <c r="V95" i="13"/>
  <c r="V96" i="15" s="1"/>
  <c r="U95" i="13"/>
  <c r="U96" i="15" s="1"/>
  <c r="T95" i="13"/>
  <c r="T96" i="15" s="1"/>
  <c r="W94" i="13"/>
  <c r="W95" i="15" s="1"/>
  <c r="V94" i="13"/>
  <c r="V95" i="15" s="1"/>
  <c r="U94" i="13"/>
  <c r="U95" i="15" s="1"/>
  <c r="T94" i="13"/>
  <c r="T95" i="15" s="1"/>
  <c r="W93" i="13"/>
  <c r="W94" i="15" s="1"/>
  <c r="V93" i="13"/>
  <c r="V94" i="15" s="1"/>
  <c r="U93" i="13"/>
  <c r="U94" i="15" s="1"/>
  <c r="T93" i="13"/>
  <c r="T94" i="15" s="1"/>
  <c r="W92" i="13"/>
  <c r="W93" i="15" s="1"/>
  <c r="V92" i="13"/>
  <c r="V93" i="15" s="1"/>
  <c r="U92" i="13"/>
  <c r="U93" i="15" s="1"/>
  <c r="T92" i="13"/>
  <c r="T93" i="15" s="1"/>
  <c r="W91" i="13"/>
  <c r="W92" i="15" s="1"/>
  <c r="V91" i="13"/>
  <c r="V92" i="15" s="1"/>
  <c r="U91" i="13"/>
  <c r="U92" i="15" s="1"/>
  <c r="T91" i="13"/>
  <c r="T92" i="15" s="1"/>
  <c r="W90" i="13"/>
  <c r="W91" i="15" s="1"/>
  <c r="V90" i="13"/>
  <c r="V91" i="15" s="1"/>
  <c r="U90" i="13"/>
  <c r="U91" i="15" s="1"/>
  <c r="T90" i="13"/>
  <c r="T91" i="15" s="1"/>
  <c r="W89" i="13"/>
  <c r="W90" i="15" s="1"/>
  <c r="V89" i="13"/>
  <c r="V90" i="15" s="1"/>
  <c r="U89" i="13"/>
  <c r="U90" i="15" s="1"/>
  <c r="T89" i="13"/>
  <c r="T90" i="15" s="1"/>
  <c r="W88" i="13"/>
  <c r="W89" i="15" s="1"/>
  <c r="V88" i="13"/>
  <c r="V89" i="15" s="1"/>
  <c r="U88" i="13"/>
  <c r="U89" i="15" s="1"/>
  <c r="T88" i="13"/>
  <c r="T89" i="15" s="1"/>
  <c r="W87" i="13"/>
  <c r="W88" i="15" s="1"/>
  <c r="V87" i="13"/>
  <c r="V88" i="15" s="1"/>
  <c r="U87" i="13"/>
  <c r="U88" i="15" s="1"/>
  <c r="T87" i="13"/>
  <c r="T88" i="15" s="1"/>
  <c r="W86" i="13"/>
  <c r="W87" i="15" s="1"/>
  <c r="V86" i="13"/>
  <c r="V87" i="15" s="1"/>
  <c r="U86" i="13"/>
  <c r="U87" i="15" s="1"/>
  <c r="T86" i="13"/>
  <c r="T87" i="15" s="1"/>
  <c r="W85" i="13"/>
  <c r="W86" i="15" s="1"/>
  <c r="V85" i="13"/>
  <c r="V86" i="15" s="1"/>
  <c r="U85" i="13"/>
  <c r="U86" i="15" s="1"/>
  <c r="T85" i="13"/>
  <c r="T86" i="15" s="1"/>
  <c r="W84" i="13"/>
  <c r="W85" i="15" s="1"/>
  <c r="V84" i="13"/>
  <c r="V85" i="15" s="1"/>
  <c r="U84" i="13"/>
  <c r="U85" i="15" s="1"/>
  <c r="T84" i="13"/>
  <c r="T85" i="15" s="1"/>
  <c r="W83" i="13"/>
  <c r="W84" i="15" s="1"/>
  <c r="V83" i="13"/>
  <c r="V84" i="15" s="1"/>
  <c r="U83" i="13"/>
  <c r="U84" i="15" s="1"/>
  <c r="T83" i="13"/>
  <c r="T84" i="15" s="1"/>
  <c r="W82" i="13"/>
  <c r="W83" i="15" s="1"/>
  <c r="V82" i="13"/>
  <c r="V83" i="15" s="1"/>
  <c r="U82" i="13"/>
  <c r="U83" i="15" s="1"/>
  <c r="T82" i="13"/>
  <c r="T83" i="15" s="1"/>
  <c r="W81" i="13"/>
  <c r="W82" i="15" s="1"/>
  <c r="V81" i="13"/>
  <c r="V82" i="15" s="1"/>
  <c r="U81" i="13"/>
  <c r="U82" i="15" s="1"/>
  <c r="T81" i="13"/>
  <c r="T82" i="15" s="1"/>
  <c r="W80" i="13"/>
  <c r="W81" i="15" s="1"/>
  <c r="V80" i="13"/>
  <c r="V81" i="15" s="1"/>
  <c r="U80" i="13"/>
  <c r="U81" i="15" s="1"/>
  <c r="T80" i="13"/>
  <c r="T81" i="15" s="1"/>
  <c r="W78" i="13"/>
  <c r="W79" i="15" s="1"/>
  <c r="V78" i="13"/>
  <c r="V79" i="15" s="1"/>
  <c r="U78" i="13"/>
  <c r="U79" i="15" s="1"/>
  <c r="T78" i="13"/>
  <c r="T79" i="15" s="1"/>
  <c r="W77" i="13"/>
  <c r="W78" i="15" s="1"/>
  <c r="V77" i="13"/>
  <c r="V78" i="15" s="1"/>
  <c r="U77" i="13"/>
  <c r="U78" i="15" s="1"/>
  <c r="T77" i="13"/>
  <c r="T78" i="15" s="1"/>
  <c r="W76" i="13"/>
  <c r="W77" i="15" s="1"/>
  <c r="V76" i="13"/>
  <c r="V77" i="15" s="1"/>
  <c r="U76" i="13"/>
  <c r="U77" i="15" s="1"/>
  <c r="T76" i="13"/>
  <c r="T77" i="15" s="1"/>
  <c r="W74" i="13"/>
  <c r="W75" i="15" s="1"/>
  <c r="V74" i="13"/>
  <c r="V75" i="15" s="1"/>
  <c r="U74" i="13"/>
  <c r="U75" i="15" s="1"/>
  <c r="T74" i="13"/>
  <c r="T75" i="15" s="1"/>
  <c r="W72" i="13"/>
  <c r="W73" i="15" s="1"/>
  <c r="V72" i="13"/>
  <c r="V73" i="15" s="1"/>
  <c r="U72" i="13"/>
  <c r="U73" i="15" s="1"/>
  <c r="T72" i="13"/>
  <c r="T73" i="15" s="1"/>
  <c r="W71" i="13"/>
  <c r="W72" i="15" s="1"/>
  <c r="V71" i="13"/>
  <c r="V72" i="15" s="1"/>
  <c r="U71" i="13"/>
  <c r="U72" i="15" s="1"/>
  <c r="T71" i="13"/>
  <c r="T72" i="15" s="1"/>
  <c r="W70" i="13"/>
  <c r="W71" i="15" s="1"/>
  <c r="V70" i="13"/>
  <c r="V71" i="15" s="1"/>
  <c r="U70" i="13"/>
  <c r="U71" i="15" s="1"/>
  <c r="T70" i="13"/>
  <c r="T71" i="15" s="1"/>
  <c r="W69" i="13"/>
  <c r="W70" i="15" s="1"/>
  <c r="V69" i="13"/>
  <c r="V70" i="15" s="1"/>
  <c r="U69" i="13"/>
  <c r="U70" i="15" s="1"/>
  <c r="T69" i="13"/>
  <c r="T70" i="15" s="1"/>
  <c r="W67" i="13"/>
  <c r="W68" i="15" s="1"/>
  <c r="V67" i="13"/>
  <c r="V68" i="15" s="1"/>
  <c r="U67" i="13"/>
  <c r="U68" i="15" s="1"/>
  <c r="T67" i="13"/>
  <c r="T68" i="15" s="1"/>
  <c r="W65" i="13"/>
  <c r="W66" i="15" s="1"/>
  <c r="V65" i="13"/>
  <c r="V66" i="15" s="1"/>
  <c r="U65" i="13"/>
  <c r="U66" i="15" s="1"/>
  <c r="T65" i="13"/>
  <c r="T66" i="15" s="1"/>
  <c r="W64" i="13"/>
  <c r="W65" i="15" s="1"/>
  <c r="V64" i="13"/>
  <c r="V65" i="15" s="1"/>
  <c r="U64" i="13"/>
  <c r="U65" i="15" s="1"/>
  <c r="T64" i="13"/>
  <c r="T65" i="15" s="1"/>
  <c r="W63" i="13"/>
  <c r="W64" i="15" s="1"/>
  <c r="V63" i="13"/>
  <c r="V64" i="15" s="1"/>
  <c r="U63" i="13"/>
  <c r="U64" i="15" s="1"/>
  <c r="T63" i="13"/>
  <c r="T64" i="15" s="1"/>
  <c r="W62" i="13"/>
  <c r="W63" i="15" s="1"/>
  <c r="V62" i="13"/>
  <c r="V63" i="15" s="1"/>
  <c r="U62" i="13"/>
  <c r="U63" i="15" s="1"/>
  <c r="T62" i="13"/>
  <c r="T63" i="15" s="1"/>
  <c r="W61" i="13"/>
  <c r="W62" i="15" s="1"/>
  <c r="V61" i="13"/>
  <c r="V62" i="15" s="1"/>
  <c r="U61" i="13"/>
  <c r="U62" i="15" s="1"/>
  <c r="T61" i="13"/>
  <c r="T62" i="15" s="1"/>
  <c r="W59" i="13"/>
  <c r="W60" i="15" s="1"/>
  <c r="V59" i="13"/>
  <c r="V60" i="15" s="1"/>
  <c r="U59" i="13"/>
  <c r="U60" i="15" s="1"/>
  <c r="T59" i="13"/>
  <c r="T60" i="15" s="1"/>
  <c r="W58" i="13"/>
  <c r="W59" i="15" s="1"/>
  <c r="V58" i="13"/>
  <c r="V59" i="15" s="1"/>
  <c r="U58" i="13"/>
  <c r="U59" i="15" s="1"/>
  <c r="T58" i="13"/>
  <c r="T59" i="15" s="1"/>
  <c r="W56" i="13"/>
  <c r="W57" i="15" s="1"/>
  <c r="V56" i="13"/>
  <c r="V57" i="15" s="1"/>
  <c r="U56" i="13"/>
  <c r="U57" i="15" s="1"/>
  <c r="T56" i="13"/>
  <c r="T57" i="15" s="1"/>
  <c r="W55" i="13"/>
  <c r="W56" i="15" s="1"/>
  <c r="V55" i="13"/>
  <c r="V56" i="15" s="1"/>
  <c r="U55" i="13"/>
  <c r="U56" i="15" s="1"/>
  <c r="T55" i="13"/>
  <c r="T56" i="15" s="1"/>
  <c r="W54" i="13"/>
  <c r="W55" i="15" s="1"/>
  <c r="V54" i="13"/>
  <c r="V55" i="15" s="1"/>
  <c r="U54" i="13"/>
  <c r="U55" i="15" s="1"/>
  <c r="T54" i="13"/>
  <c r="T55" i="15" s="1"/>
  <c r="W53" i="13"/>
  <c r="W54" i="15" s="1"/>
  <c r="V53" i="13"/>
  <c r="V54" i="15" s="1"/>
  <c r="U53" i="13"/>
  <c r="U54" i="15" s="1"/>
  <c r="T53" i="13"/>
  <c r="T54" i="15" s="1"/>
  <c r="W52" i="13"/>
  <c r="W53" i="15" s="1"/>
  <c r="V52" i="13"/>
  <c r="V53" i="15" s="1"/>
  <c r="U52" i="13"/>
  <c r="U53" i="15" s="1"/>
  <c r="T52" i="13"/>
  <c r="T53" i="15" s="1"/>
  <c r="W51" i="13"/>
  <c r="W52" i="15" s="1"/>
  <c r="V51" i="13"/>
  <c r="V52" i="15" s="1"/>
  <c r="U51" i="13"/>
  <c r="U52" i="15" s="1"/>
  <c r="T51" i="13"/>
  <c r="T52" i="15" s="1"/>
  <c r="W49" i="13"/>
  <c r="W50" i="15" s="1"/>
  <c r="V49" i="13"/>
  <c r="V50" i="15" s="1"/>
  <c r="U49" i="13"/>
  <c r="U50" i="15" s="1"/>
  <c r="T49" i="13"/>
  <c r="T50" i="15" s="1"/>
  <c r="W47" i="13"/>
  <c r="W48" i="15" s="1"/>
  <c r="V47" i="13"/>
  <c r="V48" i="15" s="1"/>
  <c r="U47" i="13"/>
  <c r="U48" i="15" s="1"/>
  <c r="T47" i="13"/>
  <c r="T48" i="15" s="1"/>
  <c r="W45" i="13"/>
  <c r="W46" i="15" s="1"/>
  <c r="V45" i="13"/>
  <c r="V46" i="15" s="1"/>
  <c r="U45" i="13"/>
  <c r="U46" i="15" s="1"/>
  <c r="T45" i="13"/>
  <c r="T46" i="15" s="1"/>
  <c r="W44" i="13"/>
  <c r="V44" i="13"/>
  <c r="U44" i="13"/>
  <c r="T44" i="13"/>
  <c r="W39" i="13"/>
  <c r="V39" i="13"/>
  <c r="U39" i="13"/>
  <c r="T39" i="13"/>
  <c r="W37" i="13"/>
  <c r="W38" i="15" s="1"/>
  <c r="V37" i="13"/>
  <c r="V38" i="15" s="1"/>
  <c r="U37" i="13"/>
  <c r="U38" i="15" s="1"/>
  <c r="T37" i="13"/>
  <c r="T38" i="15" s="1"/>
  <c r="W36" i="13"/>
  <c r="W37" i="15" s="1"/>
  <c r="V36" i="13"/>
  <c r="V37" i="15" s="1"/>
  <c r="U36" i="13"/>
  <c r="U37" i="15" s="1"/>
  <c r="T36" i="13"/>
  <c r="T37" i="15" s="1"/>
  <c r="W35" i="13"/>
  <c r="W36" i="15" s="1"/>
  <c r="V35" i="13"/>
  <c r="V36" i="15" s="1"/>
  <c r="U35" i="13"/>
  <c r="U36" i="15" s="1"/>
  <c r="T35" i="13"/>
  <c r="T36" i="15" s="1"/>
  <c r="W31" i="13"/>
  <c r="W32" i="15" s="1"/>
  <c r="V31" i="13"/>
  <c r="V32" i="15" s="1"/>
  <c r="U31" i="13"/>
  <c r="U32" i="15" s="1"/>
  <c r="T31" i="13"/>
  <c r="T32" i="15" s="1"/>
  <c r="W30" i="13"/>
  <c r="W31" i="15" s="1"/>
  <c r="V30" i="13"/>
  <c r="V31" i="15" s="1"/>
  <c r="U30" i="13"/>
  <c r="U31" i="15" s="1"/>
  <c r="T30" i="13"/>
  <c r="T31" i="15" s="1"/>
  <c r="W29" i="13"/>
  <c r="W30" i="15" s="1"/>
  <c r="V29" i="13"/>
  <c r="V30" i="15" s="1"/>
  <c r="U29" i="13"/>
  <c r="U30" i="15" s="1"/>
  <c r="T29" i="13"/>
  <c r="T30" i="15" s="1"/>
  <c r="W28" i="13"/>
  <c r="W29" i="15" s="1"/>
  <c r="V28" i="13"/>
  <c r="V29" i="15" s="1"/>
  <c r="U28" i="13"/>
  <c r="U29" i="15" s="1"/>
  <c r="T28" i="13"/>
  <c r="T29" i="15" s="1"/>
  <c r="W25" i="13"/>
  <c r="W26" i="15" s="1"/>
  <c r="V25" i="13"/>
  <c r="V26" i="15" s="1"/>
  <c r="U25" i="13"/>
  <c r="U26" i="15" s="1"/>
  <c r="T25" i="13"/>
  <c r="T26" i="15" s="1"/>
  <c r="W24" i="13"/>
  <c r="W25" i="15" s="1"/>
  <c r="V24" i="13"/>
  <c r="V25" i="15" s="1"/>
  <c r="U24" i="13"/>
  <c r="U25" i="15" s="1"/>
  <c r="T24" i="13"/>
  <c r="T25" i="15" s="1"/>
  <c r="W23" i="13"/>
  <c r="W24" i="15" s="1"/>
  <c r="V23" i="13"/>
  <c r="V24" i="15" s="1"/>
  <c r="U23" i="13"/>
  <c r="U24" i="15" s="1"/>
  <c r="T23" i="13"/>
  <c r="T24" i="15" s="1"/>
  <c r="W22" i="13"/>
  <c r="W23" i="15" s="1"/>
  <c r="V22" i="13"/>
  <c r="V23" i="15" s="1"/>
  <c r="U22" i="13"/>
  <c r="U23" i="15" s="1"/>
  <c r="T22" i="13"/>
  <c r="T23" i="15" s="1"/>
  <c r="W20" i="13"/>
  <c r="W21" i="15" s="1"/>
  <c r="V20" i="13"/>
  <c r="V21" i="15" s="1"/>
  <c r="U20" i="13"/>
  <c r="U21" i="15" s="1"/>
  <c r="T20" i="13"/>
  <c r="T21" i="15" s="1"/>
  <c r="R144" i="13"/>
  <c r="R145" i="15" s="1"/>
  <c r="Q144" i="13"/>
  <c r="Q145" i="15" s="1"/>
  <c r="P144" i="13"/>
  <c r="P145" i="15" s="1"/>
  <c r="O144" i="13"/>
  <c r="O145" i="15" s="1"/>
  <c r="R142" i="13"/>
  <c r="R143" i="15" s="1"/>
  <c r="Q142" i="13"/>
  <c r="Q143" i="15" s="1"/>
  <c r="P142" i="13"/>
  <c r="P143" i="15" s="1"/>
  <c r="O142" i="13"/>
  <c r="O143" i="15" s="1"/>
  <c r="R140" i="13"/>
  <c r="R141" i="15" s="1"/>
  <c r="Q140" i="13"/>
  <c r="Q141" i="15" s="1"/>
  <c r="P140" i="13"/>
  <c r="P141" i="15" s="1"/>
  <c r="O140" i="13"/>
  <c r="O141" i="15" s="1"/>
  <c r="R139" i="13"/>
  <c r="R140" i="15" s="1"/>
  <c r="Q139" i="13"/>
  <c r="Q140" i="15" s="1"/>
  <c r="P139" i="13"/>
  <c r="P140" i="15" s="1"/>
  <c r="O139" i="13"/>
  <c r="O140" i="15" s="1"/>
  <c r="R137" i="13"/>
  <c r="R138" i="15" s="1"/>
  <c r="Q137" i="13"/>
  <c r="Q138" i="15" s="1"/>
  <c r="P137" i="13"/>
  <c r="P138" i="15" s="1"/>
  <c r="O137" i="13"/>
  <c r="O138" i="15" s="1"/>
  <c r="R136" i="13"/>
  <c r="R137" i="15" s="1"/>
  <c r="Q136" i="13"/>
  <c r="Q137" i="15" s="1"/>
  <c r="P136" i="13"/>
  <c r="P137" i="15" s="1"/>
  <c r="O136" i="13"/>
  <c r="O137" i="15" s="1"/>
  <c r="R135" i="13"/>
  <c r="R136" i="15" s="1"/>
  <c r="Q135" i="13"/>
  <c r="Q136" i="15" s="1"/>
  <c r="P135" i="13"/>
  <c r="P136" i="15" s="1"/>
  <c r="O135" i="13"/>
  <c r="O136" i="15" s="1"/>
  <c r="R133" i="13"/>
  <c r="R134" i="15" s="1"/>
  <c r="Q133" i="13"/>
  <c r="Q134" i="15" s="1"/>
  <c r="P133" i="13"/>
  <c r="P134" i="15" s="1"/>
  <c r="O133" i="13"/>
  <c r="O134" i="15" s="1"/>
  <c r="R132" i="13"/>
  <c r="R133" i="15" s="1"/>
  <c r="Q132" i="13"/>
  <c r="Q133" i="15" s="1"/>
  <c r="P132" i="13"/>
  <c r="P133" i="15" s="1"/>
  <c r="O132" i="13"/>
  <c r="O133" i="15" s="1"/>
  <c r="R131" i="13"/>
  <c r="R132" i="15" s="1"/>
  <c r="Q131" i="13"/>
  <c r="Q132" i="15" s="1"/>
  <c r="P131" i="13"/>
  <c r="P132" i="15" s="1"/>
  <c r="O131" i="13"/>
  <c r="O132" i="15" s="1"/>
  <c r="R130" i="13"/>
  <c r="R131" i="15" s="1"/>
  <c r="Q130" i="13"/>
  <c r="Q131" i="15" s="1"/>
  <c r="P130" i="13"/>
  <c r="P131" i="15" s="1"/>
  <c r="O130" i="13"/>
  <c r="O131" i="15" s="1"/>
  <c r="R129" i="13"/>
  <c r="R130" i="15" s="1"/>
  <c r="Q129" i="13"/>
  <c r="Q130" i="15" s="1"/>
  <c r="P129" i="13"/>
  <c r="P130" i="15" s="1"/>
  <c r="O129" i="13"/>
  <c r="O130" i="15" s="1"/>
  <c r="R128" i="13"/>
  <c r="R129" i="15" s="1"/>
  <c r="Q128" i="13"/>
  <c r="Q129" i="15" s="1"/>
  <c r="P128" i="13"/>
  <c r="P129" i="15" s="1"/>
  <c r="O128" i="13"/>
  <c r="O129" i="15" s="1"/>
  <c r="R127" i="13"/>
  <c r="R128" i="15" s="1"/>
  <c r="Q127" i="13"/>
  <c r="Q128" i="15" s="1"/>
  <c r="P127" i="13"/>
  <c r="P128" i="15" s="1"/>
  <c r="O127" i="13"/>
  <c r="O128" i="15" s="1"/>
  <c r="R125" i="13"/>
  <c r="R126" i="15" s="1"/>
  <c r="Q125" i="13"/>
  <c r="Q126" i="15" s="1"/>
  <c r="P125" i="13"/>
  <c r="P126" i="15" s="1"/>
  <c r="O125" i="13"/>
  <c r="O126" i="15" s="1"/>
  <c r="R124" i="13"/>
  <c r="R125" i="15" s="1"/>
  <c r="Q124" i="13"/>
  <c r="Q125" i="15" s="1"/>
  <c r="P124" i="13"/>
  <c r="P125" i="15" s="1"/>
  <c r="O124" i="13"/>
  <c r="O125" i="15" s="1"/>
  <c r="R123" i="13"/>
  <c r="R124" i="15" s="1"/>
  <c r="Q123" i="13"/>
  <c r="Q124" i="15" s="1"/>
  <c r="P123" i="13"/>
  <c r="P124" i="15" s="1"/>
  <c r="O123" i="13"/>
  <c r="O124" i="15" s="1"/>
  <c r="R121" i="13"/>
  <c r="R122" i="15" s="1"/>
  <c r="Q121" i="13"/>
  <c r="Q122" i="15" s="1"/>
  <c r="P121" i="13"/>
  <c r="P122" i="15" s="1"/>
  <c r="O121" i="13"/>
  <c r="O122" i="15" s="1"/>
  <c r="R120" i="13"/>
  <c r="R121" i="15" s="1"/>
  <c r="R118" i="15" s="1"/>
  <c r="Q120" i="13"/>
  <c r="Q121" i="15" s="1"/>
  <c r="P120" i="13"/>
  <c r="P121" i="15" s="1"/>
  <c r="P118" i="15" s="1"/>
  <c r="O120" i="13"/>
  <c r="O121" i="15" s="1"/>
  <c r="R117" i="13"/>
  <c r="R112" i="13"/>
  <c r="R113" i="15" s="1"/>
  <c r="Q112" i="13"/>
  <c r="Q113" i="15" s="1"/>
  <c r="P112" i="13"/>
  <c r="P113" i="15" s="1"/>
  <c r="O112" i="13"/>
  <c r="O113" i="15" s="1"/>
  <c r="R111" i="13"/>
  <c r="R112" i="15" s="1"/>
  <c r="Q111" i="13"/>
  <c r="Q112" i="15" s="1"/>
  <c r="P111" i="13"/>
  <c r="P112" i="15" s="1"/>
  <c r="O111" i="13"/>
  <c r="O112" i="15" s="1"/>
  <c r="R110" i="13"/>
  <c r="R111" i="15" s="1"/>
  <c r="Q110" i="13"/>
  <c r="Q111" i="15" s="1"/>
  <c r="P110" i="13"/>
  <c r="P111" i="15" s="1"/>
  <c r="O110" i="13"/>
  <c r="O111" i="15" s="1"/>
  <c r="R109" i="13"/>
  <c r="R110" i="15" s="1"/>
  <c r="Q109" i="13"/>
  <c r="Q110" i="15" s="1"/>
  <c r="P109" i="13"/>
  <c r="P110" i="15" s="1"/>
  <c r="O109" i="13"/>
  <c r="O110" i="15" s="1"/>
  <c r="R108" i="13"/>
  <c r="R109" i="15" s="1"/>
  <c r="Q108" i="13"/>
  <c r="Q109" i="15" s="1"/>
  <c r="P108" i="13"/>
  <c r="P109" i="15" s="1"/>
  <c r="O108" i="13"/>
  <c r="O109" i="15" s="1"/>
  <c r="R107" i="13"/>
  <c r="R108" i="15" s="1"/>
  <c r="Q107" i="13"/>
  <c r="Q108" i="15" s="1"/>
  <c r="P107" i="13"/>
  <c r="P108" i="15" s="1"/>
  <c r="O107" i="13"/>
  <c r="O108" i="15" s="1"/>
  <c r="R106" i="13"/>
  <c r="R107" i="15" s="1"/>
  <c r="Q106" i="13"/>
  <c r="Q107" i="15" s="1"/>
  <c r="P106" i="13"/>
  <c r="P107" i="15" s="1"/>
  <c r="O106" i="13"/>
  <c r="O107" i="15" s="1"/>
  <c r="R105" i="13"/>
  <c r="R106" i="15" s="1"/>
  <c r="Q105" i="13"/>
  <c r="Q106" i="15" s="1"/>
  <c r="P105" i="13"/>
  <c r="P106" i="15" s="1"/>
  <c r="O105" i="13"/>
  <c r="O106" i="15" s="1"/>
  <c r="R104" i="13"/>
  <c r="R105" i="15" s="1"/>
  <c r="Q104" i="13"/>
  <c r="Q105" i="15" s="1"/>
  <c r="P104" i="13"/>
  <c r="P105" i="15" s="1"/>
  <c r="O104" i="13"/>
  <c r="O105" i="15" s="1"/>
  <c r="R103" i="13"/>
  <c r="R104" i="15" s="1"/>
  <c r="Q103" i="13"/>
  <c r="Q104" i="15" s="1"/>
  <c r="P103" i="13"/>
  <c r="P104" i="15" s="1"/>
  <c r="O103" i="13"/>
  <c r="O104" i="15" s="1"/>
  <c r="R101" i="13"/>
  <c r="R102" i="15" s="1"/>
  <c r="Q101" i="13"/>
  <c r="Q102" i="15" s="1"/>
  <c r="P101" i="13"/>
  <c r="P102" i="15" s="1"/>
  <c r="O101" i="13"/>
  <c r="O102" i="15" s="1"/>
  <c r="R100" i="13"/>
  <c r="R101" i="15" s="1"/>
  <c r="Q100" i="13"/>
  <c r="Q101" i="15" s="1"/>
  <c r="P100" i="13"/>
  <c r="P101" i="15" s="1"/>
  <c r="O100" i="13"/>
  <c r="O101" i="15" s="1"/>
  <c r="R99" i="13"/>
  <c r="R100" i="15" s="1"/>
  <c r="Q99" i="13"/>
  <c r="Q100" i="15" s="1"/>
  <c r="P99" i="13"/>
  <c r="P100" i="15" s="1"/>
  <c r="O99" i="13"/>
  <c r="O100" i="15" s="1"/>
  <c r="R97" i="13"/>
  <c r="R98" i="15" s="1"/>
  <c r="Q97" i="13"/>
  <c r="Q98" i="15" s="1"/>
  <c r="P97" i="13"/>
  <c r="P98" i="15" s="1"/>
  <c r="O97" i="13"/>
  <c r="O98" i="15" s="1"/>
  <c r="R95" i="13"/>
  <c r="R96" i="15" s="1"/>
  <c r="Q95" i="13"/>
  <c r="Q96" i="15" s="1"/>
  <c r="P95" i="13"/>
  <c r="P96" i="15" s="1"/>
  <c r="O95" i="13"/>
  <c r="O96" i="15" s="1"/>
  <c r="R94" i="13"/>
  <c r="R95" i="15" s="1"/>
  <c r="Q94" i="13"/>
  <c r="Q95" i="15" s="1"/>
  <c r="P94" i="13"/>
  <c r="P95" i="15" s="1"/>
  <c r="O94" i="13"/>
  <c r="O95" i="15" s="1"/>
  <c r="R93" i="13"/>
  <c r="R94" i="15" s="1"/>
  <c r="Q93" i="13"/>
  <c r="Q94" i="15" s="1"/>
  <c r="P93" i="13"/>
  <c r="P94" i="15" s="1"/>
  <c r="O93" i="13"/>
  <c r="O94" i="15" s="1"/>
  <c r="R92" i="13"/>
  <c r="R93" i="15" s="1"/>
  <c r="Q92" i="13"/>
  <c r="Q93" i="15" s="1"/>
  <c r="P92" i="13"/>
  <c r="P93" i="15" s="1"/>
  <c r="O92" i="13"/>
  <c r="O93" i="15" s="1"/>
  <c r="R91" i="13"/>
  <c r="R92" i="15" s="1"/>
  <c r="Q91" i="13"/>
  <c r="Q92" i="15" s="1"/>
  <c r="P91" i="13"/>
  <c r="P92" i="15" s="1"/>
  <c r="O91" i="13"/>
  <c r="O92" i="15" s="1"/>
  <c r="R90" i="13"/>
  <c r="R91" i="15" s="1"/>
  <c r="Q90" i="13"/>
  <c r="Q91" i="15" s="1"/>
  <c r="P90" i="13"/>
  <c r="P91" i="15" s="1"/>
  <c r="O90" i="13"/>
  <c r="O91" i="15" s="1"/>
  <c r="R89" i="13"/>
  <c r="R90" i="15" s="1"/>
  <c r="Q89" i="13"/>
  <c r="Q90" i="15" s="1"/>
  <c r="P89" i="13"/>
  <c r="P90" i="15" s="1"/>
  <c r="O89" i="13"/>
  <c r="O90" i="15" s="1"/>
  <c r="R88" i="13"/>
  <c r="R89" i="15" s="1"/>
  <c r="Q88" i="13"/>
  <c r="Q89" i="15" s="1"/>
  <c r="P88" i="13"/>
  <c r="P89" i="15" s="1"/>
  <c r="O88" i="13"/>
  <c r="O89" i="15" s="1"/>
  <c r="R87" i="13"/>
  <c r="R88" i="15" s="1"/>
  <c r="Q87" i="13"/>
  <c r="Q88" i="15" s="1"/>
  <c r="P87" i="13"/>
  <c r="P88" i="15" s="1"/>
  <c r="O87" i="13"/>
  <c r="O88" i="15" s="1"/>
  <c r="R86" i="13"/>
  <c r="R87" i="15" s="1"/>
  <c r="Q86" i="13"/>
  <c r="Q87" i="15" s="1"/>
  <c r="P86" i="13"/>
  <c r="P87" i="15" s="1"/>
  <c r="O86" i="13"/>
  <c r="O87" i="15" s="1"/>
  <c r="R85" i="13"/>
  <c r="R86" i="15" s="1"/>
  <c r="Q85" i="13"/>
  <c r="Q86" i="15" s="1"/>
  <c r="P85" i="13"/>
  <c r="P86" i="15" s="1"/>
  <c r="O85" i="13"/>
  <c r="O86" i="15" s="1"/>
  <c r="R84" i="13"/>
  <c r="R85" i="15" s="1"/>
  <c r="Q84" i="13"/>
  <c r="Q85" i="15" s="1"/>
  <c r="P84" i="13"/>
  <c r="P85" i="15" s="1"/>
  <c r="O84" i="13"/>
  <c r="O85" i="15" s="1"/>
  <c r="R83" i="13"/>
  <c r="R84" i="15" s="1"/>
  <c r="Q83" i="13"/>
  <c r="Q84" i="15" s="1"/>
  <c r="P83" i="13"/>
  <c r="P84" i="15" s="1"/>
  <c r="O83" i="13"/>
  <c r="O84" i="15" s="1"/>
  <c r="R82" i="13"/>
  <c r="R83" i="15" s="1"/>
  <c r="Q82" i="13"/>
  <c r="Q83" i="15" s="1"/>
  <c r="P82" i="13"/>
  <c r="P83" i="15" s="1"/>
  <c r="O82" i="13"/>
  <c r="O83" i="15" s="1"/>
  <c r="R81" i="13"/>
  <c r="R82" i="15" s="1"/>
  <c r="Q81" i="13"/>
  <c r="Q82" i="15" s="1"/>
  <c r="P81" i="13"/>
  <c r="P82" i="15" s="1"/>
  <c r="O81" i="13"/>
  <c r="O82" i="15" s="1"/>
  <c r="R80" i="13"/>
  <c r="R81" i="15" s="1"/>
  <c r="Q80" i="13"/>
  <c r="Q81" i="15" s="1"/>
  <c r="P80" i="13"/>
  <c r="P81" i="15" s="1"/>
  <c r="O80" i="13"/>
  <c r="O81" i="15" s="1"/>
  <c r="R78" i="13"/>
  <c r="R79" i="15" s="1"/>
  <c r="Q78" i="13"/>
  <c r="Q79" i="15" s="1"/>
  <c r="P78" i="13"/>
  <c r="P79" i="15" s="1"/>
  <c r="O78" i="13"/>
  <c r="O79" i="15" s="1"/>
  <c r="R77" i="13"/>
  <c r="R78" i="15" s="1"/>
  <c r="Q77" i="13"/>
  <c r="Q78" i="15" s="1"/>
  <c r="P77" i="13"/>
  <c r="P78" i="15" s="1"/>
  <c r="O77" i="13"/>
  <c r="O78" i="15" s="1"/>
  <c r="R76" i="13"/>
  <c r="R77" i="15" s="1"/>
  <c r="Q76" i="13"/>
  <c r="Q77" i="15" s="1"/>
  <c r="P76" i="13"/>
  <c r="P77" i="15" s="1"/>
  <c r="O76" i="13"/>
  <c r="O77" i="15" s="1"/>
  <c r="R74" i="13"/>
  <c r="R75" i="15" s="1"/>
  <c r="Q74" i="13"/>
  <c r="Q75" i="15" s="1"/>
  <c r="P74" i="13"/>
  <c r="P75" i="15" s="1"/>
  <c r="O74" i="13"/>
  <c r="O75" i="15" s="1"/>
  <c r="R72" i="13"/>
  <c r="R73" i="15" s="1"/>
  <c r="Q72" i="13"/>
  <c r="Q73" i="15" s="1"/>
  <c r="P72" i="13"/>
  <c r="P73" i="15" s="1"/>
  <c r="O72" i="13"/>
  <c r="O73" i="15" s="1"/>
  <c r="R71" i="13"/>
  <c r="R72" i="15" s="1"/>
  <c r="Q71" i="13"/>
  <c r="Q72" i="15" s="1"/>
  <c r="P71" i="13"/>
  <c r="P72" i="15" s="1"/>
  <c r="O71" i="13"/>
  <c r="O72" i="15" s="1"/>
  <c r="R70" i="13"/>
  <c r="R71" i="15" s="1"/>
  <c r="Q70" i="13"/>
  <c r="Q71" i="15" s="1"/>
  <c r="P70" i="13"/>
  <c r="P71" i="15" s="1"/>
  <c r="O70" i="13"/>
  <c r="O71" i="15" s="1"/>
  <c r="R69" i="13"/>
  <c r="R70" i="15" s="1"/>
  <c r="Q69" i="13"/>
  <c r="Q70" i="15" s="1"/>
  <c r="P69" i="13"/>
  <c r="P70" i="15" s="1"/>
  <c r="O69" i="13"/>
  <c r="O70" i="15" s="1"/>
  <c r="R67" i="13"/>
  <c r="R68" i="15" s="1"/>
  <c r="Q67" i="13"/>
  <c r="Q68" i="15" s="1"/>
  <c r="P67" i="13"/>
  <c r="P68" i="15" s="1"/>
  <c r="O67" i="13"/>
  <c r="O68" i="15" s="1"/>
  <c r="R65" i="13"/>
  <c r="R66" i="15" s="1"/>
  <c r="Q65" i="13"/>
  <c r="Q66" i="15" s="1"/>
  <c r="P65" i="13"/>
  <c r="P66" i="15" s="1"/>
  <c r="O65" i="13"/>
  <c r="O66" i="15" s="1"/>
  <c r="R64" i="13"/>
  <c r="R65" i="15" s="1"/>
  <c r="Q64" i="13"/>
  <c r="Q65" i="15" s="1"/>
  <c r="P64" i="13"/>
  <c r="P65" i="15" s="1"/>
  <c r="O64" i="13"/>
  <c r="O65" i="15" s="1"/>
  <c r="R63" i="13"/>
  <c r="R64" i="15" s="1"/>
  <c r="Q63" i="13"/>
  <c r="Q64" i="15" s="1"/>
  <c r="P63" i="13"/>
  <c r="P64" i="15" s="1"/>
  <c r="O63" i="13"/>
  <c r="O64" i="15" s="1"/>
  <c r="R62" i="13"/>
  <c r="R63" i="15" s="1"/>
  <c r="Q62" i="13"/>
  <c r="Q63" i="15" s="1"/>
  <c r="P62" i="13"/>
  <c r="P63" i="15" s="1"/>
  <c r="O62" i="13"/>
  <c r="O63" i="15" s="1"/>
  <c r="R61" i="13"/>
  <c r="R62" i="15" s="1"/>
  <c r="Q61" i="13"/>
  <c r="Q62" i="15" s="1"/>
  <c r="P61" i="13"/>
  <c r="P62" i="15" s="1"/>
  <c r="O61" i="13"/>
  <c r="O62" i="15" s="1"/>
  <c r="R59" i="13"/>
  <c r="R60" i="15" s="1"/>
  <c r="Q59" i="13"/>
  <c r="Q60" i="15" s="1"/>
  <c r="P59" i="13"/>
  <c r="P60" i="15" s="1"/>
  <c r="O59" i="13"/>
  <c r="O60" i="15" s="1"/>
  <c r="R58" i="13"/>
  <c r="R59" i="15" s="1"/>
  <c r="Q58" i="13"/>
  <c r="Q59" i="15" s="1"/>
  <c r="P58" i="13"/>
  <c r="P59" i="15" s="1"/>
  <c r="O58" i="13"/>
  <c r="O59" i="15" s="1"/>
  <c r="R56" i="13"/>
  <c r="R57" i="15" s="1"/>
  <c r="Q56" i="13"/>
  <c r="Q57" i="15" s="1"/>
  <c r="P56" i="13"/>
  <c r="P57" i="15" s="1"/>
  <c r="O56" i="13"/>
  <c r="O57" i="15" s="1"/>
  <c r="R55" i="13"/>
  <c r="R56" i="15" s="1"/>
  <c r="Q55" i="13"/>
  <c r="Q56" i="15" s="1"/>
  <c r="P55" i="13"/>
  <c r="P56" i="15" s="1"/>
  <c r="O55" i="13"/>
  <c r="O56" i="15" s="1"/>
  <c r="R54" i="13"/>
  <c r="R55" i="15" s="1"/>
  <c r="Q54" i="13"/>
  <c r="Q55" i="15" s="1"/>
  <c r="P54" i="13"/>
  <c r="P55" i="15" s="1"/>
  <c r="O54" i="13"/>
  <c r="O55" i="15" s="1"/>
  <c r="R53" i="13"/>
  <c r="R54" i="15" s="1"/>
  <c r="Q53" i="13"/>
  <c r="Q54" i="15" s="1"/>
  <c r="P53" i="13"/>
  <c r="P54" i="15" s="1"/>
  <c r="O53" i="13"/>
  <c r="O54" i="15" s="1"/>
  <c r="R52" i="13"/>
  <c r="R53" i="15" s="1"/>
  <c r="Q52" i="13"/>
  <c r="Q53" i="15" s="1"/>
  <c r="P52" i="13"/>
  <c r="P53" i="15" s="1"/>
  <c r="O52" i="13"/>
  <c r="O53" i="15" s="1"/>
  <c r="R51" i="13"/>
  <c r="R52" i="15" s="1"/>
  <c r="Q51" i="13"/>
  <c r="Q52" i="15" s="1"/>
  <c r="P51" i="13"/>
  <c r="P52" i="15" s="1"/>
  <c r="O51" i="13"/>
  <c r="O52" i="15" s="1"/>
  <c r="R49" i="13"/>
  <c r="R50" i="15" s="1"/>
  <c r="Q49" i="13"/>
  <c r="Q50" i="15" s="1"/>
  <c r="P49" i="13"/>
  <c r="P50" i="15" s="1"/>
  <c r="O49" i="13"/>
  <c r="O50" i="15" s="1"/>
  <c r="R47" i="13"/>
  <c r="R48" i="15" s="1"/>
  <c r="Q47" i="13"/>
  <c r="Q48" i="15" s="1"/>
  <c r="P47" i="13"/>
  <c r="P48" i="15" s="1"/>
  <c r="O47" i="13"/>
  <c r="O48" i="15" s="1"/>
  <c r="R45" i="13"/>
  <c r="R46" i="15" s="1"/>
  <c r="Q45" i="13"/>
  <c r="Q46" i="15" s="1"/>
  <c r="P45" i="13"/>
  <c r="P46" i="15" s="1"/>
  <c r="O45" i="13"/>
  <c r="O46" i="15" s="1"/>
  <c r="R44" i="13"/>
  <c r="Q44" i="13"/>
  <c r="P44" i="13"/>
  <c r="O44" i="13"/>
  <c r="R39" i="13"/>
  <c r="Q39" i="13"/>
  <c r="P39" i="13"/>
  <c r="O39" i="13"/>
  <c r="R37" i="13"/>
  <c r="R38" i="15" s="1"/>
  <c r="Q37" i="13"/>
  <c r="Q38" i="15" s="1"/>
  <c r="P37" i="13"/>
  <c r="P38" i="15" s="1"/>
  <c r="O37" i="13"/>
  <c r="O38" i="15" s="1"/>
  <c r="R36" i="13"/>
  <c r="R37" i="15" s="1"/>
  <c r="Q36" i="13"/>
  <c r="Q37" i="15" s="1"/>
  <c r="P36" i="13"/>
  <c r="P37" i="15" s="1"/>
  <c r="O36" i="13"/>
  <c r="O37" i="15" s="1"/>
  <c r="R35" i="13"/>
  <c r="R36" i="15" s="1"/>
  <c r="Q35" i="13"/>
  <c r="Q36" i="15" s="1"/>
  <c r="P35" i="13"/>
  <c r="P36" i="15" s="1"/>
  <c r="O35" i="13"/>
  <c r="O36" i="15" s="1"/>
  <c r="R31" i="13"/>
  <c r="R32" i="15" s="1"/>
  <c r="Q31" i="13"/>
  <c r="Q32" i="15" s="1"/>
  <c r="P31" i="13"/>
  <c r="P32" i="15" s="1"/>
  <c r="O31" i="13"/>
  <c r="R30" i="13"/>
  <c r="R31" i="15" s="1"/>
  <c r="Q30" i="13"/>
  <c r="Q31" i="15" s="1"/>
  <c r="P30" i="13"/>
  <c r="P31" i="15" s="1"/>
  <c r="O30" i="13"/>
  <c r="O31" i="15" s="1"/>
  <c r="R29" i="13"/>
  <c r="R30" i="15" s="1"/>
  <c r="Q29" i="13"/>
  <c r="Q30" i="15" s="1"/>
  <c r="P29" i="13"/>
  <c r="P30" i="15" s="1"/>
  <c r="O29" i="13"/>
  <c r="O30" i="15" s="1"/>
  <c r="R28" i="13"/>
  <c r="R29" i="15" s="1"/>
  <c r="Q28" i="13"/>
  <c r="Q29" i="15" s="1"/>
  <c r="P28" i="13"/>
  <c r="P29" i="15" s="1"/>
  <c r="O28" i="13"/>
  <c r="O29" i="15" s="1"/>
  <c r="R25" i="13"/>
  <c r="R26" i="15" s="1"/>
  <c r="Q25" i="13"/>
  <c r="Q26" i="15" s="1"/>
  <c r="P25" i="13"/>
  <c r="P26" i="15" s="1"/>
  <c r="O25" i="13"/>
  <c r="O26" i="15" s="1"/>
  <c r="R24" i="13"/>
  <c r="R25" i="15" s="1"/>
  <c r="Q24" i="13"/>
  <c r="Q25" i="15" s="1"/>
  <c r="P24" i="13"/>
  <c r="P25" i="15" s="1"/>
  <c r="O24" i="13"/>
  <c r="O25" i="15" s="1"/>
  <c r="R23" i="13"/>
  <c r="R24" i="15" s="1"/>
  <c r="Q23" i="13"/>
  <c r="Q24" i="15" s="1"/>
  <c r="P23" i="13"/>
  <c r="P24" i="15" s="1"/>
  <c r="O23" i="13"/>
  <c r="O24" i="15" s="1"/>
  <c r="R22" i="13"/>
  <c r="Q22" i="13"/>
  <c r="Q23" i="15" s="1"/>
  <c r="P22" i="13"/>
  <c r="P23" i="15" s="1"/>
  <c r="O22" i="13"/>
  <c r="O23" i="15" s="1"/>
  <c r="R20" i="13"/>
  <c r="R21" i="15" s="1"/>
  <c r="Q20" i="13"/>
  <c r="Q21" i="15" s="1"/>
  <c r="P20" i="13"/>
  <c r="P21" i="15" s="1"/>
  <c r="O20" i="13"/>
  <c r="O21" i="15" s="1"/>
  <c r="M144" i="13"/>
  <c r="M145" i="15" s="1"/>
  <c r="L144" i="13"/>
  <c r="L145" i="15" s="1"/>
  <c r="K144" i="13"/>
  <c r="K145" i="15" s="1"/>
  <c r="M142" i="13"/>
  <c r="M143" i="15" s="1"/>
  <c r="L142" i="13"/>
  <c r="L143" i="15" s="1"/>
  <c r="K142" i="13"/>
  <c r="K143" i="15" s="1"/>
  <c r="M140" i="13"/>
  <c r="M141" i="15" s="1"/>
  <c r="L140" i="13"/>
  <c r="L141" i="15" s="1"/>
  <c r="K140" i="13"/>
  <c r="K141" i="15" s="1"/>
  <c r="M139" i="13"/>
  <c r="M140" i="15" s="1"/>
  <c r="L139" i="13"/>
  <c r="L140" i="15" s="1"/>
  <c r="K139" i="13"/>
  <c r="K140" i="15" s="1"/>
  <c r="M137" i="13"/>
  <c r="M138" i="15" s="1"/>
  <c r="L137" i="13"/>
  <c r="L138" i="15" s="1"/>
  <c r="K137" i="13"/>
  <c r="K138" i="15" s="1"/>
  <c r="M136" i="13"/>
  <c r="M137" i="15" s="1"/>
  <c r="L136" i="13"/>
  <c r="L137" i="15" s="1"/>
  <c r="K136" i="13"/>
  <c r="K137" i="15" s="1"/>
  <c r="M135" i="13"/>
  <c r="M136" i="15" s="1"/>
  <c r="L135" i="13"/>
  <c r="L136" i="15" s="1"/>
  <c r="K135" i="13"/>
  <c r="K136" i="15" s="1"/>
  <c r="M133" i="13"/>
  <c r="M134" i="15" s="1"/>
  <c r="L133" i="13"/>
  <c r="L134" i="15" s="1"/>
  <c r="K133" i="13"/>
  <c r="K134" i="15" s="1"/>
  <c r="M132" i="13"/>
  <c r="M133" i="15" s="1"/>
  <c r="L132" i="13"/>
  <c r="L133" i="15" s="1"/>
  <c r="K132" i="13"/>
  <c r="K133" i="15" s="1"/>
  <c r="M131" i="13"/>
  <c r="M132" i="15" s="1"/>
  <c r="L131" i="13"/>
  <c r="L132" i="15" s="1"/>
  <c r="K131" i="13"/>
  <c r="K132" i="15" s="1"/>
  <c r="M130" i="13"/>
  <c r="M131" i="15" s="1"/>
  <c r="L130" i="13"/>
  <c r="L131" i="15" s="1"/>
  <c r="K130" i="13"/>
  <c r="K131" i="15" s="1"/>
  <c r="M129" i="13"/>
  <c r="M130" i="15" s="1"/>
  <c r="L129" i="13"/>
  <c r="L130" i="15" s="1"/>
  <c r="K129" i="13"/>
  <c r="K130" i="15" s="1"/>
  <c r="M128" i="13"/>
  <c r="M129" i="15" s="1"/>
  <c r="L128" i="13"/>
  <c r="L129" i="15" s="1"/>
  <c r="K128" i="13"/>
  <c r="K129" i="15" s="1"/>
  <c r="M127" i="13"/>
  <c r="M128" i="15" s="1"/>
  <c r="L127" i="13"/>
  <c r="L128" i="15" s="1"/>
  <c r="K127" i="13"/>
  <c r="K128" i="15" s="1"/>
  <c r="M125" i="13"/>
  <c r="M126" i="15" s="1"/>
  <c r="L125" i="13"/>
  <c r="L126" i="15" s="1"/>
  <c r="K125" i="13"/>
  <c r="K126" i="15" s="1"/>
  <c r="M124" i="13"/>
  <c r="M125" i="15" s="1"/>
  <c r="L124" i="13"/>
  <c r="L125" i="15" s="1"/>
  <c r="K124" i="13"/>
  <c r="K125" i="15" s="1"/>
  <c r="M123" i="13"/>
  <c r="M124" i="15" s="1"/>
  <c r="L123" i="13"/>
  <c r="L124" i="15" s="1"/>
  <c r="K123" i="13"/>
  <c r="K124" i="15" s="1"/>
  <c r="M121" i="13"/>
  <c r="M122" i="15" s="1"/>
  <c r="L121" i="13"/>
  <c r="L122" i="15" s="1"/>
  <c r="K121" i="13"/>
  <c r="K122" i="15" s="1"/>
  <c r="M120" i="13"/>
  <c r="M121" i="15" s="1"/>
  <c r="L120" i="13"/>
  <c r="L121" i="15" s="1"/>
  <c r="K120" i="13"/>
  <c r="K121" i="15" s="1"/>
  <c r="M112" i="13"/>
  <c r="M113" i="15" s="1"/>
  <c r="L112" i="13"/>
  <c r="L113" i="15" s="1"/>
  <c r="K112" i="13"/>
  <c r="K113" i="15" s="1"/>
  <c r="M111" i="13"/>
  <c r="M112" i="15" s="1"/>
  <c r="L111" i="13"/>
  <c r="L112" i="15" s="1"/>
  <c r="K111" i="13"/>
  <c r="K112" i="15" s="1"/>
  <c r="M110" i="13"/>
  <c r="M111" i="15" s="1"/>
  <c r="L110" i="13"/>
  <c r="L111" i="15" s="1"/>
  <c r="K110" i="13"/>
  <c r="K111" i="15" s="1"/>
  <c r="M109" i="13"/>
  <c r="M110" i="15" s="1"/>
  <c r="L109" i="13"/>
  <c r="L110" i="15" s="1"/>
  <c r="K109" i="13"/>
  <c r="K110" i="15" s="1"/>
  <c r="M108" i="13"/>
  <c r="M109" i="15" s="1"/>
  <c r="L108" i="13"/>
  <c r="L109" i="15" s="1"/>
  <c r="K108" i="13"/>
  <c r="K109" i="15" s="1"/>
  <c r="M107" i="13"/>
  <c r="M108" i="15" s="1"/>
  <c r="L107" i="13"/>
  <c r="L108" i="15" s="1"/>
  <c r="K107" i="13"/>
  <c r="K108" i="15" s="1"/>
  <c r="M106" i="13"/>
  <c r="L106" i="13"/>
  <c r="L107" i="15" s="1"/>
  <c r="K106" i="13"/>
  <c r="K107" i="15" s="1"/>
  <c r="M105" i="13"/>
  <c r="M106" i="15" s="1"/>
  <c r="L105" i="13"/>
  <c r="L106" i="15" s="1"/>
  <c r="K105" i="13"/>
  <c r="K106" i="15" s="1"/>
  <c r="M104" i="13"/>
  <c r="M105" i="15" s="1"/>
  <c r="L104" i="13"/>
  <c r="L105" i="15" s="1"/>
  <c r="K104" i="13"/>
  <c r="K105" i="15" s="1"/>
  <c r="M103" i="13"/>
  <c r="M104" i="15" s="1"/>
  <c r="L103" i="13"/>
  <c r="L104" i="15" s="1"/>
  <c r="K103" i="13"/>
  <c r="K104" i="15" s="1"/>
  <c r="M101" i="13"/>
  <c r="L101" i="13"/>
  <c r="L102" i="15" s="1"/>
  <c r="K101" i="13"/>
  <c r="K102" i="15" s="1"/>
  <c r="M100" i="13"/>
  <c r="L100" i="13"/>
  <c r="L101" i="15" s="1"/>
  <c r="K100" i="13"/>
  <c r="K101" i="15" s="1"/>
  <c r="M99" i="13"/>
  <c r="L99" i="13"/>
  <c r="L100" i="15" s="1"/>
  <c r="K99" i="13"/>
  <c r="K100" i="15" s="1"/>
  <c r="M97" i="13"/>
  <c r="M98" i="15" s="1"/>
  <c r="L97" i="13"/>
  <c r="L98" i="15" s="1"/>
  <c r="K97" i="13"/>
  <c r="K98" i="15" s="1"/>
  <c r="M95" i="13"/>
  <c r="M96" i="15" s="1"/>
  <c r="L95" i="13"/>
  <c r="L96" i="15" s="1"/>
  <c r="K95" i="13"/>
  <c r="K96" i="15" s="1"/>
  <c r="M94" i="13"/>
  <c r="M95" i="15" s="1"/>
  <c r="L94" i="13"/>
  <c r="L95" i="15" s="1"/>
  <c r="K94" i="13"/>
  <c r="K95" i="15" s="1"/>
  <c r="M93" i="13"/>
  <c r="M94" i="15" s="1"/>
  <c r="L93" i="13"/>
  <c r="L94" i="15" s="1"/>
  <c r="K93" i="13"/>
  <c r="K94" i="15" s="1"/>
  <c r="M92" i="13"/>
  <c r="L92" i="13"/>
  <c r="L93" i="15" s="1"/>
  <c r="K92" i="13"/>
  <c r="K93" i="15" s="1"/>
  <c r="M91" i="13"/>
  <c r="M92" i="15" s="1"/>
  <c r="L91" i="13"/>
  <c r="L92" i="15" s="1"/>
  <c r="K91" i="13"/>
  <c r="K92" i="15" s="1"/>
  <c r="M90" i="13"/>
  <c r="M91" i="15" s="1"/>
  <c r="L90" i="13"/>
  <c r="L91" i="15" s="1"/>
  <c r="K90" i="13"/>
  <c r="K91" i="15" s="1"/>
  <c r="M89" i="13"/>
  <c r="M90" i="15" s="1"/>
  <c r="L89" i="13"/>
  <c r="L90" i="15" s="1"/>
  <c r="K89" i="13"/>
  <c r="K90" i="15" s="1"/>
  <c r="M88" i="13"/>
  <c r="M89" i="15" s="1"/>
  <c r="L88" i="13"/>
  <c r="L89" i="15" s="1"/>
  <c r="K88" i="13"/>
  <c r="K89" i="15" s="1"/>
  <c r="M87" i="13"/>
  <c r="M88" i="15" s="1"/>
  <c r="L87" i="13"/>
  <c r="L88" i="15" s="1"/>
  <c r="K87" i="13"/>
  <c r="K88" i="15" s="1"/>
  <c r="M86" i="13"/>
  <c r="M87" i="15" s="1"/>
  <c r="L86" i="13"/>
  <c r="L87" i="15" s="1"/>
  <c r="K86" i="13"/>
  <c r="K87" i="15" s="1"/>
  <c r="M85" i="13"/>
  <c r="M86" i="15" s="1"/>
  <c r="L85" i="13"/>
  <c r="L86" i="15" s="1"/>
  <c r="K85" i="13"/>
  <c r="K86" i="15" s="1"/>
  <c r="M84" i="13"/>
  <c r="M85" i="15" s="1"/>
  <c r="L84" i="13"/>
  <c r="L85" i="15" s="1"/>
  <c r="K84" i="13"/>
  <c r="K85" i="15" s="1"/>
  <c r="M83" i="13"/>
  <c r="M84" i="15" s="1"/>
  <c r="L83" i="13"/>
  <c r="L84" i="15" s="1"/>
  <c r="K83" i="13"/>
  <c r="K84" i="15" s="1"/>
  <c r="M82" i="13"/>
  <c r="M83" i="15" s="1"/>
  <c r="L82" i="13"/>
  <c r="L83" i="15" s="1"/>
  <c r="K82" i="13"/>
  <c r="K83" i="15" s="1"/>
  <c r="M81" i="13"/>
  <c r="M82" i="15" s="1"/>
  <c r="L81" i="13"/>
  <c r="L82" i="15" s="1"/>
  <c r="K81" i="13"/>
  <c r="K82" i="15" s="1"/>
  <c r="M80" i="13"/>
  <c r="M81" i="15" s="1"/>
  <c r="L80" i="13"/>
  <c r="L81" i="15" s="1"/>
  <c r="K80" i="13"/>
  <c r="K81" i="15" s="1"/>
  <c r="M78" i="13"/>
  <c r="M79" i="15" s="1"/>
  <c r="L78" i="13"/>
  <c r="L79" i="15" s="1"/>
  <c r="K78" i="13"/>
  <c r="K79" i="15" s="1"/>
  <c r="M77" i="13"/>
  <c r="M78" i="15" s="1"/>
  <c r="L77" i="13"/>
  <c r="L78" i="15" s="1"/>
  <c r="K77" i="13"/>
  <c r="K78" i="15" s="1"/>
  <c r="M76" i="13"/>
  <c r="M77" i="15" s="1"/>
  <c r="L76" i="13"/>
  <c r="L77" i="15" s="1"/>
  <c r="K76" i="13"/>
  <c r="K77" i="15" s="1"/>
  <c r="M74" i="13"/>
  <c r="M75" i="15" s="1"/>
  <c r="L74" i="13"/>
  <c r="L75" i="15" s="1"/>
  <c r="K74" i="13"/>
  <c r="K75" i="15" s="1"/>
  <c r="M72" i="13"/>
  <c r="L72" i="13"/>
  <c r="L73" i="15" s="1"/>
  <c r="K72" i="13"/>
  <c r="K73" i="15" s="1"/>
  <c r="M71" i="13"/>
  <c r="M72" i="15" s="1"/>
  <c r="L71" i="13"/>
  <c r="L72" i="15" s="1"/>
  <c r="K71" i="13"/>
  <c r="K72" i="15" s="1"/>
  <c r="M70" i="13"/>
  <c r="M71" i="15" s="1"/>
  <c r="L70" i="13"/>
  <c r="L71" i="15" s="1"/>
  <c r="K70" i="13"/>
  <c r="K71" i="15" s="1"/>
  <c r="M69" i="13"/>
  <c r="M70" i="15" s="1"/>
  <c r="L69" i="13"/>
  <c r="L70" i="15" s="1"/>
  <c r="K69" i="13"/>
  <c r="K70" i="15" s="1"/>
  <c r="M67" i="13"/>
  <c r="L67" i="13"/>
  <c r="L68" i="15" s="1"/>
  <c r="K67" i="13"/>
  <c r="K68" i="15" s="1"/>
  <c r="M65" i="13"/>
  <c r="M66" i="15" s="1"/>
  <c r="L65" i="13"/>
  <c r="L66" i="15" s="1"/>
  <c r="K65" i="13"/>
  <c r="K66" i="15" s="1"/>
  <c r="M64" i="13"/>
  <c r="M65" i="15" s="1"/>
  <c r="L64" i="13"/>
  <c r="L65" i="15" s="1"/>
  <c r="K64" i="13"/>
  <c r="K65" i="15" s="1"/>
  <c r="M63" i="13"/>
  <c r="M64" i="15" s="1"/>
  <c r="L63" i="13"/>
  <c r="L64" i="15" s="1"/>
  <c r="K63" i="13"/>
  <c r="K64" i="15" s="1"/>
  <c r="M62" i="13"/>
  <c r="M63" i="15" s="1"/>
  <c r="L62" i="13"/>
  <c r="L63" i="15" s="1"/>
  <c r="K62" i="13"/>
  <c r="K63" i="15" s="1"/>
  <c r="M61" i="13"/>
  <c r="M62" i="15" s="1"/>
  <c r="L61" i="13"/>
  <c r="L62" i="15" s="1"/>
  <c r="K61" i="13"/>
  <c r="K62" i="15" s="1"/>
  <c r="M59" i="13"/>
  <c r="M60" i="15" s="1"/>
  <c r="L59" i="13"/>
  <c r="L60" i="15" s="1"/>
  <c r="K59" i="13"/>
  <c r="M58" i="13"/>
  <c r="M59" i="15" s="1"/>
  <c r="L58" i="13"/>
  <c r="L59" i="15" s="1"/>
  <c r="K58" i="13"/>
  <c r="M56" i="13"/>
  <c r="M57" i="15" s="1"/>
  <c r="L56" i="13"/>
  <c r="L57" i="15" s="1"/>
  <c r="K56" i="13"/>
  <c r="K57" i="15" s="1"/>
  <c r="M55" i="13"/>
  <c r="M56" i="15" s="1"/>
  <c r="L55" i="13"/>
  <c r="L56" i="15" s="1"/>
  <c r="K55" i="13"/>
  <c r="K56" i="15" s="1"/>
  <c r="M54" i="13"/>
  <c r="M55" i="15" s="1"/>
  <c r="L54" i="13"/>
  <c r="L55" i="15" s="1"/>
  <c r="K54" i="13"/>
  <c r="K55" i="15" s="1"/>
  <c r="M53" i="13"/>
  <c r="M54" i="15" s="1"/>
  <c r="L53" i="13"/>
  <c r="L54" i="15" s="1"/>
  <c r="K53" i="13"/>
  <c r="K54" i="15" s="1"/>
  <c r="M52" i="13"/>
  <c r="M53" i="15" s="1"/>
  <c r="L52" i="13"/>
  <c r="L53" i="15" s="1"/>
  <c r="K52" i="13"/>
  <c r="K53" i="15" s="1"/>
  <c r="M51" i="13"/>
  <c r="M52" i="15" s="1"/>
  <c r="L51" i="13"/>
  <c r="L52" i="15" s="1"/>
  <c r="K51" i="13"/>
  <c r="K52" i="15" s="1"/>
  <c r="M49" i="13"/>
  <c r="L49" i="13"/>
  <c r="L50" i="15" s="1"/>
  <c r="K49" i="13"/>
  <c r="K50" i="15" s="1"/>
  <c r="M47" i="13"/>
  <c r="M48" i="15" s="1"/>
  <c r="L47" i="13"/>
  <c r="L48" i="15" s="1"/>
  <c r="K47" i="13"/>
  <c r="K48" i="15" s="1"/>
  <c r="M45" i="13"/>
  <c r="M46" i="15" s="1"/>
  <c r="L45" i="13"/>
  <c r="L46" i="15" s="1"/>
  <c r="K45" i="13"/>
  <c r="K46" i="15" s="1"/>
  <c r="M44" i="13"/>
  <c r="L44" i="13"/>
  <c r="K44" i="13"/>
  <c r="M39" i="13"/>
  <c r="L39" i="13"/>
  <c r="K39" i="13"/>
  <c r="M37" i="13"/>
  <c r="M38" i="15" s="1"/>
  <c r="L37" i="13"/>
  <c r="L38" i="15" s="1"/>
  <c r="K37" i="13"/>
  <c r="K38" i="15" s="1"/>
  <c r="M36" i="13"/>
  <c r="L36" i="13"/>
  <c r="L37" i="15" s="1"/>
  <c r="K36" i="13"/>
  <c r="K37" i="15" s="1"/>
  <c r="M35" i="13"/>
  <c r="M36" i="15" s="1"/>
  <c r="L35" i="13"/>
  <c r="L36" i="15" s="1"/>
  <c r="K35" i="13"/>
  <c r="K36" i="15" s="1"/>
  <c r="M31" i="13"/>
  <c r="M32" i="15" s="1"/>
  <c r="L31" i="13"/>
  <c r="L32" i="15" s="1"/>
  <c r="K31" i="13"/>
  <c r="K32" i="15" s="1"/>
  <c r="M30" i="13"/>
  <c r="L30" i="13"/>
  <c r="L31" i="15" s="1"/>
  <c r="K30" i="13"/>
  <c r="K31" i="15" s="1"/>
  <c r="M29" i="13"/>
  <c r="M30" i="15" s="1"/>
  <c r="L29" i="13"/>
  <c r="L30" i="15" s="1"/>
  <c r="K29" i="13"/>
  <c r="K30" i="15" s="1"/>
  <c r="M29" i="15"/>
  <c r="L28" i="13"/>
  <c r="L29" i="15" s="1"/>
  <c r="K28" i="13"/>
  <c r="K29" i="15" s="1"/>
  <c r="M25" i="13"/>
  <c r="M26" i="15" s="1"/>
  <c r="L25" i="13"/>
  <c r="L26" i="15" s="1"/>
  <c r="K25" i="13"/>
  <c r="K26" i="15" s="1"/>
  <c r="M24" i="13"/>
  <c r="M25" i="15" s="1"/>
  <c r="L24" i="13"/>
  <c r="L25" i="15" s="1"/>
  <c r="K24" i="13"/>
  <c r="K25" i="15" s="1"/>
  <c r="M23" i="13"/>
  <c r="M24" i="15" s="1"/>
  <c r="L23" i="13"/>
  <c r="L24" i="15" s="1"/>
  <c r="K23" i="13"/>
  <c r="K24" i="15" s="1"/>
  <c r="M22" i="13"/>
  <c r="M23" i="15" s="1"/>
  <c r="L22" i="13"/>
  <c r="L23" i="15" s="1"/>
  <c r="K22" i="13"/>
  <c r="K23" i="15" s="1"/>
  <c r="M20" i="13"/>
  <c r="L20" i="13"/>
  <c r="L21" i="15" s="1"/>
  <c r="K20" i="13"/>
  <c r="H144" i="13"/>
  <c r="H145" i="15" s="1"/>
  <c r="H142" i="13"/>
  <c r="H143" i="15" s="1"/>
  <c r="H140" i="13"/>
  <c r="H141" i="15" s="1"/>
  <c r="H139" i="13"/>
  <c r="H140" i="15" s="1"/>
  <c r="H137" i="13"/>
  <c r="H138" i="15" s="1"/>
  <c r="H136" i="13"/>
  <c r="H137" i="15" s="1"/>
  <c r="H135" i="13"/>
  <c r="H136" i="15" s="1"/>
  <c r="H133" i="13"/>
  <c r="H134" i="15" s="1"/>
  <c r="H132" i="13"/>
  <c r="H133" i="15" s="1"/>
  <c r="H131" i="13"/>
  <c r="H132" i="15" s="1"/>
  <c r="H130" i="13"/>
  <c r="H131" i="15" s="1"/>
  <c r="H129" i="13"/>
  <c r="H130" i="15" s="1"/>
  <c r="H128" i="13"/>
  <c r="H129" i="15" s="1"/>
  <c r="H127" i="13"/>
  <c r="H128" i="15" s="1"/>
  <c r="H125" i="13"/>
  <c r="H126" i="15" s="1"/>
  <c r="H124" i="13"/>
  <c r="H125" i="15" s="1"/>
  <c r="H123" i="13"/>
  <c r="H124" i="15" s="1"/>
  <c r="H121" i="13"/>
  <c r="H122" i="15" s="1"/>
  <c r="H120" i="13"/>
  <c r="H121" i="15" s="1"/>
  <c r="H112" i="13"/>
  <c r="H113" i="15" s="1"/>
  <c r="H111" i="13"/>
  <c r="H112" i="15" s="1"/>
  <c r="H110" i="13"/>
  <c r="H111" i="15" s="1"/>
  <c r="H109" i="13"/>
  <c r="H110" i="15" s="1"/>
  <c r="H108" i="13"/>
  <c r="H109" i="15" s="1"/>
  <c r="H107" i="13"/>
  <c r="H108" i="15" s="1"/>
  <c r="H106" i="13"/>
  <c r="H107" i="15" s="1"/>
  <c r="H105" i="13"/>
  <c r="H106" i="15" s="1"/>
  <c r="H104" i="13"/>
  <c r="H105" i="15" s="1"/>
  <c r="H103" i="13"/>
  <c r="H104" i="15" s="1"/>
  <c r="H101" i="13"/>
  <c r="H102" i="15" s="1"/>
  <c r="H100" i="13"/>
  <c r="H101" i="15" s="1"/>
  <c r="H99" i="13"/>
  <c r="H100" i="15" s="1"/>
  <c r="H97" i="13"/>
  <c r="H98" i="15" s="1"/>
  <c r="H95" i="13"/>
  <c r="H96" i="15" s="1"/>
  <c r="H94" i="13"/>
  <c r="H95" i="15" s="1"/>
  <c r="H93" i="13"/>
  <c r="H94" i="15" s="1"/>
  <c r="H92" i="13"/>
  <c r="H93" i="15" s="1"/>
  <c r="H91" i="13"/>
  <c r="H92" i="15" s="1"/>
  <c r="H90" i="13"/>
  <c r="H91" i="15" s="1"/>
  <c r="H89" i="13"/>
  <c r="H90" i="15" s="1"/>
  <c r="H88" i="13"/>
  <c r="H89" i="15" s="1"/>
  <c r="H87" i="13"/>
  <c r="H88" i="15" s="1"/>
  <c r="H86" i="13"/>
  <c r="H87" i="15" s="1"/>
  <c r="H85" i="13"/>
  <c r="H86" i="15" s="1"/>
  <c r="H84" i="13"/>
  <c r="H85" i="15" s="1"/>
  <c r="H83" i="13"/>
  <c r="H84" i="15" s="1"/>
  <c r="H82" i="13"/>
  <c r="H83" i="15" s="1"/>
  <c r="H81" i="13"/>
  <c r="H82" i="15" s="1"/>
  <c r="H80" i="13"/>
  <c r="H81" i="15" s="1"/>
  <c r="H78" i="13"/>
  <c r="H79" i="15" s="1"/>
  <c r="H77" i="13"/>
  <c r="H78" i="15" s="1"/>
  <c r="H76" i="13"/>
  <c r="H77" i="15" s="1"/>
  <c r="H74" i="13"/>
  <c r="H75" i="15" s="1"/>
  <c r="H72" i="13"/>
  <c r="H73" i="15" s="1"/>
  <c r="H71" i="13"/>
  <c r="H72" i="15" s="1"/>
  <c r="H70" i="13"/>
  <c r="H71" i="15" s="1"/>
  <c r="H69" i="13"/>
  <c r="H70" i="15" s="1"/>
  <c r="H67" i="13"/>
  <c r="H68" i="15" s="1"/>
  <c r="H65" i="13"/>
  <c r="H66" i="15" s="1"/>
  <c r="H64" i="13"/>
  <c r="H65" i="15" s="1"/>
  <c r="H63" i="13"/>
  <c r="H64" i="15" s="1"/>
  <c r="H62" i="13"/>
  <c r="H63" i="15" s="1"/>
  <c r="H61" i="13"/>
  <c r="H62" i="15" s="1"/>
  <c r="H59" i="13"/>
  <c r="H60" i="15" s="1"/>
  <c r="H58" i="13"/>
  <c r="H59" i="15" s="1"/>
  <c r="H56" i="13"/>
  <c r="H57" i="15" s="1"/>
  <c r="H55" i="13"/>
  <c r="H56" i="15" s="1"/>
  <c r="H54" i="13"/>
  <c r="H55" i="15" s="1"/>
  <c r="H53" i="13"/>
  <c r="H54" i="15" s="1"/>
  <c r="H52" i="13"/>
  <c r="H53" i="15" s="1"/>
  <c r="H51" i="13"/>
  <c r="H52" i="15" s="1"/>
  <c r="H49" i="13"/>
  <c r="H50" i="15" s="1"/>
  <c r="H47" i="13"/>
  <c r="H48" i="15" s="1"/>
  <c r="H45" i="13"/>
  <c r="H46" i="15" s="1"/>
  <c r="H44" i="13"/>
  <c r="I44" i="13" s="1"/>
  <c r="H39" i="13"/>
  <c r="H40" i="15" s="1"/>
  <c r="H37" i="13"/>
  <c r="H38" i="15" s="1"/>
  <c r="H36" i="13"/>
  <c r="H37" i="15" s="1"/>
  <c r="H35" i="13"/>
  <c r="H36" i="15" s="1"/>
  <c r="H31" i="13"/>
  <c r="H32" i="15" s="1"/>
  <c r="H30" i="13"/>
  <c r="H31" i="15" s="1"/>
  <c r="H29" i="13"/>
  <c r="H30" i="15" s="1"/>
  <c r="H28" i="13"/>
  <c r="H29" i="15" s="1"/>
  <c r="H25" i="13"/>
  <c r="H26" i="15" s="1"/>
  <c r="H24" i="13"/>
  <c r="H25" i="15" s="1"/>
  <c r="H23" i="13"/>
  <c r="H24" i="15" s="1"/>
  <c r="H22" i="13"/>
  <c r="H20" i="13"/>
  <c r="H21" i="15" s="1"/>
  <c r="I23" i="13"/>
  <c r="AA16" i="13"/>
  <c r="H617" i="13"/>
  <c r="L617" i="13"/>
  <c r="X354" i="13"/>
  <c r="S354" i="13"/>
  <c r="I354" i="13"/>
  <c r="X351" i="13"/>
  <c r="S351" i="13"/>
  <c r="I351" i="13"/>
  <c r="X350" i="13"/>
  <c r="S350" i="13"/>
  <c r="I350" i="13"/>
  <c r="X349" i="13"/>
  <c r="S349" i="13"/>
  <c r="I349" i="13"/>
  <c r="X348" i="13"/>
  <c r="S348" i="13"/>
  <c r="I348" i="13"/>
  <c r="X347" i="13"/>
  <c r="S347" i="13"/>
  <c r="I347" i="13"/>
  <c r="X346" i="13"/>
  <c r="S346" i="13"/>
  <c r="I346" i="13"/>
  <c r="X345" i="13"/>
  <c r="S345" i="13"/>
  <c r="I345" i="13"/>
  <c r="X344" i="13"/>
  <c r="S344" i="13"/>
  <c r="I344" i="13"/>
  <c r="X343" i="13"/>
  <c r="S343" i="13"/>
  <c r="I343" i="13"/>
  <c r="X342" i="13"/>
  <c r="S342" i="13"/>
  <c r="I342" i="13"/>
  <c r="X340" i="13"/>
  <c r="S340" i="13"/>
  <c r="I340" i="13"/>
  <c r="X339" i="13"/>
  <c r="S339" i="13"/>
  <c r="I339" i="13"/>
  <c r="X338" i="13"/>
  <c r="S338" i="13"/>
  <c r="I338" i="13"/>
  <c r="X336" i="13"/>
  <c r="S336" i="13"/>
  <c r="I336" i="13"/>
  <c r="X334" i="13"/>
  <c r="S334" i="13"/>
  <c r="I334" i="13"/>
  <c r="X333" i="13"/>
  <c r="S333" i="13"/>
  <c r="I333" i="13"/>
  <c r="X332" i="13"/>
  <c r="S332" i="13"/>
  <c r="I332" i="13"/>
  <c r="J332" i="13" s="1"/>
  <c r="N332" i="13" s="1"/>
  <c r="X331" i="13"/>
  <c r="S331" i="13"/>
  <c r="I331" i="13"/>
  <c r="J331" i="13" s="1"/>
  <c r="N331" i="13" s="1"/>
  <c r="X330" i="13"/>
  <c r="S330" i="13"/>
  <c r="I330" i="13"/>
  <c r="X329" i="13"/>
  <c r="S329" i="13"/>
  <c r="I329" i="13"/>
  <c r="X328" i="13"/>
  <c r="S328" i="13"/>
  <c r="I328" i="13"/>
  <c r="X327" i="13"/>
  <c r="S327" i="13"/>
  <c r="I327" i="13"/>
  <c r="X326" i="13"/>
  <c r="S326" i="13"/>
  <c r="I326" i="13"/>
  <c r="X325" i="13"/>
  <c r="S325" i="13"/>
  <c r="I325" i="13"/>
  <c r="X324" i="13"/>
  <c r="S324" i="13"/>
  <c r="I324" i="13"/>
  <c r="X323" i="13"/>
  <c r="S323" i="13"/>
  <c r="I323" i="13"/>
  <c r="X322" i="13"/>
  <c r="S322" i="13"/>
  <c r="I322" i="13"/>
  <c r="X321" i="13"/>
  <c r="S321" i="13"/>
  <c r="I321" i="13"/>
  <c r="X320" i="13"/>
  <c r="S320" i="13"/>
  <c r="I320" i="13"/>
  <c r="X319" i="13"/>
  <c r="S319" i="13"/>
  <c r="I319" i="13"/>
  <c r="X317" i="13"/>
  <c r="S317" i="13"/>
  <c r="I317" i="13"/>
  <c r="J317" i="13" s="1"/>
  <c r="N317" i="13" s="1"/>
  <c r="X316" i="13"/>
  <c r="S316" i="13"/>
  <c r="I316" i="13"/>
  <c r="X315" i="13"/>
  <c r="S315" i="13"/>
  <c r="I315" i="13"/>
  <c r="J315" i="13" s="1"/>
  <c r="N315" i="13" s="1"/>
  <c r="X313" i="13"/>
  <c r="S313" i="13"/>
  <c r="I313" i="13"/>
  <c r="X311" i="13"/>
  <c r="S311" i="13"/>
  <c r="I311" i="13"/>
  <c r="X310" i="13"/>
  <c r="S310" i="13"/>
  <c r="I310" i="13"/>
  <c r="X309" i="13"/>
  <c r="S309" i="13"/>
  <c r="I309" i="13"/>
  <c r="X308" i="13"/>
  <c r="S308" i="13"/>
  <c r="I308" i="13"/>
  <c r="J308" i="13" s="1"/>
  <c r="N308" i="13" s="1"/>
  <c r="X306" i="13"/>
  <c r="S306" i="13"/>
  <c r="I306" i="13"/>
  <c r="X304" i="13"/>
  <c r="S304" i="13"/>
  <c r="I304" i="13"/>
  <c r="X303" i="13"/>
  <c r="S303" i="13"/>
  <c r="I303" i="13"/>
  <c r="X302" i="13"/>
  <c r="S302" i="13"/>
  <c r="I302" i="13"/>
  <c r="X301" i="13"/>
  <c r="S301" i="13"/>
  <c r="I301" i="13"/>
  <c r="X300" i="13"/>
  <c r="S300" i="13"/>
  <c r="I300" i="13"/>
  <c r="X298" i="13"/>
  <c r="S298" i="13"/>
  <c r="I298" i="13"/>
  <c r="X297" i="13"/>
  <c r="S297" i="13"/>
  <c r="I297" i="13"/>
  <c r="X295" i="13"/>
  <c r="S295" i="13"/>
  <c r="I295" i="13"/>
  <c r="X294" i="13"/>
  <c r="S294" i="13"/>
  <c r="I294" i="13"/>
  <c r="X293" i="13"/>
  <c r="S293" i="13"/>
  <c r="I293" i="13"/>
  <c r="X292" i="13"/>
  <c r="S292" i="13"/>
  <c r="I292" i="13"/>
  <c r="X291" i="13"/>
  <c r="S291" i="13"/>
  <c r="I291" i="13"/>
  <c r="X290" i="13"/>
  <c r="S290" i="13"/>
  <c r="I290" i="13"/>
  <c r="X288" i="13"/>
  <c r="S288" i="13"/>
  <c r="I288" i="13"/>
  <c r="X286" i="13"/>
  <c r="S286" i="13"/>
  <c r="I286" i="13"/>
  <c r="X284" i="13"/>
  <c r="S284" i="13"/>
  <c r="I284" i="13"/>
  <c r="X283" i="13"/>
  <c r="S283" i="13"/>
  <c r="I283" i="13"/>
  <c r="W281" i="13"/>
  <c r="W277" i="13" s="1"/>
  <c r="V281" i="13"/>
  <c r="V277" i="13" s="1"/>
  <c r="U281" i="13"/>
  <c r="U277" i="13" s="1"/>
  <c r="T281" i="13"/>
  <c r="T277" i="13" s="1"/>
  <c r="R281" i="13"/>
  <c r="R277" i="13" s="1"/>
  <c r="Q281" i="13"/>
  <c r="Q277" i="13" s="1"/>
  <c r="P281" i="13"/>
  <c r="P277" i="13" s="1"/>
  <c r="O281" i="13"/>
  <c r="O277" i="13" s="1"/>
  <c r="M281" i="13"/>
  <c r="M277" i="13" s="1"/>
  <c r="L281" i="13"/>
  <c r="L277" i="13" s="1"/>
  <c r="K281" i="13"/>
  <c r="K277" i="13" s="1"/>
  <c r="H281" i="13"/>
  <c r="H277" i="13" s="1"/>
  <c r="W171" i="13"/>
  <c r="V171" i="13"/>
  <c r="U171" i="13"/>
  <c r="T171" i="13"/>
  <c r="R171" i="13"/>
  <c r="Q171" i="13"/>
  <c r="P171" i="13"/>
  <c r="O171" i="13"/>
  <c r="M171" i="13"/>
  <c r="L171" i="13"/>
  <c r="K171" i="13"/>
  <c r="H171" i="13"/>
  <c r="W246" i="13"/>
  <c r="V246" i="13"/>
  <c r="U246" i="13"/>
  <c r="T246" i="13"/>
  <c r="R246" i="13"/>
  <c r="Q246" i="13"/>
  <c r="P246" i="13"/>
  <c r="O246" i="13"/>
  <c r="M246" i="13"/>
  <c r="L246" i="13"/>
  <c r="K246" i="13"/>
  <c r="K146" i="13" s="1"/>
  <c r="H246" i="13"/>
  <c r="X273" i="13"/>
  <c r="S273" i="13"/>
  <c r="I273" i="13"/>
  <c r="X271" i="13"/>
  <c r="S271" i="13"/>
  <c r="I271" i="13"/>
  <c r="J271" i="13" s="1"/>
  <c r="N271" i="13" s="1"/>
  <c r="X269" i="13"/>
  <c r="S269" i="13"/>
  <c r="I269" i="13"/>
  <c r="J269" i="13" s="1"/>
  <c r="N269" i="13" s="1"/>
  <c r="X268" i="13"/>
  <c r="S268" i="13"/>
  <c r="I268" i="13"/>
  <c r="J268" i="13" s="1"/>
  <c r="N268" i="13" s="1"/>
  <c r="X266" i="13"/>
  <c r="S266" i="13"/>
  <c r="I266" i="13"/>
  <c r="J266" i="13" s="1"/>
  <c r="N266" i="13" s="1"/>
  <c r="X265" i="13"/>
  <c r="S265" i="13"/>
  <c r="I265" i="13"/>
  <c r="J265" i="13" s="1"/>
  <c r="N265" i="13" s="1"/>
  <c r="X264" i="13"/>
  <c r="S264" i="13"/>
  <c r="I264" i="13"/>
  <c r="J264" i="13" s="1"/>
  <c r="N264" i="13" s="1"/>
  <c r="X262" i="13"/>
  <c r="S262" i="13"/>
  <c r="I262" i="13"/>
  <c r="J262" i="13" s="1"/>
  <c r="N262" i="13" s="1"/>
  <c r="X261" i="13"/>
  <c r="S261" i="13"/>
  <c r="I261" i="13"/>
  <c r="J261" i="13" s="1"/>
  <c r="N261" i="13" s="1"/>
  <c r="X260" i="13"/>
  <c r="S260" i="13"/>
  <c r="I260" i="13"/>
  <c r="J260" i="13" s="1"/>
  <c r="N260" i="13" s="1"/>
  <c r="X259" i="13"/>
  <c r="S259" i="13"/>
  <c r="I259" i="13"/>
  <c r="J259" i="13" s="1"/>
  <c r="N259" i="13" s="1"/>
  <c r="X258" i="13"/>
  <c r="S258" i="13"/>
  <c r="I258" i="13"/>
  <c r="J258" i="13" s="1"/>
  <c r="N258" i="13" s="1"/>
  <c r="X257" i="13"/>
  <c r="S257" i="13"/>
  <c r="I257" i="13"/>
  <c r="J257" i="13" s="1"/>
  <c r="N257" i="13" s="1"/>
  <c r="X256" i="13"/>
  <c r="S256" i="13"/>
  <c r="I256" i="13"/>
  <c r="J256" i="13" s="1"/>
  <c r="N256" i="13" s="1"/>
  <c r="X254" i="13"/>
  <c r="S254" i="13"/>
  <c r="I254" i="13"/>
  <c r="J254" i="13" s="1"/>
  <c r="N254" i="13" s="1"/>
  <c r="X253" i="13"/>
  <c r="S253" i="13"/>
  <c r="I253" i="13"/>
  <c r="J253" i="13" s="1"/>
  <c r="N253" i="13" s="1"/>
  <c r="X252" i="13"/>
  <c r="S252" i="13"/>
  <c r="I252" i="13"/>
  <c r="J252" i="13" s="1"/>
  <c r="N252" i="13" s="1"/>
  <c r="X250" i="13"/>
  <c r="S250" i="13"/>
  <c r="I250" i="13"/>
  <c r="J250" i="13" s="1"/>
  <c r="N250" i="13" s="1"/>
  <c r="X249" i="13"/>
  <c r="S249" i="13"/>
  <c r="I249" i="13"/>
  <c r="X244" i="13"/>
  <c r="S244" i="13"/>
  <c r="I244" i="13"/>
  <c r="J244" i="13" s="1"/>
  <c r="N244" i="13" s="1"/>
  <c r="X241" i="13"/>
  <c r="S241" i="13"/>
  <c r="I241" i="13"/>
  <c r="J241" i="13" s="1"/>
  <c r="N241" i="13" s="1"/>
  <c r="X240" i="13"/>
  <c r="S240" i="13"/>
  <c r="I240" i="13"/>
  <c r="J240" i="13" s="1"/>
  <c r="N240" i="13" s="1"/>
  <c r="X239" i="13"/>
  <c r="S239" i="13"/>
  <c r="I239" i="13"/>
  <c r="J239" i="13" s="1"/>
  <c r="N239" i="13" s="1"/>
  <c r="X238" i="13"/>
  <c r="S238" i="13"/>
  <c r="I238" i="13"/>
  <c r="J238" i="13" s="1"/>
  <c r="N238" i="13" s="1"/>
  <c r="X237" i="13"/>
  <c r="S237" i="13"/>
  <c r="I237" i="13"/>
  <c r="J237" i="13" s="1"/>
  <c r="N237" i="13" s="1"/>
  <c r="X236" i="13"/>
  <c r="S236" i="13"/>
  <c r="I236" i="13"/>
  <c r="J236" i="13" s="1"/>
  <c r="N236" i="13" s="1"/>
  <c r="X235" i="13"/>
  <c r="S235" i="13"/>
  <c r="I235" i="13"/>
  <c r="J235" i="13" s="1"/>
  <c r="N235" i="13" s="1"/>
  <c r="X234" i="13"/>
  <c r="S234" i="13"/>
  <c r="I234" i="13"/>
  <c r="J234" i="13" s="1"/>
  <c r="N234" i="13" s="1"/>
  <c r="X233" i="13"/>
  <c r="S233" i="13"/>
  <c r="I233" i="13"/>
  <c r="J233" i="13" s="1"/>
  <c r="N233" i="13" s="1"/>
  <c r="X232" i="13"/>
  <c r="S232" i="13"/>
  <c r="I232" i="13"/>
  <c r="J232" i="13" s="1"/>
  <c r="N232" i="13" s="1"/>
  <c r="X230" i="13"/>
  <c r="S230" i="13"/>
  <c r="I230" i="13"/>
  <c r="J230" i="13" s="1"/>
  <c r="N230" i="13" s="1"/>
  <c r="X229" i="13"/>
  <c r="S229" i="13"/>
  <c r="I229" i="13"/>
  <c r="J229" i="13" s="1"/>
  <c r="N229" i="13" s="1"/>
  <c r="X228" i="13"/>
  <c r="S228" i="13"/>
  <c r="I228" i="13"/>
  <c r="J228" i="13" s="1"/>
  <c r="N228" i="13" s="1"/>
  <c r="X226" i="13"/>
  <c r="S226" i="13"/>
  <c r="I226" i="13"/>
  <c r="X224" i="13"/>
  <c r="S224" i="13"/>
  <c r="I224" i="13"/>
  <c r="X223" i="13"/>
  <c r="S223" i="13"/>
  <c r="I223" i="13"/>
  <c r="X222" i="13"/>
  <c r="S222" i="13"/>
  <c r="I222" i="13"/>
  <c r="X221" i="13"/>
  <c r="S221" i="13"/>
  <c r="I221" i="13"/>
  <c r="X220" i="13"/>
  <c r="S220" i="13"/>
  <c r="I220" i="13"/>
  <c r="X219" i="13"/>
  <c r="S219" i="13"/>
  <c r="I219" i="13"/>
  <c r="X218" i="13"/>
  <c r="S218" i="13"/>
  <c r="I218" i="13"/>
  <c r="X217" i="13"/>
  <c r="S217" i="13"/>
  <c r="I217" i="13"/>
  <c r="X216" i="13"/>
  <c r="S216" i="13"/>
  <c r="I216" i="13"/>
  <c r="X215" i="13"/>
  <c r="S215" i="13"/>
  <c r="I215" i="13"/>
  <c r="X214" i="13"/>
  <c r="S214" i="13"/>
  <c r="I214" i="13"/>
  <c r="X213" i="13"/>
  <c r="S213" i="13"/>
  <c r="I213" i="13"/>
  <c r="X212" i="13"/>
  <c r="S212" i="13"/>
  <c r="I212" i="13"/>
  <c r="X211" i="13"/>
  <c r="S211" i="13"/>
  <c r="I211" i="13"/>
  <c r="X210" i="13"/>
  <c r="S210" i="13"/>
  <c r="I210" i="13"/>
  <c r="X209" i="13"/>
  <c r="S209" i="13"/>
  <c r="I209" i="13"/>
  <c r="X207" i="13"/>
  <c r="S207" i="13"/>
  <c r="I207" i="13"/>
  <c r="J207" i="13" s="1"/>
  <c r="N207" i="13" s="1"/>
  <c r="X206" i="13"/>
  <c r="S206" i="13"/>
  <c r="I206" i="13"/>
  <c r="J206" i="13" s="1"/>
  <c r="N206" i="13" s="1"/>
  <c r="X205" i="13"/>
  <c r="S205" i="13"/>
  <c r="I205" i="13"/>
  <c r="J205" i="13" s="1"/>
  <c r="N205" i="13" s="1"/>
  <c r="X203" i="13"/>
  <c r="S203" i="13"/>
  <c r="I203" i="13"/>
  <c r="J203" i="13" s="1"/>
  <c r="N203" i="13" s="1"/>
  <c r="X201" i="13"/>
  <c r="S201" i="13"/>
  <c r="I201" i="13"/>
  <c r="J201" i="13" s="1"/>
  <c r="X200" i="13"/>
  <c r="S200" i="13"/>
  <c r="I200" i="13"/>
  <c r="J200" i="13" s="1"/>
  <c r="X199" i="13"/>
  <c r="S199" i="13"/>
  <c r="I199" i="13"/>
  <c r="J199" i="13" s="1"/>
  <c r="X198" i="13"/>
  <c r="S198" i="13"/>
  <c r="I198" i="13"/>
  <c r="J198" i="13" s="1"/>
  <c r="X196" i="13"/>
  <c r="S196" i="13"/>
  <c r="I196" i="13"/>
  <c r="J196" i="13" s="1"/>
  <c r="X194" i="13"/>
  <c r="S194" i="13"/>
  <c r="I194" i="13"/>
  <c r="J194" i="13" s="1"/>
  <c r="N194" i="13" s="1"/>
  <c r="X193" i="13"/>
  <c r="S193" i="13"/>
  <c r="I193" i="13"/>
  <c r="J193" i="13" s="1"/>
  <c r="N193" i="13" s="1"/>
  <c r="X192" i="13"/>
  <c r="S192" i="13"/>
  <c r="I192" i="13"/>
  <c r="J192" i="13" s="1"/>
  <c r="N192" i="13" s="1"/>
  <c r="X191" i="13"/>
  <c r="S191" i="13"/>
  <c r="I191" i="13"/>
  <c r="J191" i="13" s="1"/>
  <c r="N191" i="13" s="1"/>
  <c r="X190" i="13"/>
  <c r="S190" i="13"/>
  <c r="I190" i="13"/>
  <c r="J190" i="13" s="1"/>
  <c r="N190" i="13" s="1"/>
  <c r="X188" i="13"/>
  <c r="S188" i="13"/>
  <c r="I188" i="13"/>
  <c r="X187" i="13"/>
  <c r="S187" i="13"/>
  <c r="I187" i="13"/>
  <c r="X185" i="13"/>
  <c r="S185" i="13"/>
  <c r="I185" i="13"/>
  <c r="J185" i="13" s="1"/>
  <c r="N185" i="13" s="1"/>
  <c r="X184" i="13"/>
  <c r="S184" i="13"/>
  <c r="I184" i="13"/>
  <c r="J184" i="13" s="1"/>
  <c r="N184" i="13" s="1"/>
  <c r="X183" i="13"/>
  <c r="S183" i="13"/>
  <c r="I183" i="13"/>
  <c r="J183" i="13" s="1"/>
  <c r="N183" i="13" s="1"/>
  <c r="X182" i="13"/>
  <c r="S182" i="13"/>
  <c r="I182" i="13"/>
  <c r="J182" i="13" s="1"/>
  <c r="N182" i="13" s="1"/>
  <c r="X181" i="13"/>
  <c r="S181" i="13"/>
  <c r="I181" i="13"/>
  <c r="J181" i="13" s="1"/>
  <c r="N181" i="13" s="1"/>
  <c r="X180" i="13"/>
  <c r="S180" i="13"/>
  <c r="I180" i="13"/>
  <c r="J180" i="13" s="1"/>
  <c r="N180" i="13" s="1"/>
  <c r="X178" i="13"/>
  <c r="S178" i="13"/>
  <c r="I178" i="13"/>
  <c r="J178" i="13" s="1"/>
  <c r="N178" i="13" s="1"/>
  <c r="X176" i="13"/>
  <c r="S176" i="13"/>
  <c r="I176" i="13"/>
  <c r="J176" i="13" s="1"/>
  <c r="N176" i="13" s="1"/>
  <c r="X174" i="13"/>
  <c r="S174" i="13"/>
  <c r="I174" i="13"/>
  <c r="X173" i="13"/>
  <c r="S173" i="13"/>
  <c r="I173" i="13"/>
  <c r="X168" i="13"/>
  <c r="S168" i="13"/>
  <c r="I168" i="13"/>
  <c r="J168" i="13" s="1"/>
  <c r="N168" i="13" s="1"/>
  <c r="X166" i="13"/>
  <c r="S166" i="13"/>
  <c r="I166" i="13"/>
  <c r="J166" i="13" s="1"/>
  <c r="N166" i="13" s="1"/>
  <c r="X165" i="13"/>
  <c r="S165" i="13"/>
  <c r="I165" i="13"/>
  <c r="J165" i="13" s="1"/>
  <c r="N165" i="13" s="1"/>
  <c r="X164" i="13"/>
  <c r="S164" i="13"/>
  <c r="I164" i="13"/>
  <c r="J164" i="13" s="1"/>
  <c r="N164" i="13" s="1"/>
  <c r="X162" i="13"/>
  <c r="S162" i="13"/>
  <c r="I162" i="13"/>
  <c r="J162" i="13" s="1"/>
  <c r="N162" i="13" s="1"/>
  <c r="X160" i="13"/>
  <c r="S160" i="13"/>
  <c r="I160" i="13"/>
  <c r="J160" i="13" s="1"/>
  <c r="N160" i="13" s="1"/>
  <c r="X159" i="13"/>
  <c r="S159" i="13"/>
  <c r="I159" i="13"/>
  <c r="J159" i="13" s="1"/>
  <c r="N159" i="13" s="1"/>
  <c r="X158" i="13"/>
  <c r="S158" i="13"/>
  <c r="I158" i="13"/>
  <c r="J158" i="13" s="1"/>
  <c r="N158" i="13" s="1"/>
  <c r="X157" i="13"/>
  <c r="S157" i="13"/>
  <c r="I157" i="13"/>
  <c r="J157" i="13" s="1"/>
  <c r="N157" i="13" s="1"/>
  <c r="X154" i="13"/>
  <c r="S154" i="13"/>
  <c r="I154" i="13"/>
  <c r="J154" i="13" s="1"/>
  <c r="N154" i="13" s="1"/>
  <c r="X153" i="13"/>
  <c r="S153" i="13"/>
  <c r="I153" i="13"/>
  <c r="J153" i="13" s="1"/>
  <c r="N153" i="13" s="1"/>
  <c r="X152" i="13"/>
  <c r="S152" i="13"/>
  <c r="I152" i="13"/>
  <c r="J152" i="13" s="1"/>
  <c r="N152" i="13" s="1"/>
  <c r="X151" i="13"/>
  <c r="S151" i="13"/>
  <c r="I151" i="13"/>
  <c r="J151" i="13" s="1"/>
  <c r="N151" i="13" s="1"/>
  <c r="X149" i="13"/>
  <c r="S149" i="13"/>
  <c r="I149" i="13"/>
  <c r="L168" i="11"/>
  <c r="L167" i="11"/>
  <c r="H168" i="11"/>
  <c r="H167" i="11"/>
  <c r="AA166" i="11"/>
  <c r="L151" i="11"/>
  <c r="H151" i="11"/>
  <c r="H149" i="11" s="1"/>
  <c r="L150" i="11"/>
  <c r="H150" i="11"/>
  <c r="AA149" i="11"/>
  <c r="L144" i="11"/>
  <c r="H144" i="11"/>
  <c r="H160" i="11" s="1"/>
  <c r="L133" i="11"/>
  <c r="H133" i="11"/>
  <c r="AA121" i="11"/>
  <c r="L121" i="11"/>
  <c r="H121" i="11"/>
  <c r="L117" i="11"/>
  <c r="H117" i="11"/>
  <c r="L113" i="11"/>
  <c r="H113" i="11"/>
  <c r="L101" i="11"/>
  <c r="AA72" i="11"/>
  <c r="AA88" i="11" s="1"/>
  <c r="L72" i="11"/>
  <c r="H72" i="11"/>
  <c r="L107" i="11"/>
  <c r="L106" i="11"/>
  <c r="H107" i="11"/>
  <c r="L60" i="11"/>
  <c r="H60" i="11"/>
  <c r="L46" i="11"/>
  <c r="AA31" i="11"/>
  <c r="L31" i="11"/>
  <c r="H31" i="11"/>
  <c r="L24" i="11"/>
  <c r="H24" i="11"/>
  <c r="L19" i="11"/>
  <c r="H19" i="11"/>
  <c r="BV155" i="9"/>
  <c r="BU155" i="9"/>
  <c r="BT155" i="9"/>
  <c r="BO155" i="9"/>
  <c r="BI155" i="9"/>
  <c r="BH155" i="9"/>
  <c r="BG155" i="9"/>
  <c r="BE155" i="9"/>
  <c r="BD155" i="9"/>
  <c r="BC155" i="9"/>
  <c r="BA155" i="9"/>
  <c r="AZ155" i="9"/>
  <c r="U155" i="9"/>
  <c r="T155" i="9"/>
  <c r="S155" i="9"/>
  <c r="Q155" i="9"/>
  <c r="P155" i="9"/>
  <c r="O155" i="9"/>
  <c r="M155" i="9"/>
  <c r="L155" i="9"/>
  <c r="K155" i="9"/>
  <c r="BW157" i="9"/>
  <c r="BM157" i="9"/>
  <c r="BZ157" i="9" s="1"/>
  <c r="BL157" i="9"/>
  <c r="BK157" i="9"/>
  <c r="BJ157" i="9"/>
  <c r="BF157" i="9"/>
  <c r="BB157" i="9"/>
  <c r="BY157" i="9"/>
  <c r="BX157" i="9"/>
  <c r="Y157" i="9"/>
  <c r="BR157" i="9" s="1"/>
  <c r="X157" i="9"/>
  <c r="BQ157" i="9" s="1"/>
  <c r="W157" i="9"/>
  <c r="BP157" i="9" s="1"/>
  <c r="V157" i="9"/>
  <c r="R157" i="9"/>
  <c r="N157" i="9"/>
  <c r="J157" i="9"/>
  <c r="BW156" i="9"/>
  <c r="BM156" i="9"/>
  <c r="BL156" i="9"/>
  <c r="BL155" i="9" s="1"/>
  <c r="BK156" i="9"/>
  <c r="BX156" i="9" s="1"/>
  <c r="BJ156" i="9"/>
  <c r="BF156" i="9"/>
  <c r="BB156" i="9"/>
  <c r="BB155" i="9" s="1"/>
  <c r="Y156" i="9"/>
  <c r="X156" i="9"/>
  <c r="BQ156" i="9" s="1"/>
  <c r="W156" i="9"/>
  <c r="V156" i="9"/>
  <c r="R156" i="9"/>
  <c r="N156" i="9"/>
  <c r="N155" i="9" s="1"/>
  <c r="J156" i="9"/>
  <c r="BV166" i="9"/>
  <c r="BU166" i="9"/>
  <c r="BT166" i="9"/>
  <c r="BO166" i="9"/>
  <c r="BI166" i="9"/>
  <c r="BH166" i="9"/>
  <c r="BG166" i="9"/>
  <c r="BE166" i="9"/>
  <c r="BD166" i="9"/>
  <c r="BC166" i="9"/>
  <c r="BA166" i="9"/>
  <c r="AZ166" i="9"/>
  <c r="AY166" i="9"/>
  <c r="U166" i="9"/>
  <c r="T166" i="9"/>
  <c r="S166" i="9"/>
  <c r="Q166" i="9"/>
  <c r="P166" i="9"/>
  <c r="O166" i="9"/>
  <c r="M166" i="9"/>
  <c r="L166" i="9"/>
  <c r="K166" i="9"/>
  <c r="BW167" i="9"/>
  <c r="BW166" i="9" s="1"/>
  <c r="BM167" i="9"/>
  <c r="BM166" i="9" s="1"/>
  <c r="O44" i="1" s="1"/>
  <c r="BL167" i="9"/>
  <c r="BK167" i="9"/>
  <c r="BJ167" i="9"/>
  <c r="BJ166" i="9" s="1"/>
  <c r="BF167" i="9"/>
  <c r="BF166" i="9" s="1"/>
  <c r="BB167" i="9"/>
  <c r="BB166" i="9" s="1"/>
  <c r="J44" i="1"/>
  <c r="Y167" i="9"/>
  <c r="BR167" i="9" s="1"/>
  <c r="BR166" i="9" s="1"/>
  <c r="X167" i="9"/>
  <c r="W167" i="9"/>
  <c r="V167" i="9"/>
  <c r="V166" i="9" s="1"/>
  <c r="R167" i="9"/>
  <c r="R166" i="9" s="1"/>
  <c r="N167" i="9"/>
  <c r="N166" i="9" s="1"/>
  <c r="J167" i="9"/>
  <c r="J166" i="9" s="1"/>
  <c r="BW295" i="9"/>
  <c r="BW294" i="9" s="1"/>
  <c r="BV294" i="9"/>
  <c r="BU294" i="9"/>
  <c r="BT294" i="9"/>
  <c r="BW293" i="9"/>
  <c r="BW292" i="9"/>
  <c r="BW291" i="9"/>
  <c r="BW290" i="9"/>
  <c r="BV289" i="9"/>
  <c r="BV288" i="9" s="1"/>
  <c r="BU289" i="9"/>
  <c r="BU288" i="9" s="1"/>
  <c r="BT289" i="9"/>
  <c r="BT288" i="9" s="1"/>
  <c r="BW287" i="9"/>
  <c r="BW286" i="9"/>
  <c r="BW285" i="9"/>
  <c r="BW284" i="9"/>
  <c r="BV283" i="9"/>
  <c r="BV281" i="9" s="1"/>
  <c r="BU283" i="9"/>
  <c r="BU281" i="9" s="1"/>
  <c r="BT283" i="9"/>
  <c r="BT281" i="9" s="1"/>
  <c r="BW282" i="9"/>
  <c r="BW280" i="9"/>
  <c r="BW279" i="9" s="1"/>
  <c r="BV279" i="9"/>
  <c r="BU279" i="9"/>
  <c r="BT279" i="9"/>
  <c r="BW278" i="9"/>
  <c r="BW277" i="9"/>
  <c r="BW276" i="9"/>
  <c r="BV275" i="9"/>
  <c r="BV272" i="9" s="1"/>
  <c r="BU275" i="9"/>
  <c r="BT275" i="9"/>
  <c r="BT272" i="9" s="1"/>
  <c r="BW274" i="9"/>
  <c r="BW273" i="9"/>
  <c r="BU272" i="9"/>
  <c r="BW270" i="9"/>
  <c r="BW269" i="9"/>
  <c r="BW268" i="9"/>
  <c r="BW267" i="9"/>
  <c r="BW266" i="9"/>
  <c r="BW265" i="9"/>
  <c r="BW264" i="9"/>
  <c r="BV263" i="9"/>
  <c r="BU263" i="9"/>
  <c r="BT263" i="9"/>
  <c r="BW262" i="9"/>
  <c r="BW261" i="9"/>
  <c r="BW260" i="9"/>
  <c r="BW259" i="9"/>
  <c r="BW258" i="9"/>
  <c r="BW257" i="9"/>
  <c r="BW256" i="9"/>
  <c r="BV255" i="9"/>
  <c r="BU255" i="9"/>
  <c r="BT255" i="9"/>
  <c r="BW254" i="9"/>
  <c r="BW253" i="9"/>
  <c r="BV252" i="9"/>
  <c r="BV251" i="9" s="1"/>
  <c r="BU252" i="9"/>
  <c r="BU251" i="9" s="1"/>
  <c r="BT252" i="9"/>
  <c r="BT251" i="9" s="1"/>
  <c r="BW250" i="9"/>
  <c r="BW249" i="9"/>
  <c r="BW248" i="9"/>
  <c r="BW247" i="9"/>
  <c r="BV246" i="9"/>
  <c r="BV245" i="9" s="1"/>
  <c r="BU246" i="9"/>
  <c r="BU245" i="9" s="1"/>
  <c r="BT246" i="9"/>
  <c r="BT245" i="9"/>
  <c r="BW241" i="9"/>
  <c r="BW240" i="9" s="1"/>
  <c r="BV240" i="9"/>
  <c r="BU240" i="9"/>
  <c r="BT240" i="9"/>
  <c r="BW239" i="9"/>
  <c r="BW238" i="9" s="1"/>
  <c r="BV238" i="9"/>
  <c r="BU238" i="9"/>
  <c r="BT238" i="9"/>
  <c r="BW237" i="9"/>
  <c r="BW236" i="9"/>
  <c r="BW235" i="9"/>
  <c r="BW234" i="9"/>
  <c r="BV233" i="9"/>
  <c r="BU233" i="9"/>
  <c r="BT233" i="9"/>
  <c r="BW232" i="9"/>
  <c r="BW231" i="9"/>
  <c r="BW230" i="9"/>
  <c r="BV229" i="9"/>
  <c r="BU229" i="9"/>
  <c r="BT229" i="9"/>
  <c r="BW228" i="9"/>
  <c r="BW227" i="9" s="1"/>
  <c r="BV227" i="9"/>
  <c r="BU227" i="9"/>
  <c r="BT227" i="9"/>
  <c r="BT226" i="9" s="1"/>
  <c r="BW225" i="9"/>
  <c r="BW224" i="9"/>
  <c r="BW223" i="9"/>
  <c r="BW222" i="9"/>
  <c r="BW221" i="9"/>
  <c r="BV220" i="9"/>
  <c r="BU220" i="9"/>
  <c r="BT220" i="9"/>
  <c r="BW219" i="9"/>
  <c r="BW218" i="9"/>
  <c r="BW217" i="9"/>
  <c r="BW216" i="9"/>
  <c r="BW215" i="9"/>
  <c r="BW214" i="9"/>
  <c r="BW213" i="9"/>
  <c r="BW212" i="9"/>
  <c r="BV211" i="9"/>
  <c r="BV210" i="9" s="1"/>
  <c r="BV209" i="9" s="1"/>
  <c r="BU211" i="9"/>
  <c r="BU210" i="9" s="1"/>
  <c r="BT211" i="9"/>
  <c r="BT210" i="9" s="1"/>
  <c r="BW207" i="9"/>
  <c r="BW206" i="9"/>
  <c r="BW205" i="9"/>
  <c r="BW204" i="9"/>
  <c r="BV203" i="9"/>
  <c r="AA140" i="11" s="1"/>
  <c r="BU203" i="9"/>
  <c r="AA139" i="11" s="1"/>
  <c r="BT203" i="9"/>
  <c r="BW202" i="9"/>
  <c r="BW201" i="9"/>
  <c r="BW200" i="9"/>
  <c r="BW199" i="9"/>
  <c r="BW198" i="9"/>
  <c r="BW197" i="9"/>
  <c r="BW196" i="9"/>
  <c r="BV195" i="9"/>
  <c r="BU195" i="9"/>
  <c r="BT195" i="9"/>
  <c r="BW194" i="9"/>
  <c r="BW193" i="9"/>
  <c r="BW192" i="9"/>
  <c r="BV191" i="9"/>
  <c r="BU191" i="9"/>
  <c r="BT191" i="9"/>
  <c r="BW190" i="9"/>
  <c r="BW189" i="9"/>
  <c r="BW188" i="9" s="1"/>
  <c r="BV188" i="9"/>
  <c r="BU188" i="9"/>
  <c r="BT188" i="9"/>
  <c r="BW187" i="9"/>
  <c r="BW185" i="9" s="1"/>
  <c r="BW186" i="9"/>
  <c r="BV185" i="9"/>
  <c r="BV184" i="9" s="1"/>
  <c r="BU185" i="9"/>
  <c r="BT185" i="9"/>
  <c r="BW180" i="9"/>
  <c r="BW179" i="9"/>
  <c r="BW178" i="9"/>
  <c r="BW177" i="9" s="1"/>
  <c r="BV177" i="9"/>
  <c r="BU177" i="9"/>
  <c r="BT177" i="9"/>
  <c r="BW176" i="9"/>
  <c r="BW175" i="9" s="1"/>
  <c r="BV175" i="9"/>
  <c r="AA119" i="11" s="1"/>
  <c r="BU175" i="9"/>
  <c r="AA118" i="11" s="1"/>
  <c r="BT175" i="9"/>
  <c r="BW174" i="9"/>
  <c r="BW173" i="9"/>
  <c r="BW172" i="9"/>
  <c r="BW171" i="9"/>
  <c r="BV170" i="9"/>
  <c r="AA115" i="11" s="1"/>
  <c r="BU170" i="9"/>
  <c r="AA114" i="11" s="1"/>
  <c r="BT170" i="9"/>
  <c r="BW165" i="9"/>
  <c r="BW164" i="9"/>
  <c r="BW163" i="9"/>
  <c r="BV162" i="9"/>
  <c r="BU162" i="9"/>
  <c r="BT162" i="9"/>
  <c r="BW161" i="9"/>
  <c r="BW160" i="9"/>
  <c r="BW159" i="9"/>
  <c r="BV158" i="9"/>
  <c r="BU158" i="9"/>
  <c r="BT158" i="9"/>
  <c r="BW144" i="9"/>
  <c r="BW143" i="9" s="1"/>
  <c r="BV143" i="9"/>
  <c r="BU143" i="9"/>
  <c r="BT143" i="9"/>
  <c r="BW142" i="9"/>
  <c r="BW141" i="9"/>
  <c r="BW140" i="9"/>
  <c r="BW139" i="9"/>
  <c r="BV138" i="9"/>
  <c r="BV137" i="9" s="1"/>
  <c r="BU138" i="9"/>
  <c r="BU137" i="9" s="1"/>
  <c r="BT138" i="9"/>
  <c r="BT137" i="9" s="1"/>
  <c r="BW136" i="9"/>
  <c r="BW135" i="9"/>
  <c r="BW134" i="9"/>
  <c r="BW133" i="9"/>
  <c r="BV132" i="9"/>
  <c r="BU132" i="9"/>
  <c r="BT132" i="9"/>
  <c r="BT130" i="9" s="1"/>
  <c r="BW131" i="9"/>
  <c r="BV130" i="9"/>
  <c r="BU130" i="9"/>
  <c r="BW129" i="9"/>
  <c r="BW128" i="9" s="1"/>
  <c r="BV128" i="9"/>
  <c r="BU128" i="9"/>
  <c r="BT128" i="9"/>
  <c r="BW127" i="9"/>
  <c r="BW126" i="9"/>
  <c r="BW125" i="9"/>
  <c r="BV124" i="9"/>
  <c r="BV121" i="9" s="1"/>
  <c r="BU124" i="9"/>
  <c r="BU121" i="9" s="1"/>
  <c r="BT124" i="9"/>
  <c r="BT121" i="9" s="1"/>
  <c r="BW123" i="9"/>
  <c r="BW122" i="9"/>
  <c r="BW119" i="9"/>
  <c r="BW118" i="9"/>
  <c r="BW117" i="9"/>
  <c r="BW116" i="9"/>
  <c r="BW115" i="9"/>
  <c r="BW114" i="9"/>
  <c r="BW113" i="9"/>
  <c r="BV112" i="9"/>
  <c r="BU112" i="9"/>
  <c r="BT112" i="9"/>
  <c r="BW111" i="9"/>
  <c r="BW110" i="9"/>
  <c r="BW109" i="9"/>
  <c r="BW108" i="9"/>
  <c r="BW107" i="9"/>
  <c r="BW106" i="9"/>
  <c r="BW105" i="9"/>
  <c r="BV104" i="9"/>
  <c r="BU104" i="9"/>
  <c r="BT104" i="9"/>
  <c r="BW103" i="9"/>
  <c r="BW102" i="9"/>
  <c r="BW101" i="9" s="1"/>
  <c r="BW100" i="9" s="1"/>
  <c r="BV101" i="9"/>
  <c r="BV100" i="9" s="1"/>
  <c r="BU101" i="9"/>
  <c r="BU100" i="9" s="1"/>
  <c r="BT101" i="9"/>
  <c r="BT100" i="9" s="1"/>
  <c r="BW99" i="9"/>
  <c r="BW98" i="9"/>
  <c r="BW95" i="9" s="1"/>
  <c r="BW94" i="9" s="1"/>
  <c r="BW97" i="9"/>
  <c r="BW96" i="9"/>
  <c r="BV95" i="9"/>
  <c r="BV94" i="9" s="1"/>
  <c r="BU95" i="9"/>
  <c r="BU94" i="9" s="1"/>
  <c r="BT95" i="9"/>
  <c r="BT94" i="9" s="1"/>
  <c r="BW90" i="9"/>
  <c r="BW89" i="9" s="1"/>
  <c r="BV89" i="9"/>
  <c r="BU89" i="9"/>
  <c r="BT89" i="9"/>
  <c r="BW88" i="9"/>
  <c r="BW87" i="9" s="1"/>
  <c r="BV87" i="9"/>
  <c r="BU87" i="9"/>
  <c r="BT87" i="9"/>
  <c r="BW86" i="9"/>
  <c r="BW85" i="9"/>
  <c r="BW84" i="9"/>
  <c r="BW83" i="9"/>
  <c r="BV82" i="9"/>
  <c r="BU82" i="9"/>
  <c r="BT82" i="9"/>
  <c r="BW81" i="9"/>
  <c r="BW80" i="9"/>
  <c r="BW79" i="9"/>
  <c r="BV78" i="9"/>
  <c r="BU78" i="9"/>
  <c r="BT78" i="9"/>
  <c r="BW77" i="9"/>
  <c r="BW76" i="9" s="1"/>
  <c r="BV76" i="9"/>
  <c r="BU76" i="9"/>
  <c r="BT76" i="9"/>
  <c r="BW74" i="9"/>
  <c r="BW73" i="9"/>
  <c r="BW72" i="9"/>
  <c r="BW71" i="9"/>
  <c r="BW70" i="9"/>
  <c r="BV69" i="9"/>
  <c r="BU69" i="9"/>
  <c r="BT69" i="9"/>
  <c r="BW68" i="9"/>
  <c r="BW67" i="9"/>
  <c r="BW66" i="9"/>
  <c r="BW65" i="9"/>
  <c r="BW64" i="9"/>
  <c r="BW63" i="9"/>
  <c r="BW62" i="9"/>
  <c r="BW61" i="9"/>
  <c r="BV60" i="9"/>
  <c r="BV59" i="9" s="1"/>
  <c r="BU60" i="9"/>
  <c r="BU59" i="9" s="1"/>
  <c r="BT60" i="9"/>
  <c r="BT59" i="9" s="1"/>
  <c r="BW56" i="9"/>
  <c r="BW55" i="9"/>
  <c r="BW54" i="9"/>
  <c r="BW53" i="9"/>
  <c r="BV52" i="9"/>
  <c r="AA55" i="11" s="1"/>
  <c r="BU52" i="9"/>
  <c r="AA54" i="11" s="1"/>
  <c r="BT52" i="9"/>
  <c r="AA53" i="11" s="1"/>
  <c r="BW51" i="9"/>
  <c r="BW50" i="9"/>
  <c r="BW49" i="9"/>
  <c r="BW48" i="9"/>
  <c r="BW47" i="9"/>
  <c r="BW46" i="9"/>
  <c r="BW45" i="9"/>
  <c r="BV44" i="9"/>
  <c r="BU44" i="9"/>
  <c r="BT44" i="9"/>
  <c r="BW43" i="9"/>
  <c r="BW42" i="9"/>
  <c r="BW41" i="9"/>
  <c r="BV40" i="9"/>
  <c r="BU40" i="9"/>
  <c r="BT40" i="9"/>
  <c r="BW39" i="9"/>
  <c r="BW38" i="9"/>
  <c r="BW37" i="9" s="1"/>
  <c r="BV37" i="9"/>
  <c r="BU37" i="9"/>
  <c r="BT37" i="9"/>
  <c r="BW36" i="9"/>
  <c r="BW35" i="9"/>
  <c r="BV34" i="9"/>
  <c r="BU34" i="9"/>
  <c r="BU33" i="9" s="1"/>
  <c r="BT34" i="9"/>
  <c r="BT33" i="9" s="1"/>
  <c r="BT32" i="9" s="1"/>
  <c r="BW29" i="9"/>
  <c r="BW28" i="9"/>
  <c r="BW27" i="9"/>
  <c r="BV26" i="9"/>
  <c r="BU26" i="9"/>
  <c r="BT26" i="9"/>
  <c r="BW23" i="9"/>
  <c r="BW22" i="9" s="1"/>
  <c r="BV22" i="9"/>
  <c r="AA27" i="11" s="1"/>
  <c r="BU22" i="9"/>
  <c r="AA26" i="11" s="1"/>
  <c r="BT22" i="9"/>
  <c r="AA25" i="11" s="1"/>
  <c r="BW21" i="9"/>
  <c r="BW20" i="9"/>
  <c r="BW19" i="9"/>
  <c r="BW18" i="9"/>
  <c r="BV17" i="9"/>
  <c r="BU17" i="9"/>
  <c r="BT17" i="9"/>
  <c r="BK18" i="9"/>
  <c r="BL18" i="9"/>
  <c r="BM18" i="9"/>
  <c r="BK19" i="9"/>
  <c r="BL19" i="9"/>
  <c r="BM19" i="9"/>
  <c r="BK20" i="9"/>
  <c r="BL20" i="9"/>
  <c r="BM20" i="9"/>
  <c r="BK21" i="9"/>
  <c r="BL21" i="9"/>
  <c r="BY21" i="9" s="1"/>
  <c r="BM21" i="9"/>
  <c r="BK23" i="9"/>
  <c r="BL23" i="9"/>
  <c r="BL22" i="9" s="1"/>
  <c r="BM23" i="9"/>
  <c r="BM22" i="9" s="1"/>
  <c r="BK27" i="9"/>
  <c r="BL27" i="9"/>
  <c r="BM27" i="9"/>
  <c r="BK28" i="9"/>
  <c r="BL28" i="9"/>
  <c r="BM28" i="9"/>
  <c r="BK29" i="9"/>
  <c r="BL29" i="9"/>
  <c r="BM29" i="9"/>
  <c r="BK35" i="9"/>
  <c r="BL35" i="9"/>
  <c r="BM35" i="9"/>
  <c r="BK36" i="9"/>
  <c r="BL36" i="9"/>
  <c r="BM36" i="9"/>
  <c r="BK38" i="9"/>
  <c r="BL38" i="9"/>
  <c r="BM38" i="9"/>
  <c r="BK39" i="9"/>
  <c r="BL39" i="9"/>
  <c r="BM39" i="9"/>
  <c r="BK41" i="9"/>
  <c r="BL41" i="9"/>
  <c r="BM41" i="9"/>
  <c r="BK42" i="9"/>
  <c r="BL42" i="9"/>
  <c r="BM42" i="9"/>
  <c r="BK43" i="9"/>
  <c r="BL43" i="9"/>
  <c r="BM43" i="9"/>
  <c r="BK45" i="9"/>
  <c r="BL45" i="9"/>
  <c r="BM45" i="9"/>
  <c r="BK46" i="9"/>
  <c r="BL46" i="9"/>
  <c r="BM46" i="9"/>
  <c r="BK47" i="9"/>
  <c r="BL47" i="9"/>
  <c r="BM47" i="9"/>
  <c r="BK48" i="9"/>
  <c r="BL48" i="9"/>
  <c r="BM48" i="9"/>
  <c r="BK49" i="9"/>
  <c r="BL49" i="9"/>
  <c r="BM49" i="9"/>
  <c r="BK50" i="9"/>
  <c r="BL50" i="9"/>
  <c r="BM50" i="9"/>
  <c r="BK51" i="9"/>
  <c r="BL51" i="9"/>
  <c r="BM51" i="9"/>
  <c r="BK53" i="9"/>
  <c r="BL53" i="9"/>
  <c r="BM53" i="9"/>
  <c r="BK54" i="9"/>
  <c r="BL54" i="9"/>
  <c r="BM54" i="9"/>
  <c r="BZ54" i="9" s="1"/>
  <c r="BK55" i="9"/>
  <c r="BL55" i="9"/>
  <c r="BM55" i="9"/>
  <c r="BZ55" i="9" s="1"/>
  <c r="BK56" i="9"/>
  <c r="BX56" i="9" s="1"/>
  <c r="BL56" i="9"/>
  <c r="BM56" i="9"/>
  <c r="BK61" i="9"/>
  <c r="BL61" i="9"/>
  <c r="BM61" i="9"/>
  <c r="BK62" i="9"/>
  <c r="BL62" i="9"/>
  <c r="BM62" i="9"/>
  <c r="BK63" i="9"/>
  <c r="BL63" i="9"/>
  <c r="BM63" i="9"/>
  <c r="BK64" i="9"/>
  <c r="BL64" i="9"/>
  <c r="BM64" i="9"/>
  <c r="BZ64" i="9" s="1"/>
  <c r="BK65" i="9"/>
  <c r="BL65" i="9"/>
  <c r="BM65" i="9"/>
  <c r="BK66" i="9"/>
  <c r="BL66" i="9"/>
  <c r="BM66" i="9"/>
  <c r="BK67" i="9"/>
  <c r="BL67" i="9"/>
  <c r="BM67" i="9"/>
  <c r="BK68" i="9"/>
  <c r="BL68" i="9"/>
  <c r="BM68" i="9"/>
  <c r="BK70" i="9"/>
  <c r="BL70" i="9"/>
  <c r="BM70" i="9"/>
  <c r="BK71" i="9"/>
  <c r="BX71" i="9" s="1"/>
  <c r="BL71" i="9"/>
  <c r="BM71" i="9"/>
  <c r="BK72" i="9"/>
  <c r="BL72" i="9"/>
  <c r="BM72" i="9"/>
  <c r="BK73" i="9"/>
  <c r="BL73" i="9"/>
  <c r="BM73" i="9"/>
  <c r="BK74" i="9"/>
  <c r="BL74" i="9"/>
  <c r="BM74" i="9"/>
  <c r="BK77" i="9"/>
  <c r="BX77" i="9" s="1"/>
  <c r="BX76" i="9" s="1"/>
  <c r="BL77" i="9"/>
  <c r="BL76" i="9" s="1"/>
  <c r="BM77" i="9"/>
  <c r="BM76" i="9" s="1"/>
  <c r="BK79" i="9"/>
  <c r="BL79" i="9"/>
  <c r="BM79" i="9"/>
  <c r="BK80" i="9"/>
  <c r="BL80" i="9"/>
  <c r="BM80" i="9"/>
  <c r="BK83" i="9"/>
  <c r="BL83" i="9"/>
  <c r="BM83" i="9"/>
  <c r="BK84" i="9"/>
  <c r="BX84" i="9" s="1"/>
  <c r="BL84" i="9"/>
  <c r="BM84" i="9"/>
  <c r="BK85" i="9"/>
  <c r="BL85" i="9"/>
  <c r="BM85" i="9"/>
  <c r="BZ85" i="9" s="1"/>
  <c r="BK86" i="9"/>
  <c r="BL86" i="9"/>
  <c r="BM86" i="9"/>
  <c r="BK88" i="9"/>
  <c r="BL88" i="9"/>
  <c r="BL87" i="9" s="1"/>
  <c r="N79" i="1" s="1"/>
  <c r="BM88" i="9"/>
  <c r="BM87" i="9" s="1"/>
  <c r="O79" i="1" s="1"/>
  <c r="BK90" i="9"/>
  <c r="BL90" i="9"/>
  <c r="BL89" i="9" s="1"/>
  <c r="BM90" i="9"/>
  <c r="BM89" i="9" s="1"/>
  <c r="BK96" i="9"/>
  <c r="BL96" i="9"/>
  <c r="BM96" i="9"/>
  <c r="BK97" i="9"/>
  <c r="BL97" i="9"/>
  <c r="BM97" i="9"/>
  <c r="BK98" i="9"/>
  <c r="BL98" i="9"/>
  <c r="BM98" i="9"/>
  <c r="BK99" i="9"/>
  <c r="BL99" i="9"/>
  <c r="BM99" i="9"/>
  <c r="BK102" i="9"/>
  <c r="BL102" i="9"/>
  <c r="BM102" i="9"/>
  <c r="BK103" i="9"/>
  <c r="BL103" i="9"/>
  <c r="BM103" i="9"/>
  <c r="BK105" i="9"/>
  <c r="BL105" i="9"/>
  <c r="BM105" i="9"/>
  <c r="BK106" i="9"/>
  <c r="BL106" i="9"/>
  <c r="BM106" i="9"/>
  <c r="BK107" i="9"/>
  <c r="BL107" i="9"/>
  <c r="BM107" i="9"/>
  <c r="BK108" i="9"/>
  <c r="BL108" i="9"/>
  <c r="BM108" i="9"/>
  <c r="BZ108" i="9" s="1"/>
  <c r="BK109" i="9"/>
  <c r="BL109" i="9"/>
  <c r="BM109" i="9"/>
  <c r="BK110" i="9"/>
  <c r="BL110" i="9"/>
  <c r="BM110" i="9"/>
  <c r="BK111" i="9"/>
  <c r="BL111" i="9"/>
  <c r="BM111" i="9"/>
  <c r="BK113" i="9"/>
  <c r="BL113" i="9"/>
  <c r="BM113" i="9"/>
  <c r="BK114" i="9"/>
  <c r="BL114" i="9"/>
  <c r="BM114" i="9"/>
  <c r="BK115" i="9"/>
  <c r="BL115" i="9"/>
  <c r="BM115" i="9"/>
  <c r="BK116" i="9"/>
  <c r="BL116" i="9"/>
  <c r="BM116" i="9"/>
  <c r="BK117" i="9"/>
  <c r="BL117" i="9"/>
  <c r="BM117" i="9"/>
  <c r="BK118" i="9"/>
  <c r="BL118" i="9"/>
  <c r="BY118" i="9" s="1"/>
  <c r="BM118" i="9"/>
  <c r="BK119" i="9"/>
  <c r="BL119" i="9"/>
  <c r="BY119" i="9" s="1"/>
  <c r="BM119" i="9"/>
  <c r="BK123" i="9"/>
  <c r="BL123" i="9"/>
  <c r="BM123" i="9"/>
  <c r="BK125" i="9"/>
  <c r="BL125" i="9"/>
  <c r="BM125" i="9"/>
  <c r="BK126" i="9"/>
  <c r="BL126" i="9"/>
  <c r="BM126" i="9"/>
  <c r="BK127" i="9"/>
  <c r="BL127" i="9"/>
  <c r="BM127" i="9"/>
  <c r="BK129" i="9"/>
  <c r="BL129" i="9"/>
  <c r="BL128" i="9" s="1"/>
  <c r="BM129" i="9"/>
  <c r="BM128" i="9" s="1"/>
  <c r="BK131" i="9"/>
  <c r="BL131" i="9"/>
  <c r="BM131" i="9"/>
  <c r="BK133" i="9"/>
  <c r="BL133" i="9"/>
  <c r="BM133" i="9"/>
  <c r="BK134" i="9"/>
  <c r="BL134" i="9"/>
  <c r="BM134" i="9"/>
  <c r="BK135" i="9"/>
  <c r="BL135" i="9"/>
  <c r="BY135" i="9" s="1"/>
  <c r="BM135" i="9"/>
  <c r="BZ135" i="9" s="1"/>
  <c r="BK136" i="9"/>
  <c r="BX136" i="9" s="1"/>
  <c r="BL136" i="9"/>
  <c r="BM136" i="9"/>
  <c r="BK139" i="9"/>
  <c r="BX139" i="9" s="1"/>
  <c r="BL139" i="9"/>
  <c r="BM139" i="9"/>
  <c r="BK140" i="9"/>
  <c r="BL140" i="9"/>
  <c r="BM140" i="9"/>
  <c r="BK142" i="9"/>
  <c r="BL142" i="9"/>
  <c r="BM142" i="9"/>
  <c r="BK144" i="9"/>
  <c r="BL144" i="9"/>
  <c r="BL143" i="9" s="1"/>
  <c r="BM144" i="9"/>
  <c r="BM143" i="9" s="1"/>
  <c r="BK159" i="9"/>
  <c r="BL159" i="9"/>
  <c r="BM159" i="9"/>
  <c r="BK160" i="9"/>
  <c r="BL160" i="9"/>
  <c r="BM160" i="9"/>
  <c r="BK161" i="9"/>
  <c r="BL161" i="9"/>
  <c r="BY161" i="9" s="1"/>
  <c r="BM161" i="9"/>
  <c r="BK163" i="9"/>
  <c r="BL163" i="9"/>
  <c r="BY163" i="9" s="1"/>
  <c r="BM163" i="9"/>
  <c r="BK164" i="9"/>
  <c r="BX164" i="9" s="1"/>
  <c r="BL164" i="9"/>
  <c r="BM164" i="9"/>
  <c r="BK165" i="9"/>
  <c r="BX165" i="9" s="1"/>
  <c r="BL165" i="9"/>
  <c r="BM165" i="9"/>
  <c r="BK171" i="9"/>
  <c r="BL171" i="9"/>
  <c r="BM171" i="9"/>
  <c r="BK172" i="9"/>
  <c r="BL172" i="9"/>
  <c r="BY172" i="9" s="1"/>
  <c r="BM172" i="9"/>
  <c r="BK173" i="9"/>
  <c r="BL173" i="9"/>
  <c r="BM173" i="9"/>
  <c r="BK174" i="9"/>
  <c r="BL174" i="9"/>
  <c r="BM174" i="9"/>
  <c r="BK176" i="9"/>
  <c r="BL176" i="9"/>
  <c r="BL175" i="9" s="1"/>
  <c r="BM176" i="9"/>
  <c r="BM175" i="9" s="1"/>
  <c r="BK178" i="9"/>
  <c r="BL178" i="9"/>
  <c r="BM178" i="9"/>
  <c r="BK179" i="9"/>
  <c r="BL179" i="9"/>
  <c r="BY179" i="9" s="1"/>
  <c r="BM179" i="9"/>
  <c r="BK180" i="9"/>
  <c r="BL180" i="9"/>
  <c r="BM180" i="9"/>
  <c r="BK186" i="9"/>
  <c r="BL186" i="9"/>
  <c r="BY186" i="9" s="1"/>
  <c r="BM186" i="9"/>
  <c r="BK187" i="9"/>
  <c r="BL187" i="9"/>
  <c r="BM187" i="9"/>
  <c r="BZ187" i="9" s="1"/>
  <c r="BK189" i="9"/>
  <c r="BL189" i="9"/>
  <c r="BM189" i="9"/>
  <c r="BK190" i="9"/>
  <c r="BL190" i="9"/>
  <c r="BM190" i="9"/>
  <c r="BK192" i="9"/>
  <c r="BL192" i="9"/>
  <c r="BY192" i="9" s="1"/>
  <c r="BM192" i="9"/>
  <c r="BK193" i="9"/>
  <c r="BL193" i="9"/>
  <c r="BM193" i="9"/>
  <c r="BK194" i="9"/>
  <c r="BL194" i="9"/>
  <c r="BY194" i="9" s="1"/>
  <c r="BM194" i="9"/>
  <c r="BK196" i="9"/>
  <c r="BL196" i="9"/>
  <c r="BM196" i="9"/>
  <c r="BK197" i="9"/>
  <c r="BX197" i="9" s="1"/>
  <c r="BL197" i="9"/>
  <c r="BM197" i="9"/>
  <c r="BK198" i="9"/>
  <c r="BL198" i="9"/>
  <c r="BM198" i="9"/>
  <c r="BK199" i="9"/>
  <c r="BL199" i="9"/>
  <c r="BM199" i="9"/>
  <c r="BK200" i="9"/>
  <c r="BX200" i="9" s="1"/>
  <c r="BL200" i="9"/>
  <c r="BM200" i="9"/>
  <c r="BK201" i="9"/>
  <c r="BL201" i="9"/>
  <c r="BM201" i="9"/>
  <c r="BK202" i="9"/>
  <c r="BL202" i="9"/>
  <c r="BM202" i="9"/>
  <c r="BK204" i="9"/>
  <c r="BL204" i="9"/>
  <c r="BM204" i="9"/>
  <c r="BK205" i="9"/>
  <c r="BL205" i="9"/>
  <c r="BM205" i="9"/>
  <c r="BK206" i="9"/>
  <c r="BL206" i="9"/>
  <c r="BM206" i="9"/>
  <c r="BK207" i="9"/>
  <c r="BL207" i="9"/>
  <c r="BM207" i="9"/>
  <c r="BK212" i="9"/>
  <c r="BL212" i="9"/>
  <c r="BM212" i="9"/>
  <c r="BK213" i="9"/>
  <c r="BL213" i="9"/>
  <c r="BM213" i="9"/>
  <c r="BK214" i="9"/>
  <c r="BL214" i="9"/>
  <c r="BM214" i="9"/>
  <c r="BK215" i="9"/>
  <c r="BL215" i="9"/>
  <c r="BM215" i="9"/>
  <c r="BK216" i="9"/>
  <c r="BL216" i="9"/>
  <c r="BY216" i="9" s="1"/>
  <c r="BM216" i="9"/>
  <c r="BZ216" i="9" s="1"/>
  <c r="BK217" i="9"/>
  <c r="BX217" i="9" s="1"/>
  <c r="BL217" i="9"/>
  <c r="BM217" i="9"/>
  <c r="BK218" i="9"/>
  <c r="BL218" i="9"/>
  <c r="BM218" i="9"/>
  <c r="BK219" i="9"/>
  <c r="BL219" i="9"/>
  <c r="BM219" i="9"/>
  <c r="BK221" i="9"/>
  <c r="BL221" i="9"/>
  <c r="BM221" i="9"/>
  <c r="BZ221" i="9" s="1"/>
  <c r="BK222" i="9"/>
  <c r="BL222" i="9"/>
  <c r="BM222" i="9"/>
  <c r="BK223" i="9"/>
  <c r="BL223" i="9"/>
  <c r="BM223" i="9"/>
  <c r="BK224" i="9"/>
  <c r="BX224" i="9" s="1"/>
  <c r="BL224" i="9"/>
  <c r="BM224" i="9"/>
  <c r="BK225" i="9"/>
  <c r="BL225" i="9"/>
  <c r="BY225" i="9" s="1"/>
  <c r="BM225" i="9"/>
  <c r="BZ225" i="9" s="1"/>
  <c r="BK228" i="9"/>
  <c r="BL228" i="9"/>
  <c r="BL227" i="9" s="1"/>
  <c r="BM228" i="9"/>
  <c r="BM227" i="9" s="1"/>
  <c r="BK230" i="9"/>
  <c r="BL230" i="9"/>
  <c r="BY230" i="9" s="1"/>
  <c r="BM230" i="9"/>
  <c r="BK231" i="9"/>
  <c r="BL231" i="9"/>
  <c r="BM231" i="9"/>
  <c r="BK234" i="9"/>
  <c r="BL234" i="9"/>
  <c r="BM234" i="9"/>
  <c r="BZ234" i="9" s="1"/>
  <c r="BK235" i="9"/>
  <c r="BX235" i="9" s="1"/>
  <c r="BL235" i="9"/>
  <c r="BM235" i="9"/>
  <c r="BK236" i="9"/>
  <c r="BL236" i="9"/>
  <c r="BM236" i="9"/>
  <c r="BK237" i="9"/>
  <c r="BL237" i="9"/>
  <c r="BM237" i="9"/>
  <c r="BK239" i="9"/>
  <c r="BL239" i="9"/>
  <c r="BL238" i="9" s="1"/>
  <c r="BM239" i="9"/>
  <c r="BM238" i="9" s="1"/>
  <c r="M84" i="1" s="1"/>
  <c r="BK241" i="9"/>
  <c r="BX241" i="9" s="1"/>
  <c r="BX240" i="9" s="1"/>
  <c r="BL241" i="9"/>
  <c r="BL240" i="9" s="1"/>
  <c r="BM241" i="9"/>
  <c r="BM240" i="9" s="1"/>
  <c r="BK247" i="9"/>
  <c r="BL247" i="9"/>
  <c r="BY247" i="9" s="1"/>
  <c r="BM247" i="9"/>
  <c r="BK248" i="9"/>
  <c r="BL248" i="9"/>
  <c r="BM248" i="9"/>
  <c r="BK249" i="9"/>
  <c r="BL249" i="9"/>
  <c r="BM249" i="9"/>
  <c r="BK250" i="9"/>
  <c r="BL250" i="9"/>
  <c r="BM250" i="9"/>
  <c r="BK253" i="9"/>
  <c r="BL253" i="9"/>
  <c r="BM253" i="9"/>
  <c r="BK254" i="9"/>
  <c r="BL254" i="9"/>
  <c r="BM254" i="9"/>
  <c r="BK256" i="9"/>
  <c r="BL256" i="9"/>
  <c r="BM256" i="9"/>
  <c r="BK257" i="9"/>
  <c r="BL257" i="9"/>
  <c r="BM257" i="9"/>
  <c r="BK258" i="9"/>
  <c r="BL258" i="9"/>
  <c r="BM258" i="9"/>
  <c r="BK259" i="9"/>
  <c r="BL259" i="9"/>
  <c r="BY259" i="9" s="1"/>
  <c r="BM259" i="9"/>
  <c r="BZ259" i="9" s="1"/>
  <c r="BK260" i="9"/>
  <c r="BL260" i="9"/>
  <c r="BM260" i="9"/>
  <c r="BK261" i="9"/>
  <c r="BL261" i="9"/>
  <c r="BM261" i="9"/>
  <c r="BZ261" i="9" s="1"/>
  <c r="BK262" i="9"/>
  <c r="BL262" i="9"/>
  <c r="BM262" i="9"/>
  <c r="BK264" i="9"/>
  <c r="BX264" i="9" s="1"/>
  <c r="BL264" i="9"/>
  <c r="BM264" i="9"/>
  <c r="BK265" i="9"/>
  <c r="BL265" i="9"/>
  <c r="BM265" i="9"/>
  <c r="BK266" i="9"/>
  <c r="BL266" i="9"/>
  <c r="BM266" i="9"/>
  <c r="BZ266" i="9" s="1"/>
  <c r="BK267" i="9"/>
  <c r="BL267" i="9"/>
  <c r="BM267" i="9"/>
  <c r="BK268" i="9"/>
  <c r="BX268" i="9" s="1"/>
  <c r="BL268" i="9"/>
  <c r="BM268" i="9"/>
  <c r="BK269" i="9"/>
  <c r="BL269" i="9"/>
  <c r="BY269" i="9" s="1"/>
  <c r="BM269" i="9"/>
  <c r="BK270" i="9"/>
  <c r="BL270" i="9"/>
  <c r="BM270" i="9"/>
  <c r="BZ270" i="9" s="1"/>
  <c r="BK274" i="9"/>
  <c r="BL274" i="9"/>
  <c r="BM274" i="9"/>
  <c r="BK276" i="9"/>
  <c r="BL276" i="9"/>
  <c r="BM276" i="9"/>
  <c r="BZ276" i="9" s="1"/>
  <c r="BK277" i="9"/>
  <c r="BL277" i="9"/>
  <c r="BY277" i="9" s="1"/>
  <c r="BM277" i="9"/>
  <c r="BK278" i="9"/>
  <c r="BL278" i="9"/>
  <c r="BM278" i="9"/>
  <c r="BZ278" i="9" s="1"/>
  <c r="BK280" i="9"/>
  <c r="BX280" i="9" s="1"/>
  <c r="BL280" i="9"/>
  <c r="BL279" i="9" s="1"/>
  <c r="BM280" i="9"/>
  <c r="BM279" i="9" s="1"/>
  <c r="BK282" i="9"/>
  <c r="BL282" i="9"/>
  <c r="BM282" i="9"/>
  <c r="BK284" i="9"/>
  <c r="BL284" i="9"/>
  <c r="BM284" i="9"/>
  <c r="BK285" i="9"/>
  <c r="BL285" i="9"/>
  <c r="BM285" i="9"/>
  <c r="BK286" i="9"/>
  <c r="BX286" i="9" s="1"/>
  <c r="BL286" i="9"/>
  <c r="BM286" i="9"/>
  <c r="BK287" i="9"/>
  <c r="BL287" i="9"/>
  <c r="BM287" i="9"/>
  <c r="BZ287" i="9" s="1"/>
  <c r="BK290" i="9"/>
  <c r="BL290" i="9"/>
  <c r="BM290" i="9"/>
  <c r="BZ290" i="9" s="1"/>
  <c r="BK291" i="9"/>
  <c r="BL291" i="9"/>
  <c r="BM291" i="9"/>
  <c r="BK293" i="9"/>
  <c r="BL293" i="9"/>
  <c r="BM293" i="9"/>
  <c r="BK295" i="9"/>
  <c r="BK294" i="9" s="1"/>
  <c r="BL295" i="9"/>
  <c r="BL294" i="9" s="1"/>
  <c r="BM295" i="9"/>
  <c r="BM294" i="9" s="1"/>
  <c r="BJ295" i="9"/>
  <c r="BJ294" i="9" s="1"/>
  <c r="BI294" i="9"/>
  <c r="BH294" i="9"/>
  <c r="BG294" i="9"/>
  <c r="BJ293" i="9"/>
  <c r="BJ292" i="9"/>
  <c r="BJ291" i="9"/>
  <c r="BJ290" i="9"/>
  <c r="BI289" i="9"/>
  <c r="BH289" i="9"/>
  <c r="BH288" i="9" s="1"/>
  <c r="BG289" i="9"/>
  <c r="BG288" i="9" s="1"/>
  <c r="BI288" i="9"/>
  <c r="BJ287" i="9"/>
  <c r="BJ286" i="9"/>
  <c r="BJ285" i="9"/>
  <c r="BJ284" i="9"/>
  <c r="BI283" i="9"/>
  <c r="BI281" i="9" s="1"/>
  <c r="BH283" i="9"/>
  <c r="BH281" i="9" s="1"/>
  <c r="BG283" i="9"/>
  <c r="BG281" i="9" s="1"/>
  <c r="BJ282" i="9"/>
  <c r="BJ280" i="9"/>
  <c r="BJ279" i="9" s="1"/>
  <c r="BI279" i="9"/>
  <c r="BH279" i="9"/>
  <c r="BG279" i="9"/>
  <c r="BJ278" i="9"/>
  <c r="BJ277" i="9"/>
  <c r="BJ276" i="9"/>
  <c r="BI275" i="9"/>
  <c r="BI272" i="9" s="1"/>
  <c r="BH275" i="9"/>
  <c r="BH272" i="9" s="1"/>
  <c r="BG275" i="9"/>
  <c r="BG272" i="9" s="1"/>
  <c r="BJ274" i="9"/>
  <c r="BJ273" i="9"/>
  <c r="BJ270" i="9"/>
  <c r="BJ269" i="9"/>
  <c r="BJ268" i="9"/>
  <c r="BJ267" i="9"/>
  <c r="BJ266" i="9"/>
  <c r="BJ265" i="9"/>
  <c r="BJ264" i="9"/>
  <c r="BI263" i="9"/>
  <c r="BH263" i="9"/>
  <c r="BG263" i="9"/>
  <c r="BJ262" i="9"/>
  <c r="BJ261" i="9"/>
  <c r="BJ260" i="9"/>
  <c r="BJ259" i="9"/>
  <c r="BJ258" i="9"/>
  <c r="BJ257" i="9"/>
  <c r="BJ256" i="9"/>
  <c r="BI255" i="9"/>
  <c r="BH255" i="9"/>
  <c r="BG255" i="9"/>
  <c r="BJ254" i="9"/>
  <c r="BJ253" i="9"/>
  <c r="BI252" i="9"/>
  <c r="BH252" i="9"/>
  <c r="BH251" i="9" s="1"/>
  <c r="BG252" i="9"/>
  <c r="BG251" i="9" s="1"/>
  <c r="BI251" i="9"/>
  <c r="BJ250" i="9"/>
  <c r="BJ249" i="9"/>
  <c r="BJ248" i="9"/>
  <c r="BJ247" i="9"/>
  <c r="BI246" i="9"/>
  <c r="BI245" i="9" s="1"/>
  <c r="BH246" i="9"/>
  <c r="BH245" i="9" s="1"/>
  <c r="BG246" i="9"/>
  <c r="BG245" i="9" s="1"/>
  <c r="BG244" i="9" s="1"/>
  <c r="BJ241" i="9"/>
  <c r="BJ240" i="9" s="1"/>
  <c r="BI240" i="9"/>
  <c r="BH240" i="9"/>
  <c r="BG240" i="9"/>
  <c r="BJ239" i="9"/>
  <c r="BJ238" i="9" s="1"/>
  <c r="BI238" i="9"/>
  <c r="BH238" i="9"/>
  <c r="BG238" i="9"/>
  <c r="BJ237" i="9"/>
  <c r="BJ236" i="9"/>
  <c r="BJ235" i="9"/>
  <c r="BJ234" i="9"/>
  <c r="BI233" i="9"/>
  <c r="BH233" i="9"/>
  <c r="BG233" i="9"/>
  <c r="BJ232" i="9"/>
  <c r="BJ231" i="9"/>
  <c r="BJ230" i="9"/>
  <c r="BI229" i="9"/>
  <c r="BH229" i="9"/>
  <c r="BG229" i="9"/>
  <c r="BJ228" i="9"/>
  <c r="BJ227" i="9" s="1"/>
  <c r="BI227" i="9"/>
  <c r="BH227" i="9"/>
  <c r="BG227" i="9"/>
  <c r="BJ225" i="9"/>
  <c r="BJ224" i="9"/>
  <c r="BJ223" i="9"/>
  <c r="BJ222" i="9"/>
  <c r="BJ221" i="9"/>
  <c r="BI220" i="9"/>
  <c r="BH220" i="9"/>
  <c r="BG220" i="9"/>
  <c r="BJ219" i="9"/>
  <c r="BJ218" i="9"/>
  <c r="BJ217" i="9"/>
  <c r="BJ216" i="9"/>
  <c r="BJ215" i="9"/>
  <c r="BJ214" i="9"/>
  <c r="BJ213" i="9"/>
  <c r="BJ212" i="9"/>
  <c r="BI211" i="9"/>
  <c r="BI210" i="9" s="1"/>
  <c r="BH211" i="9"/>
  <c r="BH210" i="9" s="1"/>
  <c r="BG211" i="9"/>
  <c r="BG210" i="9" s="1"/>
  <c r="BJ207" i="9"/>
  <c r="BJ206" i="9"/>
  <c r="BJ205" i="9"/>
  <c r="BJ204" i="9"/>
  <c r="BI203" i="9"/>
  <c r="W140" i="11" s="1"/>
  <c r="BH203" i="9"/>
  <c r="W139" i="11" s="1"/>
  <c r="BG203" i="9"/>
  <c r="BJ202" i="9"/>
  <c r="BJ201" i="9"/>
  <c r="BJ200" i="9"/>
  <c r="BJ199" i="9"/>
  <c r="BJ198" i="9"/>
  <c r="BJ197" i="9"/>
  <c r="BJ196" i="9"/>
  <c r="BI195" i="9"/>
  <c r="BH195" i="9"/>
  <c r="BG195" i="9"/>
  <c r="BJ194" i="9"/>
  <c r="BJ193" i="9"/>
  <c r="BJ192" i="9"/>
  <c r="BI191" i="9"/>
  <c r="BH191" i="9"/>
  <c r="BG191" i="9"/>
  <c r="BJ190" i="9"/>
  <c r="BJ189" i="9"/>
  <c r="BI188" i="9"/>
  <c r="BH188" i="9"/>
  <c r="BG188" i="9"/>
  <c r="BJ187" i="9"/>
  <c r="BJ186" i="9"/>
  <c r="BI185" i="9"/>
  <c r="BI184" i="9" s="1"/>
  <c r="BH185" i="9"/>
  <c r="BG185" i="9"/>
  <c r="BJ180" i="9"/>
  <c r="BJ179" i="9"/>
  <c r="BJ178" i="9"/>
  <c r="BI177" i="9"/>
  <c r="BH177" i="9"/>
  <c r="BG177" i="9"/>
  <c r="BJ176" i="9"/>
  <c r="BJ175" i="9" s="1"/>
  <c r="BI175" i="9"/>
  <c r="W119" i="11" s="1"/>
  <c r="BH175" i="9"/>
  <c r="W118" i="11" s="1"/>
  <c r="BG175" i="9"/>
  <c r="BJ174" i="9"/>
  <c r="BJ173" i="9"/>
  <c r="BJ172" i="9"/>
  <c r="BJ171" i="9"/>
  <c r="BI170" i="9"/>
  <c r="W115" i="11" s="1"/>
  <c r="BH170" i="9"/>
  <c r="W114" i="11" s="1"/>
  <c r="BG170" i="9"/>
  <c r="BG169" i="9" s="1"/>
  <c r="BJ165" i="9"/>
  <c r="BJ164" i="9"/>
  <c r="BJ163" i="9"/>
  <c r="BI162" i="9"/>
  <c r="BH162" i="9"/>
  <c r="BG162" i="9"/>
  <c r="BJ161" i="9"/>
  <c r="BJ160" i="9"/>
  <c r="BJ159" i="9"/>
  <c r="BI158" i="9"/>
  <c r="BI154" i="9" s="1"/>
  <c r="BI153" i="9" s="1"/>
  <c r="BH158" i="9"/>
  <c r="BG158" i="9"/>
  <c r="BJ144" i="9"/>
  <c r="BJ143" i="9" s="1"/>
  <c r="BI143" i="9"/>
  <c r="BH143" i="9"/>
  <c r="BG143" i="9"/>
  <c r="BJ142" i="9"/>
  <c r="BJ141" i="9"/>
  <c r="BJ140" i="9"/>
  <c r="BJ139" i="9"/>
  <c r="BI138" i="9"/>
  <c r="BI137" i="9" s="1"/>
  <c r="BH138" i="9"/>
  <c r="BH137" i="9" s="1"/>
  <c r="BG138" i="9"/>
  <c r="BG137" i="9" s="1"/>
  <c r="BJ136" i="9"/>
  <c r="BJ135" i="9"/>
  <c r="BJ134" i="9"/>
  <c r="BJ133" i="9"/>
  <c r="BI132" i="9"/>
  <c r="BI130" i="9" s="1"/>
  <c r="BH132" i="9"/>
  <c r="BH130" i="9" s="1"/>
  <c r="BG132" i="9"/>
  <c r="BG130" i="9" s="1"/>
  <c r="BJ131" i="9"/>
  <c r="BJ129" i="9"/>
  <c r="BJ128" i="9" s="1"/>
  <c r="BI128" i="9"/>
  <c r="BH128" i="9"/>
  <c r="BG128" i="9"/>
  <c r="BJ127" i="9"/>
  <c r="BJ126" i="9"/>
  <c r="BJ125" i="9"/>
  <c r="BI124" i="9"/>
  <c r="BI121" i="9" s="1"/>
  <c r="BH124" i="9"/>
  <c r="BH121" i="9" s="1"/>
  <c r="BG124" i="9"/>
  <c r="BG121" i="9" s="1"/>
  <c r="BJ123" i="9"/>
  <c r="BJ122" i="9"/>
  <c r="BJ119" i="9"/>
  <c r="BJ118" i="9"/>
  <c r="BJ117" i="9"/>
  <c r="BJ116" i="9"/>
  <c r="BJ115" i="9"/>
  <c r="BJ114" i="9"/>
  <c r="BJ113" i="9"/>
  <c r="BI112" i="9"/>
  <c r="BH112" i="9"/>
  <c r="BG112" i="9"/>
  <c r="BJ111" i="9"/>
  <c r="BJ110" i="9"/>
  <c r="BJ109" i="9"/>
  <c r="BJ108" i="9"/>
  <c r="BJ107" i="9"/>
  <c r="BJ106" i="9"/>
  <c r="BJ105" i="9"/>
  <c r="BI104" i="9"/>
  <c r="BH104" i="9"/>
  <c r="BG104" i="9"/>
  <c r="BJ103" i="9"/>
  <c r="BJ102" i="9"/>
  <c r="BI101" i="9"/>
  <c r="BI100" i="9" s="1"/>
  <c r="BH101" i="9"/>
  <c r="BH100" i="9" s="1"/>
  <c r="BG101" i="9"/>
  <c r="BG100" i="9" s="1"/>
  <c r="BJ99" i="9"/>
  <c r="BJ98" i="9"/>
  <c r="BJ97" i="9"/>
  <c r="BJ96" i="9"/>
  <c r="BI95" i="9"/>
  <c r="BI94" i="9" s="1"/>
  <c r="BH95" i="9"/>
  <c r="BH94" i="9" s="1"/>
  <c r="BG95" i="9"/>
  <c r="BG94" i="9" s="1"/>
  <c r="BJ90" i="9"/>
  <c r="BJ89" i="9" s="1"/>
  <c r="BI89" i="9"/>
  <c r="BH89" i="9"/>
  <c r="BG89" i="9"/>
  <c r="BJ88" i="9"/>
  <c r="BJ87" i="9" s="1"/>
  <c r="BI87" i="9"/>
  <c r="BH87" i="9"/>
  <c r="BG87" i="9"/>
  <c r="BJ86" i="9"/>
  <c r="BJ85" i="9"/>
  <c r="BJ84" i="9"/>
  <c r="BJ83" i="9"/>
  <c r="BI82" i="9"/>
  <c r="BH82" i="9"/>
  <c r="BG82" i="9"/>
  <c r="BJ81" i="9"/>
  <c r="BJ80" i="9"/>
  <c r="BJ79" i="9"/>
  <c r="BI78" i="9"/>
  <c r="BH78" i="9"/>
  <c r="BG78" i="9"/>
  <c r="BJ77" i="9"/>
  <c r="BJ76" i="9" s="1"/>
  <c r="BI76" i="9"/>
  <c r="BH76" i="9"/>
  <c r="BG76" i="9"/>
  <c r="BJ74" i="9"/>
  <c r="BJ73" i="9"/>
  <c r="BJ72" i="9"/>
  <c r="BJ71" i="9"/>
  <c r="BJ70" i="9"/>
  <c r="BI69" i="9"/>
  <c r="BH69" i="9"/>
  <c r="BG69" i="9"/>
  <c r="BJ68" i="9"/>
  <c r="BJ67" i="9"/>
  <c r="BJ66" i="9"/>
  <c r="BJ65" i="9"/>
  <c r="BJ64" i="9"/>
  <c r="BJ63" i="9"/>
  <c r="BJ62" i="9"/>
  <c r="BJ61" i="9"/>
  <c r="BI60" i="9"/>
  <c r="BI59" i="9" s="1"/>
  <c r="BI58" i="9" s="1"/>
  <c r="BH60" i="9"/>
  <c r="BH59" i="9" s="1"/>
  <c r="BG60" i="9"/>
  <c r="BG59" i="9" s="1"/>
  <c r="BJ56" i="9"/>
  <c r="BJ55" i="9"/>
  <c r="BJ54" i="9"/>
  <c r="BJ53" i="9"/>
  <c r="BI52" i="9"/>
  <c r="W55" i="11" s="1"/>
  <c r="BH52" i="9"/>
  <c r="W54" i="11" s="1"/>
  <c r="BG52" i="9"/>
  <c r="W53" i="11" s="1"/>
  <c r="BJ51" i="9"/>
  <c r="BJ50" i="9"/>
  <c r="BJ49" i="9"/>
  <c r="BJ48" i="9"/>
  <c r="BJ47" i="9"/>
  <c r="BJ46" i="9"/>
  <c r="BJ45" i="9"/>
  <c r="BI44" i="9"/>
  <c r="BH44" i="9"/>
  <c r="BG44" i="9"/>
  <c r="BJ43" i="9"/>
  <c r="BJ42" i="9"/>
  <c r="BJ41" i="9"/>
  <c r="BI40" i="9"/>
  <c r="BH40" i="9"/>
  <c r="BG40" i="9"/>
  <c r="BJ39" i="9"/>
  <c r="BJ38" i="9"/>
  <c r="BJ37" i="9" s="1"/>
  <c r="BI37" i="9"/>
  <c r="BH37" i="9"/>
  <c r="BG37" i="9"/>
  <c r="BJ36" i="9"/>
  <c r="BJ35" i="9"/>
  <c r="BI34" i="9"/>
  <c r="BH34" i="9"/>
  <c r="BG34" i="9"/>
  <c r="BG33" i="9" s="1"/>
  <c r="BG32" i="9" s="1"/>
  <c r="W49" i="11" s="1"/>
  <c r="BJ29" i="9"/>
  <c r="BJ28" i="9"/>
  <c r="BJ27" i="9"/>
  <c r="BI26" i="9"/>
  <c r="BH26" i="9"/>
  <c r="BG26" i="9"/>
  <c r="BJ23" i="9"/>
  <c r="BJ22" i="9" s="1"/>
  <c r="BI22" i="9"/>
  <c r="W27" i="11" s="1"/>
  <c r="BH22" i="9"/>
  <c r="W26" i="11" s="1"/>
  <c r="BG22" i="9"/>
  <c r="W25" i="11" s="1"/>
  <c r="BJ21" i="9"/>
  <c r="BJ20" i="9"/>
  <c r="BJ19" i="9"/>
  <c r="BJ18" i="9"/>
  <c r="BI17" i="9"/>
  <c r="BH17" i="9"/>
  <c r="BG17" i="9"/>
  <c r="BF295" i="9"/>
  <c r="BF294" i="9" s="1"/>
  <c r="BE294" i="9"/>
  <c r="BD294" i="9"/>
  <c r="BC294" i="9"/>
  <c r="BF293" i="9"/>
  <c r="BF292" i="9"/>
  <c r="BF291" i="9"/>
  <c r="BF290" i="9"/>
  <c r="BE289" i="9"/>
  <c r="BE288" i="9" s="1"/>
  <c r="BD289" i="9"/>
  <c r="BC289" i="9"/>
  <c r="BC288" i="9" s="1"/>
  <c r="BD288" i="9"/>
  <c r="BF287" i="9"/>
  <c r="BF286" i="9"/>
  <c r="BF285" i="9"/>
  <c r="BF284" i="9"/>
  <c r="BE283" i="9"/>
  <c r="BE281" i="9" s="1"/>
  <c r="BD283" i="9"/>
  <c r="BD281" i="9" s="1"/>
  <c r="BC283" i="9"/>
  <c r="BC281" i="9" s="1"/>
  <c r="BF282" i="9"/>
  <c r="BF280" i="9"/>
  <c r="BF279" i="9" s="1"/>
  <c r="BE279" i="9"/>
  <c r="BD279" i="9"/>
  <c r="BC279" i="9"/>
  <c r="BF278" i="9"/>
  <c r="BF277" i="9"/>
  <c r="BF276" i="9"/>
  <c r="BF275" i="9" s="1"/>
  <c r="BE275" i="9"/>
  <c r="BE272" i="9" s="1"/>
  <c r="BD275" i="9"/>
  <c r="BC275" i="9"/>
  <c r="BF274" i="9"/>
  <c r="BF273" i="9"/>
  <c r="BD272" i="9"/>
  <c r="BC272" i="9"/>
  <c r="BF270" i="9"/>
  <c r="BF269" i="9"/>
  <c r="BF268" i="9"/>
  <c r="BF267" i="9"/>
  <c r="BF266" i="9"/>
  <c r="BF265" i="9"/>
  <c r="BF264" i="9"/>
  <c r="BE263" i="9"/>
  <c r="BD263" i="9"/>
  <c r="BC263" i="9"/>
  <c r="BF262" i="9"/>
  <c r="BF261" i="9"/>
  <c r="BF260" i="9"/>
  <c r="BF259" i="9"/>
  <c r="BF258" i="9"/>
  <c r="BF257" i="9"/>
  <c r="BF256" i="9"/>
  <c r="BE255" i="9"/>
  <c r="BD255" i="9"/>
  <c r="BC255" i="9"/>
  <c r="BF254" i="9"/>
  <c r="BF253" i="9"/>
  <c r="BE252" i="9"/>
  <c r="BE251" i="9" s="1"/>
  <c r="BD252" i="9"/>
  <c r="BD251" i="9" s="1"/>
  <c r="BC252" i="9"/>
  <c r="BC251" i="9" s="1"/>
  <c r="BF250" i="9"/>
  <c r="BF249" i="9"/>
  <c r="BF248" i="9"/>
  <c r="BF247" i="9"/>
  <c r="BE246" i="9"/>
  <c r="BE245" i="9" s="1"/>
  <c r="BD246" i="9"/>
  <c r="BD245" i="9" s="1"/>
  <c r="BC246" i="9"/>
  <c r="BC245" i="9" s="1"/>
  <c r="BF241" i="9"/>
  <c r="BF240" i="9" s="1"/>
  <c r="BE240" i="9"/>
  <c r="BD240" i="9"/>
  <c r="BC240" i="9"/>
  <c r="BF239" i="9"/>
  <c r="BF238" i="9" s="1"/>
  <c r="BE238" i="9"/>
  <c r="BD238" i="9"/>
  <c r="BC238" i="9"/>
  <c r="BF237" i="9"/>
  <c r="BF236" i="9"/>
  <c r="BF235" i="9"/>
  <c r="BF234" i="9"/>
  <c r="BE233" i="9"/>
  <c r="BD233" i="9"/>
  <c r="BC233" i="9"/>
  <c r="BF232" i="9"/>
  <c r="BF231" i="9"/>
  <c r="BF230" i="9"/>
  <c r="BE229" i="9"/>
  <c r="BD229" i="9"/>
  <c r="BC229" i="9"/>
  <c r="BF228" i="9"/>
  <c r="BF227" i="9" s="1"/>
  <c r="BE227" i="9"/>
  <c r="BD227" i="9"/>
  <c r="BC227" i="9"/>
  <c r="BF225" i="9"/>
  <c r="BF224" i="9"/>
  <c r="BF223" i="9"/>
  <c r="BF222" i="9"/>
  <c r="BF221" i="9"/>
  <c r="BE220" i="9"/>
  <c r="BD220" i="9"/>
  <c r="BC220" i="9"/>
  <c r="BF219" i="9"/>
  <c r="BF218" i="9"/>
  <c r="BF217" i="9"/>
  <c r="BF216" i="9"/>
  <c r="BF215" i="9"/>
  <c r="BF214" i="9"/>
  <c r="BF213" i="9"/>
  <c r="BF212" i="9"/>
  <c r="BE211" i="9"/>
  <c r="BE210" i="9" s="1"/>
  <c r="BE209" i="9" s="1"/>
  <c r="BD211" i="9"/>
  <c r="BD210" i="9" s="1"/>
  <c r="BC211" i="9"/>
  <c r="BC210" i="9" s="1"/>
  <c r="BF207" i="9"/>
  <c r="BF206" i="9"/>
  <c r="BF205" i="9"/>
  <c r="BF204" i="9"/>
  <c r="BE203" i="9"/>
  <c r="V140" i="11" s="1"/>
  <c r="BD203" i="9"/>
  <c r="V139" i="11" s="1"/>
  <c r="BC203" i="9"/>
  <c r="BF202" i="9"/>
  <c r="BF201" i="9"/>
  <c r="BF200" i="9"/>
  <c r="BF199" i="9"/>
  <c r="BF198" i="9"/>
  <c r="BF197" i="9"/>
  <c r="BF196" i="9"/>
  <c r="BE195" i="9"/>
  <c r="BD195" i="9"/>
  <c r="BC195" i="9"/>
  <c r="BF194" i="9"/>
  <c r="BF193" i="9"/>
  <c r="BF192" i="9"/>
  <c r="BE191" i="9"/>
  <c r="BD191" i="9"/>
  <c r="BC191" i="9"/>
  <c r="BF190" i="9"/>
  <c r="BF189" i="9"/>
  <c r="BE188" i="9"/>
  <c r="BD188" i="9"/>
  <c r="BC188" i="9"/>
  <c r="BF187" i="9"/>
  <c r="BF186" i="9"/>
  <c r="BE185" i="9"/>
  <c r="BD185" i="9"/>
  <c r="BC185" i="9"/>
  <c r="BF180" i="9"/>
  <c r="BF179" i="9"/>
  <c r="BF178" i="9"/>
  <c r="BE177" i="9"/>
  <c r="BD177" i="9"/>
  <c r="BC177" i="9"/>
  <c r="BF176" i="9"/>
  <c r="BF175" i="9" s="1"/>
  <c r="BE175" i="9"/>
  <c r="V119" i="11" s="1"/>
  <c r="BD175" i="9"/>
  <c r="V118" i="11" s="1"/>
  <c r="BC175" i="9"/>
  <c r="BF174" i="9"/>
  <c r="BF173" i="9"/>
  <c r="BF172" i="9"/>
  <c r="BF171" i="9"/>
  <c r="BE170" i="9"/>
  <c r="V115" i="11" s="1"/>
  <c r="BD170" i="9"/>
  <c r="V114" i="11" s="1"/>
  <c r="BC170" i="9"/>
  <c r="BC169" i="9" s="1"/>
  <c r="BF165" i="9"/>
  <c r="BF164" i="9"/>
  <c r="BF163" i="9"/>
  <c r="BE162" i="9"/>
  <c r="BD162" i="9"/>
  <c r="BC162" i="9"/>
  <c r="BF161" i="9"/>
  <c r="BF160" i="9"/>
  <c r="BF159" i="9"/>
  <c r="BE158" i="9"/>
  <c r="BD158" i="9"/>
  <c r="BC158" i="9"/>
  <c r="BF144" i="9"/>
  <c r="BF143" i="9" s="1"/>
  <c r="BE143" i="9"/>
  <c r="BD143" i="9"/>
  <c r="BC143" i="9"/>
  <c r="BF142" i="9"/>
  <c r="BF141" i="9"/>
  <c r="BF140" i="9"/>
  <c r="BF139" i="9"/>
  <c r="BF138" i="9" s="1"/>
  <c r="BF137" i="9" s="1"/>
  <c r="BE138" i="9"/>
  <c r="BD138" i="9"/>
  <c r="BD137" i="9" s="1"/>
  <c r="BC138" i="9"/>
  <c r="BC137" i="9" s="1"/>
  <c r="BE137" i="9"/>
  <c r="BF136" i="9"/>
  <c r="BF135" i="9"/>
  <c r="BF134" i="9"/>
  <c r="BF133" i="9"/>
  <c r="BE132" i="9"/>
  <c r="BD132" i="9"/>
  <c r="BC132" i="9"/>
  <c r="BC130" i="9" s="1"/>
  <c r="BF131" i="9"/>
  <c r="BE130" i="9"/>
  <c r="BD130" i="9"/>
  <c r="BF129" i="9"/>
  <c r="BF128" i="9" s="1"/>
  <c r="BE128" i="9"/>
  <c r="BD128" i="9"/>
  <c r="BC128" i="9"/>
  <c r="BF127" i="9"/>
  <c r="BF126" i="9"/>
  <c r="BF125" i="9"/>
  <c r="BE124" i="9"/>
  <c r="BE121" i="9" s="1"/>
  <c r="BD124" i="9"/>
  <c r="BD121" i="9" s="1"/>
  <c r="BC124" i="9"/>
  <c r="BC121" i="9" s="1"/>
  <c r="BF123" i="9"/>
  <c r="BF122" i="9"/>
  <c r="BF119" i="9"/>
  <c r="BF118" i="9"/>
  <c r="BF117" i="9"/>
  <c r="BF116" i="9"/>
  <c r="BF115" i="9"/>
  <c r="BF114" i="9"/>
  <c r="BF113" i="9"/>
  <c r="BE112" i="9"/>
  <c r="BD112" i="9"/>
  <c r="BC112" i="9"/>
  <c r="BF111" i="9"/>
  <c r="BF110" i="9"/>
  <c r="BF109" i="9"/>
  <c r="BF108" i="9"/>
  <c r="BF107" i="9"/>
  <c r="BF106" i="9"/>
  <c r="BF105" i="9"/>
  <c r="BE104" i="9"/>
  <c r="BD104" i="9"/>
  <c r="BC104" i="9"/>
  <c r="BF103" i="9"/>
  <c r="BF102" i="9"/>
  <c r="BE101" i="9"/>
  <c r="BE100" i="9" s="1"/>
  <c r="BD101" i="9"/>
  <c r="BD100" i="9" s="1"/>
  <c r="BC101" i="9"/>
  <c r="BC100" i="9"/>
  <c r="BF99" i="9"/>
  <c r="BF98" i="9"/>
  <c r="BF97" i="9"/>
  <c r="BF96" i="9"/>
  <c r="BE95" i="9"/>
  <c r="BE94" i="9" s="1"/>
  <c r="BD95" i="9"/>
  <c r="BD94" i="9" s="1"/>
  <c r="BC95" i="9"/>
  <c r="BC94" i="9" s="1"/>
  <c r="BF90" i="9"/>
  <c r="BF89" i="9" s="1"/>
  <c r="BE89" i="9"/>
  <c r="BD89" i="9"/>
  <c r="BC89" i="9"/>
  <c r="BF88" i="9"/>
  <c r="BF87" i="9" s="1"/>
  <c r="BE87" i="9"/>
  <c r="BD87" i="9"/>
  <c r="V173" i="11" s="1"/>
  <c r="BC87" i="9"/>
  <c r="BF86" i="9"/>
  <c r="BF85" i="9"/>
  <c r="BF84" i="9"/>
  <c r="BF83" i="9"/>
  <c r="BE82" i="9"/>
  <c r="BD82" i="9"/>
  <c r="BC82" i="9"/>
  <c r="BF81" i="9"/>
  <c r="BF80" i="9"/>
  <c r="BF79" i="9"/>
  <c r="BE78" i="9"/>
  <c r="BD78" i="9"/>
  <c r="BC78" i="9"/>
  <c r="BF77" i="9"/>
  <c r="BF76" i="9" s="1"/>
  <c r="BE76" i="9"/>
  <c r="BD76" i="9"/>
  <c r="BC76" i="9"/>
  <c r="BF74" i="9"/>
  <c r="BF73" i="9"/>
  <c r="BF72" i="9"/>
  <c r="BF71" i="9"/>
  <c r="BF70" i="9"/>
  <c r="BE69" i="9"/>
  <c r="BD69" i="9"/>
  <c r="BC69" i="9"/>
  <c r="BF68" i="9"/>
  <c r="BF67" i="9"/>
  <c r="BF66" i="9"/>
  <c r="BF65" i="9"/>
  <c r="BF64" i="9"/>
  <c r="BF63" i="9"/>
  <c r="BF62" i="9"/>
  <c r="BF61" i="9"/>
  <c r="BE60" i="9"/>
  <c r="BE59" i="9" s="1"/>
  <c r="BD60" i="9"/>
  <c r="BD59" i="9" s="1"/>
  <c r="BC60" i="9"/>
  <c r="BC59" i="9" s="1"/>
  <c r="BF56" i="9"/>
  <c r="BF55" i="9"/>
  <c r="BF54" i="9"/>
  <c r="BF53" i="9"/>
  <c r="BE52" i="9"/>
  <c r="V55" i="11" s="1"/>
  <c r="BD52" i="9"/>
  <c r="V54" i="11" s="1"/>
  <c r="BC52" i="9"/>
  <c r="V53" i="11" s="1"/>
  <c r="BF51" i="9"/>
  <c r="BF50" i="9"/>
  <c r="BF49" i="9"/>
  <c r="BF48" i="9"/>
  <c r="BF47" i="9"/>
  <c r="BF46" i="9"/>
  <c r="BF45" i="9"/>
  <c r="BE44" i="9"/>
  <c r="BD44" i="9"/>
  <c r="BC44" i="9"/>
  <c r="BF43" i="9"/>
  <c r="BF42" i="9"/>
  <c r="BF41" i="9"/>
  <c r="BE40" i="9"/>
  <c r="BD40" i="9"/>
  <c r="BC40" i="9"/>
  <c r="BF39" i="9"/>
  <c r="BF38" i="9"/>
  <c r="BE37" i="9"/>
  <c r="BD37" i="9"/>
  <c r="BC37" i="9"/>
  <c r="BF36" i="9"/>
  <c r="BF35" i="9"/>
  <c r="BE34" i="9"/>
  <c r="BD34" i="9"/>
  <c r="BD33" i="9" s="1"/>
  <c r="BC34" i="9"/>
  <c r="BF29" i="9"/>
  <c r="BF28" i="9"/>
  <c r="BF27" i="9"/>
  <c r="BE26" i="9"/>
  <c r="BD26" i="9"/>
  <c r="BC26" i="9"/>
  <c r="BF23" i="9"/>
  <c r="BF22" i="9" s="1"/>
  <c r="BE22" i="9"/>
  <c r="V27" i="11" s="1"/>
  <c r="BD22" i="9"/>
  <c r="V26" i="11" s="1"/>
  <c r="BC22" i="9"/>
  <c r="V25" i="11" s="1"/>
  <c r="BF21" i="9"/>
  <c r="BF20" i="9"/>
  <c r="BF19" i="9"/>
  <c r="BF18" i="9"/>
  <c r="BE17" i="9"/>
  <c r="BD17" i="9"/>
  <c r="BC17" i="9"/>
  <c r="BB295" i="9"/>
  <c r="BB294" i="9" s="1"/>
  <c r="BA294" i="9"/>
  <c r="AZ294" i="9"/>
  <c r="AY294" i="9"/>
  <c r="BB293" i="9"/>
  <c r="BB292" i="9"/>
  <c r="BB291" i="9"/>
  <c r="BB290" i="9"/>
  <c r="BA289" i="9"/>
  <c r="BA288" i="9" s="1"/>
  <c r="AZ289" i="9"/>
  <c r="AZ288" i="9" s="1"/>
  <c r="AY289" i="9"/>
  <c r="AY288" i="9" s="1"/>
  <c r="BB287" i="9"/>
  <c r="BB286" i="9"/>
  <c r="BB285" i="9"/>
  <c r="BB284" i="9"/>
  <c r="BA283" i="9"/>
  <c r="AZ283" i="9"/>
  <c r="AZ281" i="9" s="1"/>
  <c r="AY283" i="9"/>
  <c r="AY281" i="9" s="1"/>
  <c r="BB282" i="9"/>
  <c r="BA281" i="9"/>
  <c r="BB280" i="9"/>
  <c r="BB279" i="9" s="1"/>
  <c r="BA279" i="9"/>
  <c r="AZ279" i="9"/>
  <c r="AY279" i="9"/>
  <c r="BB278" i="9"/>
  <c r="BB277" i="9"/>
  <c r="BB276" i="9"/>
  <c r="BA275" i="9"/>
  <c r="AZ275" i="9"/>
  <c r="AZ272" i="9" s="1"/>
  <c r="AY275" i="9"/>
  <c r="AY272" i="9" s="1"/>
  <c r="BB274" i="9"/>
  <c r="BB273" i="9"/>
  <c r="BA272" i="9"/>
  <c r="BB270" i="9"/>
  <c r="BB269" i="9"/>
  <c r="BB268" i="9"/>
  <c r="BB267" i="9"/>
  <c r="BB266" i="9"/>
  <c r="BB265" i="9"/>
  <c r="BB264" i="9"/>
  <c r="BA263" i="9"/>
  <c r="AZ263" i="9"/>
  <c r="AY263" i="9"/>
  <c r="BB262" i="9"/>
  <c r="BB261" i="9"/>
  <c r="BB260" i="9"/>
  <c r="BB259" i="9"/>
  <c r="BB258" i="9"/>
  <c r="BB257" i="9"/>
  <c r="BB256" i="9"/>
  <c r="BA255" i="9"/>
  <c r="AZ255" i="9"/>
  <c r="AY255" i="9"/>
  <c r="BB254" i="9"/>
  <c r="BB253" i="9"/>
  <c r="BA252" i="9"/>
  <c r="BA251" i="9" s="1"/>
  <c r="AZ252" i="9"/>
  <c r="AZ251" i="9" s="1"/>
  <c r="AY252" i="9"/>
  <c r="AY251" i="9" s="1"/>
  <c r="BB250" i="9"/>
  <c r="BB249" i="9"/>
  <c r="BB248" i="9"/>
  <c r="BB247" i="9"/>
  <c r="BA246" i="9"/>
  <c r="BA245" i="9" s="1"/>
  <c r="AZ246" i="9"/>
  <c r="AZ245" i="9" s="1"/>
  <c r="AY246" i="9"/>
  <c r="AY245" i="9"/>
  <c r="BB241" i="9"/>
  <c r="BB240" i="9" s="1"/>
  <c r="BA240" i="9"/>
  <c r="AZ240" i="9"/>
  <c r="AY240" i="9"/>
  <c r="BB239" i="9"/>
  <c r="BB238" i="9" s="1"/>
  <c r="BA238" i="9"/>
  <c r="AZ238" i="9"/>
  <c r="AY238" i="9"/>
  <c r="BB237" i="9"/>
  <c r="BB236" i="9"/>
  <c r="BB235" i="9"/>
  <c r="BB234" i="9"/>
  <c r="BA233" i="9"/>
  <c r="AZ233" i="9"/>
  <c r="AY233" i="9"/>
  <c r="BB232" i="9"/>
  <c r="BB231" i="9"/>
  <c r="BB230" i="9"/>
  <c r="BA229" i="9"/>
  <c r="AZ229" i="9"/>
  <c r="AY229" i="9"/>
  <c r="BB228" i="9"/>
  <c r="BB227" i="9" s="1"/>
  <c r="BA227" i="9"/>
  <c r="AZ227" i="9"/>
  <c r="AY227" i="9"/>
  <c r="BB225" i="9"/>
  <c r="BB224" i="9"/>
  <c r="BB223" i="9"/>
  <c r="BB222" i="9"/>
  <c r="BB221" i="9"/>
  <c r="BA220" i="9"/>
  <c r="AZ220" i="9"/>
  <c r="AY220" i="9"/>
  <c r="BB219" i="9"/>
  <c r="BB218" i="9"/>
  <c r="BB217" i="9"/>
  <c r="BB216" i="9"/>
  <c r="BB215" i="9"/>
  <c r="BB214" i="9"/>
  <c r="BB213" i="9"/>
  <c r="BB212" i="9"/>
  <c r="BA211" i="9"/>
  <c r="BA210" i="9" s="1"/>
  <c r="BA209" i="9" s="1"/>
  <c r="AZ211" i="9"/>
  <c r="AZ210" i="9" s="1"/>
  <c r="AZ209" i="9" s="1"/>
  <c r="AY211" i="9"/>
  <c r="AY210" i="9" s="1"/>
  <c r="BB207" i="9"/>
  <c r="BB206" i="9"/>
  <c r="BB205" i="9"/>
  <c r="BB204" i="9"/>
  <c r="BA203" i="9"/>
  <c r="U140" i="11" s="1"/>
  <c r="AZ203" i="9"/>
  <c r="U139" i="11" s="1"/>
  <c r="AY203" i="9"/>
  <c r="BB202" i="9"/>
  <c r="BB201" i="9"/>
  <c r="BB200" i="9"/>
  <c r="BB199" i="9"/>
  <c r="BB198" i="9"/>
  <c r="BB197" i="9"/>
  <c r="BB196" i="9"/>
  <c r="BA195" i="9"/>
  <c r="AZ195" i="9"/>
  <c r="AY195" i="9"/>
  <c r="BB194" i="9"/>
  <c r="BB193" i="9"/>
  <c r="BB192" i="9"/>
  <c r="BA191" i="9"/>
  <c r="AZ191" i="9"/>
  <c r="AY191" i="9"/>
  <c r="BB190" i="9"/>
  <c r="BB189" i="9"/>
  <c r="BA188" i="9"/>
  <c r="AZ188" i="9"/>
  <c r="AY188" i="9"/>
  <c r="BB187" i="9"/>
  <c r="BB186" i="9"/>
  <c r="BA185" i="9"/>
  <c r="AZ185" i="9"/>
  <c r="AY185" i="9"/>
  <c r="AY184" i="9" s="1"/>
  <c r="BB180" i="9"/>
  <c r="BB179" i="9"/>
  <c r="BB178" i="9"/>
  <c r="BA177" i="9"/>
  <c r="AZ177" i="9"/>
  <c r="AY177" i="9"/>
  <c r="BB176" i="9"/>
  <c r="BB175" i="9" s="1"/>
  <c r="BA175" i="9"/>
  <c r="U119" i="11" s="1"/>
  <c r="AZ175" i="9"/>
  <c r="U118" i="11" s="1"/>
  <c r="AY175" i="9"/>
  <c r="BB174" i="9"/>
  <c r="BB173" i="9"/>
  <c r="BB172" i="9"/>
  <c r="BB171" i="9"/>
  <c r="BA170" i="9"/>
  <c r="U115" i="11" s="1"/>
  <c r="AZ170" i="9"/>
  <c r="U114" i="11" s="1"/>
  <c r="AY170" i="9"/>
  <c r="BB165" i="9"/>
  <c r="BB164" i="9"/>
  <c r="BB163" i="9"/>
  <c r="BA162" i="9"/>
  <c r="AZ162" i="9"/>
  <c r="AY162" i="9"/>
  <c r="BB161" i="9"/>
  <c r="BB160" i="9"/>
  <c r="BB159" i="9"/>
  <c r="BA158" i="9"/>
  <c r="AZ158" i="9"/>
  <c r="AY158" i="9"/>
  <c r="BB144" i="9"/>
  <c r="BB143" i="9" s="1"/>
  <c r="BA143" i="9"/>
  <c r="AZ143" i="9"/>
  <c r="AY143" i="9"/>
  <c r="BB142" i="9"/>
  <c r="BB141" i="9"/>
  <c r="BB140" i="9"/>
  <c r="BB139" i="9"/>
  <c r="BA138" i="9"/>
  <c r="BA137" i="9" s="1"/>
  <c r="AZ138" i="9"/>
  <c r="AZ137" i="9" s="1"/>
  <c r="AY138" i="9"/>
  <c r="AY137" i="9" s="1"/>
  <c r="BB136" i="9"/>
  <c r="BB135" i="9"/>
  <c r="BB134" i="9"/>
  <c r="BB133" i="9"/>
  <c r="BA132" i="9"/>
  <c r="AZ132" i="9"/>
  <c r="AZ130" i="9" s="1"/>
  <c r="AY132" i="9"/>
  <c r="AY130" i="9" s="1"/>
  <c r="BB131" i="9"/>
  <c r="BA130" i="9"/>
  <c r="BB129" i="9"/>
  <c r="BB128" i="9" s="1"/>
  <c r="BA128" i="9"/>
  <c r="AZ128" i="9"/>
  <c r="AY128" i="9"/>
  <c r="BB127" i="9"/>
  <c r="BB126" i="9"/>
  <c r="BB125" i="9"/>
  <c r="BB124" i="9" s="1"/>
  <c r="BA124" i="9"/>
  <c r="BA121" i="9" s="1"/>
  <c r="BA120" i="9" s="1"/>
  <c r="AZ124" i="9"/>
  <c r="AZ121" i="9" s="1"/>
  <c r="AY124" i="9"/>
  <c r="BB123" i="9"/>
  <c r="BB122" i="9"/>
  <c r="AY121" i="9"/>
  <c r="BB119" i="9"/>
  <c r="BB118" i="9"/>
  <c r="BB117" i="9"/>
  <c r="BB116" i="9"/>
  <c r="BB115" i="9"/>
  <c r="BB114" i="9"/>
  <c r="BB113" i="9"/>
  <c r="BA112" i="9"/>
  <c r="AZ112" i="9"/>
  <c r="AY112" i="9"/>
  <c r="BB111" i="9"/>
  <c r="BB110" i="9"/>
  <c r="BB109" i="9"/>
  <c r="BB108" i="9"/>
  <c r="BB107" i="9"/>
  <c r="BB106" i="9"/>
  <c r="BB105" i="9"/>
  <c r="BA104" i="9"/>
  <c r="AZ104" i="9"/>
  <c r="AY104" i="9"/>
  <c r="BB103" i="9"/>
  <c r="BB102" i="9"/>
  <c r="BB101" i="9" s="1"/>
  <c r="BB100" i="9" s="1"/>
  <c r="BA101" i="9"/>
  <c r="BA100" i="9" s="1"/>
  <c r="AZ101" i="9"/>
  <c r="AZ100" i="9" s="1"/>
  <c r="AY101" i="9"/>
  <c r="AY100" i="9" s="1"/>
  <c r="BB99" i="9"/>
  <c r="BB98" i="9"/>
  <c r="BB97" i="9"/>
  <c r="BB96" i="9"/>
  <c r="BA95" i="9"/>
  <c r="BA94" i="9" s="1"/>
  <c r="AZ95" i="9"/>
  <c r="AZ94" i="9" s="1"/>
  <c r="AY95" i="9"/>
  <c r="AY94" i="9" s="1"/>
  <c r="BB90" i="9"/>
  <c r="BB89" i="9" s="1"/>
  <c r="BA89" i="9"/>
  <c r="AZ89" i="9"/>
  <c r="AY89" i="9"/>
  <c r="BB88" i="9"/>
  <c r="BB87" i="9" s="1"/>
  <c r="BA87" i="9"/>
  <c r="AZ87" i="9"/>
  <c r="AY87" i="9"/>
  <c r="BB86" i="9"/>
  <c r="BB85" i="9"/>
  <c r="BB84" i="9"/>
  <c r="BB83" i="9"/>
  <c r="BA82" i="9"/>
  <c r="BA75" i="9" s="1"/>
  <c r="AZ82" i="9"/>
  <c r="AY82" i="9"/>
  <c r="BB81" i="9"/>
  <c r="BB80" i="9"/>
  <c r="BB79" i="9"/>
  <c r="BA78" i="9"/>
  <c r="AZ78" i="9"/>
  <c r="AY78" i="9"/>
  <c r="BB77" i="9"/>
  <c r="BB76" i="9" s="1"/>
  <c r="BA76" i="9"/>
  <c r="AZ76" i="9"/>
  <c r="AY76" i="9"/>
  <c r="AY75" i="9" s="1"/>
  <c r="BB74" i="9"/>
  <c r="BB73" i="9"/>
  <c r="BB72" i="9"/>
  <c r="BB71" i="9"/>
  <c r="BB70" i="9"/>
  <c r="BA69" i="9"/>
  <c r="AZ69" i="9"/>
  <c r="AY69" i="9"/>
  <c r="BB68" i="9"/>
  <c r="BB67" i="9"/>
  <c r="BB66" i="9"/>
  <c r="BB65" i="9"/>
  <c r="BB64" i="9"/>
  <c r="BB63" i="9"/>
  <c r="BB62" i="9"/>
  <c r="BB61" i="9"/>
  <c r="BA60" i="9"/>
  <c r="BA59" i="9" s="1"/>
  <c r="BA58" i="9" s="1"/>
  <c r="AZ60" i="9"/>
  <c r="AZ59" i="9" s="1"/>
  <c r="AY60" i="9"/>
  <c r="AY59" i="9" s="1"/>
  <c r="BB56" i="9"/>
  <c r="BB55" i="9"/>
  <c r="BB54" i="9"/>
  <c r="BB53" i="9"/>
  <c r="BA52" i="9"/>
  <c r="U55" i="11" s="1"/>
  <c r="AZ52" i="9"/>
  <c r="U54" i="11" s="1"/>
  <c r="AY52" i="9"/>
  <c r="U53" i="11" s="1"/>
  <c r="BB51" i="9"/>
  <c r="BB50" i="9"/>
  <c r="BB49" i="9"/>
  <c r="BB48" i="9"/>
  <c r="BB47" i="9"/>
  <c r="BB46" i="9"/>
  <c r="BB45" i="9"/>
  <c r="BA44" i="9"/>
  <c r="AZ44" i="9"/>
  <c r="AY44" i="9"/>
  <c r="BB43" i="9"/>
  <c r="BB42" i="9"/>
  <c r="BB41" i="9"/>
  <c r="BA40" i="9"/>
  <c r="AZ40" i="9"/>
  <c r="AY40" i="9"/>
  <c r="BB39" i="9"/>
  <c r="BB38" i="9"/>
  <c r="BB37" i="9" s="1"/>
  <c r="BA37" i="9"/>
  <c r="AZ37" i="9"/>
  <c r="AY37" i="9"/>
  <c r="BB36" i="9"/>
  <c r="BB35" i="9"/>
  <c r="BA34" i="9"/>
  <c r="AZ34" i="9"/>
  <c r="AZ33" i="9" s="1"/>
  <c r="AY34" i="9"/>
  <c r="AY33" i="9" s="1"/>
  <c r="AY32" i="9" s="1"/>
  <c r="U49" i="11" s="1"/>
  <c r="BB29" i="9"/>
  <c r="BB28" i="9"/>
  <c r="BB27" i="9"/>
  <c r="BA26" i="9"/>
  <c r="AZ26" i="9"/>
  <c r="AY26" i="9"/>
  <c r="BB23" i="9"/>
  <c r="BB22" i="9" s="1"/>
  <c r="BA22" i="9"/>
  <c r="U27" i="11" s="1"/>
  <c r="AZ22" i="9"/>
  <c r="U26" i="11" s="1"/>
  <c r="AY22" i="9"/>
  <c r="U25" i="11" s="1"/>
  <c r="BB21" i="9"/>
  <c r="BB20" i="9"/>
  <c r="BB19" i="9"/>
  <c r="BB18" i="9"/>
  <c r="BA17" i="9"/>
  <c r="AZ17" i="9"/>
  <c r="AY17" i="9"/>
  <c r="T140" i="11"/>
  <c r="T139" i="11"/>
  <c r="T137" i="11"/>
  <c r="T136" i="11"/>
  <c r="T119" i="11"/>
  <c r="T118" i="11"/>
  <c r="T115" i="11"/>
  <c r="T114" i="11"/>
  <c r="T173" i="11"/>
  <c r="T59" i="11"/>
  <c r="T55" i="11"/>
  <c r="T54" i="11"/>
  <c r="T53" i="11"/>
  <c r="T27" i="11"/>
  <c r="T26" i="11"/>
  <c r="T25" i="11"/>
  <c r="AW17" i="9"/>
  <c r="AV17" i="9"/>
  <c r="AU17" i="9"/>
  <c r="R146" i="11"/>
  <c r="R142" i="11"/>
  <c r="R140" i="11"/>
  <c r="R139" i="11"/>
  <c r="R119" i="11"/>
  <c r="R118" i="11"/>
  <c r="R115" i="11"/>
  <c r="R114" i="11"/>
  <c r="R173" i="11"/>
  <c r="R59" i="11"/>
  <c r="R55" i="11"/>
  <c r="R54" i="11"/>
  <c r="R53" i="11"/>
  <c r="R27" i="11"/>
  <c r="R26" i="11"/>
  <c r="R25" i="11"/>
  <c r="AP17" i="9"/>
  <c r="AP16" i="9" s="1"/>
  <c r="AO17" i="9"/>
  <c r="AN17" i="9"/>
  <c r="AM17" i="9"/>
  <c r="Q140" i="11"/>
  <c r="Q139" i="11"/>
  <c r="Q119" i="11"/>
  <c r="Q118" i="11"/>
  <c r="Q115" i="11"/>
  <c r="Q114" i="11"/>
  <c r="Q173" i="11"/>
  <c r="Q58" i="11"/>
  <c r="Q59" i="11"/>
  <c r="Q55" i="11"/>
  <c r="Q54" i="11"/>
  <c r="Q53" i="11"/>
  <c r="Q27" i="11"/>
  <c r="Q26" i="11"/>
  <c r="Q25" i="11"/>
  <c r="AL17" i="9"/>
  <c r="AL16" i="9" s="1"/>
  <c r="AK17" i="9"/>
  <c r="AJ17" i="9"/>
  <c r="AI17" i="9"/>
  <c r="P173" i="11"/>
  <c r="P59" i="11"/>
  <c r="P55" i="11"/>
  <c r="P54" i="11"/>
  <c r="P53" i="11"/>
  <c r="P27" i="11"/>
  <c r="P26" i="11"/>
  <c r="P25" i="11"/>
  <c r="AH17" i="9"/>
  <c r="AH16" i="9" s="1"/>
  <c r="AG17" i="9"/>
  <c r="AF17" i="9"/>
  <c r="AE17" i="9"/>
  <c r="O140" i="11"/>
  <c r="O139" i="11"/>
  <c r="O136" i="11"/>
  <c r="O119" i="11"/>
  <c r="O118" i="11"/>
  <c r="O115" i="11"/>
  <c r="O114" i="11"/>
  <c r="O63" i="11"/>
  <c r="O62" i="11"/>
  <c r="O64" i="11"/>
  <c r="O173" i="11"/>
  <c r="O57" i="11"/>
  <c r="O59" i="11"/>
  <c r="O170" i="11"/>
  <c r="O58" i="11"/>
  <c r="O55" i="11"/>
  <c r="O54" i="11"/>
  <c r="O53" i="11"/>
  <c r="O50" i="11"/>
  <c r="O27" i="11"/>
  <c r="O26" i="11"/>
  <c r="O25" i="11"/>
  <c r="AD17" i="9"/>
  <c r="AD16" i="9" s="1"/>
  <c r="AC17" i="9"/>
  <c r="AB17" i="9"/>
  <c r="AA17" i="9"/>
  <c r="V295" i="9"/>
  <c r="V294" i="9" s="1"/>
  <c r="U294" i="9"/>
  <c r="T294" i="9"/>
  <c r="S294" i="9"/>
  <c r="V293" i="9"/>
  <c r="V292" i="9"/>
  <c r="V291" i="9"/>
  <c r="V290" i="9"/>
  <c r="U289" i="9"/>
  <c r="U288" i="9" s="1"/>
  <c r="T289" i="9"/>
  <c r="T288" i="9" s="1"/>
  <c r="S289" i="9"/>
  <c r="S288" i="9"/>
  <c r="V287" i="9"/>
  <c r="V286" i="9"/>
  <c r="V285" i="9"/>
  <c r="V284" i="9"/>
  <c r="U283" i="9"/>
  <c r="U281" i="9" s="1"/>
  <c r="T283" i="9"/>
  <c r="T281" i="9" s="1"/>
  <c r="S283" i="9"/>
  <c r="S281" i="9" s="1"/>
  <c r="V282" i="9"/>
  <c r="V280" i="9"/>
  <c r="V279" i="9" s="1"/>
  <c r="U279" i="9"/>
  <c r="T279" i="9"/>
  <c r="S279" i="9"/>
  <c r="V278" i="9"/>
  <c r="V277" i="9"/>
  <c r="V276" i="9"/>
  <c r="V275" i="9" s="1"/>
  <c r="U275" i="9"/>
  <c r="U272" i="9" s="1"/>
  <c r="T275" i="9"/>
  <c r="T272" i="9" s="1"/>
  <c r="S275" i="9"/>
  <c r="S272" i="9" s="1"/>
  <c r="V274" i="9"/>
  <c r="V273" i="9"/>
  <c r="V270" i="9"/>
  <c r="V269" i="9"/>
  <c r="V268" i="9"/>
  <c r="V267" i="9"/>
  <c r="V266" i="9"/>
  <c r="V265" i="9"/>
  <c r="V264" i="9"/>
  <c r="U263" i="9"/>
  <c r="T263" i="9"/>
  <c r="S263" i="9"/>
  <c r="V262" i="9"/>
  <c r="V261" i="9"/>
  <c r="V260" i="9"/>
  <c r="V259" i="9"/>
  <c r="V258" i="9"/>
  <c r="V257" i="9"/>
  <c r="V256" i="9"/>
  <c r="U255" i="9"/>
  <c r="T255" i="9"/>
  <c r="S255" i="9"/>
  <c r="V254" i="9"/>
  <c r="V253" i="9"/>
  <c r="U252" i="9"/>
  <c r="U251" i="9" s="1"/>
  <c r="T252" i="9"/>
  <c r="T251" i="9" s="1"/>
  <c r="S252" i="9"/>
  <c r="S251" i="9" s="1"/>
  <c r="V250" i="9"/>
  <c r="V249" i="9"/>
  <c r="V248" i="9"/>
  <c r="V247" i="9"/>
  <c r="U246" i="9"/>
  <c r="U245" i="9" s="1"/>
  <c r="T246" i="9"/>
  <c r="T245" i="9" s="1"/>
  <c r="S246" i="9"/>
  <c r="S245" i="9" s="1"/>
  <c r="V241" i="9"/>
  <c r="V240" i="9" s="1"/>
  <c r="U240" i="9"/>
  <c r="T240" i="9"/>
  <c r="S240" i="9"/>
  <c r="V239" i="9"/>
  <c r="V238" i="9" s="1"/>
  <c r="U238" i="9"/>
  <c r="T238" i="9"/>
  <c r="S238" i="9"/>
  <c r="V237" i="9"/>
  <c r="V236" i="9"/>
  <c r="V235" i="9"/>
  <c r="V234" i="9"/>
  <c r="V233" i="9" s="1"/>
  <c r="U233" i="9"/>
  <c r="T233" i="9"/>
  <c r="S233" i="9"/>
  <c r="V232" i="9"/>
  <c r="V231" i="9"/>
  <c r="V230" i="9"/>
  <c r="U229" i="9"/>
  <c r="T229" i="9"/>
  <c r="S229" i="9"/>
  <c r="V228" i="9"/>
  <c r="V227" i="9"/>
  <c r="U227" i="9"/>
  <c r="T227" i="9"/>
  <c r="S227" i="9"/>
  <c r="V225" i="9"/>
  <c r="V224" i="9"/>
  <c r="V223" i="9"/>
  <c r="V222" i="9"/>
  <c r="V221" i="9"/>
  <c r="U220" i="9"/>
  <c r="T220" i="9"/>
  <c r="S220" i="9"/>
  <c r="V219" i="9"/>
  <c r="V218" i="9"/>
  <c r="V217" i="9"/>
  <c r="V216" i="9"/>
  <c r="V215" i="9"/>
  <c r="V214" i="9"/>
  <c r="V213" i="9"/>
  <c r="V212" i="9"/>
  <c r="U211" i="9"/>
  <c r="U210" i="9" s="1"/>
  <c r="T211" i="9"/>
  <c r="T210" i="9" s="1"/>
  <c r="T209" i="9" s="1"/>
  <c r="S211" i="9"/>
  <c r="S210" i="9" s="1"/>
  <c r="V207" i="9"/>
  <c r="V206" i="9"/>
  <c r="V205" i="9"/>
  <c r="V204" i="9"/>
  <c r="U203" i="9"/>
  <c r="M140" i="11" s="1"/>
  <c r="T203" i="9"/>
  <c r="M139" i="11" s="1"/>
  <c r="S203" i="9"/>
  <c r="V202" i="9"/>
  <c r="V201" i="9"/>
  <c r="V200" i="9"/>
  <c r="V199" i="9"/>
  <c r="V198" i="9"/>
  <c r="V197" i="9"/>
  <c r="V196" i="9"/>
  <c r="U195" i="9"/>
  <c r="T195" i="9"/>
  <c r="S195" i="9"/>
  <c r="V194" i="9"/>
  <c r="V193" i="9"/>
  <c r="V192" i="9"/>
  <c r="U191" i="9"/>
  <c r="T191" i="9"/>
  <c r="S191" i="9"/>
  <c r="V190" i="9"/>
  <c r="V189" i="9"/>
  <c r="U188" i="9"/>
  <c r="T188" i="9"/>
  <c r="S188" i="9"/>
  <c r="V187" i="9"/>
  <c r="V186" i="9"/>
  <c r="V185" i="9" s="1"/>
  <c r="U185" i="9"/>
  <c r="T185" i="9"/>
  <c r="S185" i="9"/>
  <c r="V180" i="9"/>
  <c r="V179" i="9"/>
  <c r="V178" i="9"/>
  <c r="U177" i="9"/>
  <c r="T177" i="9"/>
  <c r="S177" i="9"/>
  <c r="V176" i="9"/>
  <c r="V175" i="9" s="1"/>
  <c r="U175" i="9"/>
  <c r="M119" i="11" s="1"/>
  <c r="T175" i="9"/>
  <c r="M118" i="11" s="1"/>
  <c r="S175" i="9"/>
  <c r="S169" i="9" s="1"/>
  <c r="V174" i="9"/>
  <c r="V173" i="9"/>
  <c r="V172" i="9"/>
  <c r="V171" i="9"/>
  <c r="U170" i="9"/>
  <c r="M115" i="11" s="1"/>
  <c r="T170" i="9"/>
  <c r="M114" i="11" s="1"/>
  <c r="S170" i="9"/>
  <c r="T169" i="9"/>
  <c r="V165" i="9"/>
  <c r="V164" i="9"/>
  <c r="V163" i="9"/>
  <c r="V162" i="9" s="1"/>
  <c r="U162" i="9"/>
  <c r="T162" i="9"/>
  <c r="S162" i="9"/>
  <c r="V161" i="9"/>
  <c r="V160" i="9"/>
  <c r="V159" i="9"/>
  <c r="U158" i="9"/>
  <c r="T158" i="9"/>
  <c r="S158" i="9"/>
  <c r="V144" i="9"/>
  <c r="V143" i="9" s="1"/>
  <c r="U143" i="9"/>
  <c r="T143" i="9"/>
  <c r="S143" i="9"/>
  <c r="V142" i="9"/>
  <c r="V141" i="9"/>
  <c r="V140" i="9"/>
  <c r="V139" i="9"/>
  <c r="U138" i="9"/>
  <c r="U137" i="9" s="1"/>
  <c r="T138" i="9"/>
  <c r="T137" i="9" s="1"/>
  <c r="S138" i="9"/>
  <c r="S137" i="9" s="1"/>
  <c r="V136" i="9"/>
  <c r="V135" i="9"/>
  <c r="V134" i="9"/>
  <c r="V133" i="9"/>
  <c r="U132" i="9"/>
  <c r="T132" i="9"/>
  <c r="S132" i="9"/>
  <c r="V131" i="9"/>
  <c r="U130" i="9"/>
  <c r="T130" i="9"/>
  <c r="S130" i="9"/>
  <c r="V129" i="9"/>
  <c r="V128" i="9" s="1"/>
  <c r="U128" i="9"/>
  <c r="T128" i="9"/>
  <c r="S128" i="9"/>
  <c r="V127" i="9"/>
  <c r="V126" i="9"/>
  <c r="V125" i="9"/>
  <c r="V124" i="9" s="1"/>
  <c r="U124" i="9"/>
  <c r="U121" i="9" s="1"/>
  <c r="U120" i="9" s="1"/>
  <c r="T124" i="9"/>
  <c r="T121" i="9" s="1"/>
  <c r="S124" i="9"/>
  <c r="S121" i="9" s="1"/>
  <c r="V123" i="9"/>
  <c r="V122" i="9"/>
  <c r="V119" i="9"/>
  <c r="V118" i="9"/>
  <c r="V117" i="9"/>
  <c r="V116" i="9"/>
  <c r="V115" i="9"/>
  <c r="V114" i="9"/>
  <c r="V113" i="9"/>
  <c r="U112" i="9"/>
  <c r="T112" i="9"/>
  <c r="S112" i="9"/>
  <c r="V111" i="9"/>
  <c r="V110" i="9"/>
  <c r="V109" i="9"/>
  <c r="V108" i="9"/>
  <c r="V107" i="9"/>
  <c r="V106" i="9"/>
  <c r="V105" i="9"/>
  <c r="U104" i="9"/>
  <c r="T104" i="9"/>
  <c r="S104" i="9"/>
  <c r="V103" i="9"/>
  <c r="V102" i="9"/>
  <c r="V101" i="9" s="1"/>
  <c r="V100" i="9" s="1"/>
  <c r="U101" i="9"/>
  <c r="U100" i="9" s="1"/>
  <c r="T101" i="9"/>
  <c r="T100" i="9" s="1"/>
  <c r="S101" i="9"/>
  <c r="S100" i="9" s="1"/>
  <c r="V99" i="9"/>
  <c r="V98" i="9"/>
  <c r="V97" i="9"/>
  <c r="V96" i="9"/>
  <c r="U95" i="9"/>
  <c r="U94" i="9" s="1"/>
  <c r="U93" i="9" s="1"/>
  <c r="T95" i="9"/>
  <c r="T94" i="9" s="1"/>
  <c r="S95" i="9"/>
  <c r="S94" i="9" s="1"/>
  <c r="V90" i="9"/>
  <c r="V89" i="9" s="1"/>
  <c r="U89" i="9"/>
  <c r="T89" i="9"/>
  <c r="S89" i="9"/>
  <c r="V88" i="9"/>
  <c r="V87" i="9" s="1"/>
  <c r="U87" i="9"/>
  <c r="T87" i="9"/>
  <c r="M173" i="11" s="1"/>
  <c r="S87" i="9"/>
  <c r="V86" i="9"/>
  <c r="V85" i="9"/>
  <c r="V84" i="9"/>
  <c r="V83" i="9"/>
  <c r="U82" i="9"/>
  <c r="T82" i="9"/>
  <c r="S82" i="9"/>
  <c r="V81" i="9"/>
  <c r="V80" i="9"/>
  <c r="V79" i="9"/>
  <c r="U78" i="9"/>
  <c r="T78" i="9"/>
  <c r="S78" i="9"/>
  <c r="V77" i="9"/>
  <c r="V76" i="9" s="1"/>
  <c r="U76" i="9"/>
  <c r="T76" i="9"/>
  <c r="S76" i="9"/>
  <c r="V74" i="9"/>
  <c r="V73" i="9"/>
  <c r="V72" i="9"/>
  <c r="V71" i="9"/>
  <c r="V70" i="9"/>
  <c r="U69" i="9"/>
  <c r="T69" i="9"/>
  <c r="S69" i="9"/>
  <c r="V68" i="9"/>
  <c r="V67" i="9"/>
  <c r="V66" i="9"/>
  <c r="V65" i="9"/>
  <c r="V64" i="9"/>
  <c r="V63" i="9"/>
  <c r="V62" i="9"/>
  <c r="V61" i="9"/>
  <c r="U60" i="9"/>
  <c r="U59" i="9" s="1"/>
  <c r="T60" i="9"/>
  <c r="T59" i="9" s="1"/>
  <c r="T58" i="9" s="1"/>
  <c r="S60" i="9"/>
  <c r="S59" i="9"/>
  <c r="S58" i="9" s="1"/>
  <c r="V56" i="9"/>
  <c r="V55" i="9"/>
  <c r="V54" i="9"/>
  <c r="V53" i="9"/>
  <c r="U52" i="9"/>
  <c r="M55" i="11" s="1"/>
  <c r="T52" i="9"/>
  <c r="M54" i="11" s="1"/>
  <c r="S52" i="9"/>
  <c r="M53" i="11" s="1"/>
  <c r="V51" i="9"/>
  <c r="V50" i="9"/>
  <c r="V49" i="9"/>
  <c r="V48" i="9"/>
  <c r="V47" i="9"/>
  <c r="V46" i="9"/>
  <c r="V45" i="9"/>
  <c r="U44" i="9"/>
  <c r="T44" i="9"/>
  <c r="S44" i="9"/>
  <c r="V43" i="9"/>
  <c r="V42" i="9"/>
  <c r="V41" i="9"/>
  <c r="U40" i="9"/>
  <c r="T40" i="9"/>
  <c r="S40" i="9"/>
  <c r="V39" i="9"/>
  <c r="V38" i="9"/>
  <c r="V37" i="9" s="1"/>
  <c r="U37" i="9"/>
  <c r="T37" i="9"/>
  <c r="S37" i="9"/>
  <c r="V36" i="9"/>
  <c r="V35" i="9"/>
  <c r="U34" i="9"/>
  <c r="T34" i="9"/>
  <c r="T33" i="9" s="1"/>
  <c r="S34" i="9"/>
  <c r="V29" i="9"/>
  <c r="V28" i="9"/>
  <c r="V27" i="9"/>
  <c r="U26" i="9"/>
  <c r="T26" i="9"/>
  <c r="S26" i="9"/>
  <c r="V23" i="9"/>
  <c r="V22" i="9" s="1"/>
  <c r="U22" i="9"/>
  <c r="M27" i="11" s="1"/>
  <c r="T22" i="9"/>
  <c r="S22" i="9"/>
  <c r="V21" i="9"/>
  <c r="V20" i="9"/>
  <c r="V19" i="9"/>
  <c r="V18" i="9"/>
  <c r="U17" i="9"/>
  <c r="T17" i="9"/>
  <c r="M21" i="11" s="1"/>
  <c r="S17" i="9"/>
  <c r="R295" i="9"/>
  <c r="R294" i="9" s="1"/>
  <c r="Q294" i="9"/>
  <c r="P294" i="9"/>
  <c r="O294" i="9"/>
  <c r="R293" i="9"/>
  <c r="R292" i="9"/>
  <c r="R291" i="9"/>
  <c r="R290" i="9"/>
  <c r="Q289" i="9"/>
  <c r="Q288" i="9" s="1"/>
  <c r="P289" i="9"/>
  <c r="P288" i="9" s="1"/>
  <c r="O289" i="9"/>
  <c r="O288" i="9"/>
  <c r="R287" i="9"/>
  <c r="R286" i="9"/>
  <c r="R285" i="9"/>
  <c r="R284" i="9"/>
  <c r="Q283" i="9"/>
  <c r="Q281" i="9" s="1"/>
  <c r="P283" i="9"/>
  <c r="P281" i="9" s="1"/>
  <c r="O283" i="9"/>
  <c r="O281" i="9" s="1"/>
  <c r="R282" i="9"/>
  <c r="R280" i="9"/>
  <c r="R279" i="9" s="1"/>
  <c r="Q279" i="9"/>
  <c r="P279" i="9"/>
  <c r="O279" i="9"/>
  <c r="R278" i="9"/>
  <c r="R277" i="9"/>
  <c r="R276" i="9"/>
  <c r="Q275" i="9"/>
  <c r="Q272" i="9" s="1"/>
  <c r="Q271" i="9" s="1"/>
  <c r="P275" i="9"/>
  <c r="P272" i="9" s="1"/>
  <c r="O275" i="9"/>
  <c r="O272" i="9" s="1"/>
  <c r="R274" i="9"/>
  <c r="R273" i="9"/>
  <c r="R270" i="9"/>
  <c r="R269" i="9"/>
  <c r="R268" i="9"/>
  <c r="R267" i="9"/>
  <c r="R266" i="9"/>
  <c r="R265" i="9"/>
  <c r="R264" i="9"/>
  <c r="Q263" i="9"/>
  <c r="P263" i="9"/>
  <c r="O263" i="9"/>
  <c r="R262" i="9"/>
  <c r="R261" i="9"/>
  <c r="R260" i="9"/>
  <c r="R259" i="9"/>
  <c r="R258" i="9"/>
  <c r="R257" i="9"/>
  <c r="R256" i="9"/>
  <c r="Q255" i="9"/>
  <c r="P255" i="9"/>
  <c r="O255" i="9"/>
  <c r="R254" i="9"/>
  <c r="R253" i="9"/>
  <c r="R252" i="9" s="1"/>
  <c r="R251" i="9" s="1"/>
  <c r="Q252" i="9"/>
  <c r="Q251" i="9" s="1"/>
  <c r="P252" i="9"/>
  <c r="P251" i="9" s="1"/>
  <c r="O252" i="9"/>
  <c r="O251" i="9" s="1"/>
  <c r="R250" i="9"/>
  <c r="R249" i="9"/>
  <c r="R248" i="9"/>
  <c r="R247" i="9"/>
  <c r="Q246" i="9"/>
  <c r="Q245" i="9" s="1"/>
  <c r="P246" i="9"/>
  <c r="P245" i="9" s="1"/>
  <c r="O246" i="9"/>
  <c r="O245" i="9" s="1"/>
  <c r="R241" i="9"/>
  <c r="R240" i="9" s="1"/>
  <c r="Q240" i="9"/>
  <c r="P240" i="9"/>
  <c r="O240" i="9"/>
  <c r="R239" i="9"/>
  <c r="R238" i="9" s="1"/>
  <c r="Q238" i="9"/>
  <c r="P238" i="9"/>
  <c r="O238" i="9"/>
  <c r="R237" i="9"/>
  <c r="R236" i="9"/>
  <c r="R235" i="9"/>
  <c r="R234" i="9"/>
  <c r="Q233" i="9"/>
  <c r="P233" i="9"/>
  <c r="O233" i="9"/>
  <c r="R232" i="9"/>
  <c r="R231" i="9"/>
  <c r="R230" i="9"/>
  <c r="R229" i="9"/>
  <c r="Q229" i="9"/>
  <c r="P229" i="9"/>
  <c r="O229" i="9"/>
  <c r="R228" i="9"/>
  <c r="R227" i="9" s="1"/>
  <c r="Q227" i="9"/>
  <c r="P227" i="9"/>
  <c r="O227" i="9"/>
  <c r="O226" i="9"/>
  <c r="R225" i="9"/>
  <c r="R224" i="9"/>
  <c r="R223" i="9"/>
  <c r="R222" i="9"/>
  <c r="R221" i="9"/>
  <c r="Q220" i="9"/>
  <c r="P220" i="9"/>
  <c r="O220" i="9"/>
  <c r="R219" i="9"/>
  <c r="R218" i="9"/>
  <c r="R217" i="9"/>
  <c r="R216" i="9"/>
  <c r="R215" i="9"/>
  <c r="R214" i="9"/>
  <c r="R213" i="9"/>
  <c r="R212" i="9"/>
  <c r="R211" i="9" s="1"/>
  <c r="R210" i="9" s="1"/>
  <c r="Q211" i="9"/>
  <c r="P211" i="9"/>
  <c r="P210" i="9" s="1"/>
  <c r="P209" i="9" s="1"/>
  <c r="O211" i="9"/>
  <c r="O210" i="9" s="1"/>
  <c r="Q210" i="9"/>
  <c r="Q209" i="9" s="1"/>
  <c r="R207" i="9"/>
  <c r="R206" i="9"/>
  <c r="R205" i="9"/>
  <c r="R204" i="9"/>
  <c r="Q203" i="9"/>
  <c r="P203" i="9"/>
  <c r="O203" i="9"/>
  <c r="R202" i="9"/>
  <c r="R201" i="9"/>
  <c r="R200" i="9"/>
  <c r="R199" i="9"/>
  <c r="R198" i="9"/>
  <c r="R197" i="9"/>
  <c r="R196" i="9"/>
  <c r="Q195" i="9"/>
  <c r="P195" i="9"/>
  <c r="O195" i="9"/>
  <c r="R194" i="9"/>
  <c r="R193" i="9"/>
  <c r="R192" i="9"/>
  <c r="R191" i="9" s="1"/>
  <c r="Q191" i="9"/>
  <c r="P191" i="9"/>
  <c r="O191" i="9"/>
  <c r="R190" i="9"/>
  <c r="R189" i="9"/>
  <c r="Q188" i="9"/>
  <c r="P188" i="9"/>
  <c r="O188" i="9"/>
  <c r="R187" i="9"/>
  <c r="R186" i="9"/>
  <c r="Q185" i="9"/>
  <c r="Q184" i="9" s="1"/>
  <c r="P185" i="9"/>
  <c r="O185" i="9"/>
  <c r="R180" i="9"/>
  <c r="R179" i="9"/>
  <c r="R178" i="9"/>
  <c r="Q177" i="9"/>
  <c r="P177" i="9"/>
  <c r="O177" i="9"/>
  <c r="R176" i="9"/>
  <c r="R175" i="9" s="1"/>
  <c r="Q175" i="9"/>
  <c r="P175" i="9"/>
  <c r="O175" i="9"/>
  <c r="R174" i="9"/>
  <c r="R173" i="9"/>
  <c r="R172" i="9"/>
  <c r="R171" i="9"/>
  <c r="Q170" i="9"/>
  <c r="Q169" i="9" s="1"/>
  <c r="P170" i="9"/>
  <c r="P169" i="9" s="1"/>
  <c r="O170" i="9"/>
  <c r="R165" i="9"/>
  <c r="R164" i="9"/>
  <c r="R163" i="9"/>
  <c r="Q162" i="9"/>
  <c r="P162" i="9"/>
  <c r="O162" i="9"/>
  <c r="R161" i="9"/>
  <c r="R160" i="9"/>
  <c r="R159" i="9"/>
  <c r="Q158" i="9"/>
  <c r="P158" i="9"/>
  <c r="O158" i="9"/>
  <c r="R144" i="9"/>
  <c r="R143" i="9" s="1"/>
  <c r="Q143" i="9"/>
  <c r="P143" i="9"/>
  <c r="O143" i="9"/>
  <c r="R142" i="9"/>
  <c r="R141" i="9"/>
  <c r="R140" i="9"/>
  <c r="R139" i="9"/>
  <c r="Q138" i="9"/>
  <c r="Q137" i="9" s="1"/>
  <c r="P138" i="9"/>
  <c r="P137" i="9" s="1"/>
  <c r="O138" i="9"/>
  <c r="O137" i="9"/>
  <c r="R136" i="9"/>
  <c r="R135" i="9"/>
  <c r="R134" i="9"/>
  <c r="R133" i="9"/>
  <c r="Q132" i="9"/>
  <c r="P132" i="9"/>
  <c r="P130" i="9" s="1"/>
  <c r="O132" i="9"/>
  <c r="O130" i="9" s="1"/>
  <c r="R131" i="9"/>
  <c r="Q130" i="9"/>
  <c r="R129" i="9"/>
  <c r="R128" i="9" s="1"/>
  <c r="Q128" i="9"/>
  <c r="P128" i="9"/>
  <c r="O128" i="9"/>
  <c r="R127" i="9"/>
  <c r="R126" i="9"/>
  <c r="R125" i="9"/>
  <c r="Q124" i="9"/>
  <c r="Q121" i="9" s="1"/>
  <c r="P124" i="9"/>
  <c r="P121" i="9" s="1"/>
  <c r="O124" i="9"/>
  <c r="O121" i="9" s="1"/>
  <c r="R123" i="9"/>
  <c r="R122" i="9"/>
  <c r="R119" i="9"/>
  <c r="R118" i="9"/>
  <c r="R117" i="9"/>
  <c r="R116" i="9"/>
  <c r="R115" i="9"/>
  <c r="R114" i="9"/>
  <c r="R113" i="9"/>
  <c r="Q112" i="9"/>
  <c r="P112" i="9"/>
  <c r="O112" i="9"/>
  <c r="R111" i="9"/>
  <c r="R110" i="9"/>
  <c r="R109" i="9"/>
  <c r="R108" i="9"/>
  <c r="R107" i="9"/>
  <c r="R106" i="9"/>
  <c r="R105" i="9"/>
  <c r="Q104" i="9"/>
  <c r="P104" i="9"/>
  <c r="O104" i="9"/>
  <c r="R103" i="9"/>
  <c r="R102" i="9"/>
  <c r="R101" i="9" s="1"/>
  <c r="R100" i="9" s="1"/>
  <c r="Q101" i="9"/>
  <c r="P101" i="9"/>
  <c r="P100" i="9" s="1"/>
  <c r="O101" i="9"/>
  <c r="O100" i="9" s="1"/>
  <c r="Q100" i="9"/>
  <c r="R99" i="9"/>
  <c r="R98" i="9"/>
  <c r="R97" i="9"/>
  <c r="R96" i="9"/>
  <c r="Q95" i="9"/>
  <c r="Q94" i="9" s="1"/>
  <c r="P95" i="9"/>
  <c r="P94" i="9" s="1"/>
  <c r="O95" i="9"/>
  <c r="O94" i="9" s="1"/>
  <c r="R90" i="9"/>
  <c r="R89" i="9" s="1"/>
  <c r="Q89" i="9"/>
  <c r="P89" i="9"/>
  <c r="O89" i="9"/>
  <c r="R88" i="9"/>
  <c r="R87" i="9" s="1"/>
  <c r="Q87" i="9"/>
  <c r="P87" i="9"/>
  <c r="O87" i="9"/>
  <c r="R86" i="9"/>
  <c r="R85" i="9"/>
  <c r="R84" i="9"/>
  <c r="R83" i="9"/>
  <c r="Q82" i="9"/>
  <c r="P82" i="9"/>
  <c r="O82" i="9"/>
  <c r="R81" i="9"/>
  <c r="R80" i="9"/>
  <c r="R79" i="9"/>
  <c r="Q78" i="9"/>
  <c r="P78" i="9"/>
  <c r="O78" i="9"/>
  <c r="R77" i="9"/>
  <c r="R76" i="9" s="1"/>
  <c r="Q76" i="9"/>
  <c r="P76" i="9"/>
  <c r="O76" i="9"/>
  <c r="R74" i="9"/>
  <c r="R73" i="9"/>
  <c r="R72" i="9"/>
  <c r="R71" i="9"/>
  <c r="R70" i="9"/>
  <c r="Q69" i="9"/>
  <c r="P69" i="9"/>
  <c r="O69" i="9"/>
  <c r="R68" i="9"/>
  <c r="R67" i="9"/>
  <c r="R66" i="9"/>
  <c r="R65" i="9"/>
  <c r="R64" i="9"/>
  <c r="R63" i="9"/>
  <c r="R62" i="9"/>
  <c r="R61" i="9"/>
  <c r="Q60" i="9"/>
  <c r="Q59" i="9" s="1"/>
  <c r="P60" i="9"/>
  <c r="P59" i="9" s="1"/>
  <c r="O60" i="9"/>
  <c r="O59" i="9" s="1"/>
  <c r="O58" i="9" s="1"/>
  <c r="R56" i="9"/>
  <c r="R55" i="9"/>
  <c r="R54" i="9"/>
  <c r="R53" i="9"/>
  <c r="Q52" i="9"/>
  <c r="P52" i="9"/>
  <c r="O52" i="9"/>
  <c r="R51" i="9"/>
  <c r="R50" i="9"/>
  <c r="R49" i="9"/>
  <c r="R48" i="9"/>
  <c r="R47" i="9"/>
  <c r="R46" i="9"/>
  <c r="R45" i="9"/>
  <c r="Q44" i="9"/>
  <c r="P44" i="9"/>
  <c r="O44" i="9"/>
  <c r="R43" i="9"/>
  <c r="R42" i="9"/>
  <c r="R41" i="9"/>
  <c r="Q40" i="9"/>
  <c r="P40" i="9"/>
  <c r="O40" i="9"/>
  <c r="R39" i="9"/>
  <c r="R38" i="9"/>
  <c r="R37" i="9" s="1"/>
  <c r="Q37" i="9"/>
  <c r="P37" i="9"/>
  <c r="O37" i="9"/>
  <c r="R36" i="9"/>
  <c r="R35" i="9"/>
  <c r="Q34" i="9"/>
  <c r="P34" i="9"/>
  <c r="O34" i="9"/>
  <c r="R29" i="9"/>
  <c r="R28" i="9"/>
  <c r="R27" i="9"/>
  <c r="Q26" i="9"/>
  <c r="P26" i="9"/>
  <c r="O26" i="9"/>
  <c r="R23" i="9"/>
  <c r="R22" i="9" s="1"/>
  <c r="Q22" i="9"/>
  <c r="P22" i="9"/>
  <c r="O22" i="9"/>
  <c r="R21" i="9"/>
  <c r="R20" i="9"/>
  <c r="R19" i="9"/>
  <c r="R18" i="9"/>
  <c r="Q17" i="9"/>
  <c r="P17" i="9"/>
  <c r="O17" i="9"/>
  <c r="N295" i="9"/>
  <c r="N294" i="9" s="1"/>
  <c r="M294" i="9"/>
  <c r="L294" i="9"/>
  <c r="K294" i="9"/>
  <c r="N293" i="9"/>
  <c r="N292" i="9"/>
  <c r="N291" i="9"/>
  <c r="N290" i="9"/>
  <c r="M289" i="9"/>
  <c r="M288" i="9" s="1"/>
  <c r="L289" i="9"/>
  <c r="K289" i="9"/>
  <c r="L288" i="9"/>
  <c r="K288" i="9"/>
  <c r="N287" i="9"/>
  <c r="N286" i="9"/>
  <c r="N285" i="9"/>
  <c r="N284" i="9"/>
  <c r="M283" i="9"/>
  <c r="M281" i="9" s="1"/>
  <c r="L283" i="9"/>
  <c r="L281" i="9" s="1"/>
  <c r="K283" i="9"/>
  <c r="K281" i="9" s="1"/>
  <c r="N282" i="9"/>
  <c r="N280" i="9"/>
  <c r="N279" i="9" s="1"/>
  <c r="M279" i="9"/>
  <c r="L279" i="9"/>
  <c r="K279" i="9"/>
  <c r="N278" i="9"/>
  <c r="N277" i="9"/>
  <c r="N276" i="9"/>
  <c r="M275" i="9"/>
  <c r="M272" i="9" s="1"/>
  <c r="L275" i="9"/>
  <c r="K275" i="9"/>
  <c r="K272" i="9" s="1"/>
  <c r="N274" i="9"/>
  <c r="N273" i="9"/>
  <c r="L272" i="9"/>
  <c r="N270" i="9"/>
  <c r="N269" i="9"/>
  <c r="N268" i="9"/>
  <c r="N267" i="9"/>
  <c r="N266" i="9"/>
  <c r="N265" i="9"/>
  <c r="N264" i="9"/>
  <c r="M263" i="9"/>
  <c r="L263" i="9"/>
  <c r="K263" i="9"/>
  <c r="N262" i="9"/>
  <c r="N261" i="9"/>
  <c r="N260" i="9"/>
  <c r="N259" i="9"/>
  <c r="N258" i="9"/>
  <c r="N257" i="9"/>
  <c r="N256" i="9"/>
  <c r="M255" i="9"/>
  <c r="L255" i="9"/>
  <c r="K255" i="9"/>
  <c r="N254" i="9"/>
  <c r="N253" i="9"/>
  <c r="N252" i="9" s="1"/>
  <c r="N251" i="9" s="1"/>
  <c r="M252" i="9"/>
  <c r="M251" i="9" s="1"/>
  <c r="L252" i="9"/>
  <c r="K252" i="9"/>
  <c r="K251" i="9" s="1"/>
  <c r="L251" i="9"/>
  <c r="N250" i="9"/>
  <c r="N249" i="9"/>
  <c r="N248" i="9"/>
  <c r="N247" i="9"/>
  <c r="M246" i="9"/>
  <c r="M245" i="9" s="1"/>
  <c r="L246" i="9"/>
  <c r="L245" i="9" s="1"/>
  <c r="K246" i="9"/>
  <c r="K245" i="9" s="1"/>
  <c r="N241" i="9"/>
  <c r="N240" i="9" s="1"/>
  <c r="M240" i="9"/>
  <c r="L240" i="9"/>
  <c r="K240" i="9"/>
  <c r="N239" i="9"/>
  <c r="N238" i="9"/>
  <c r="M238" i="9"/>
  <c r="L238" i="9"/>
  <c r="K238" i="9"/>
  <c r="N237" i="9"/>
  <c r="N236" i="9"/>
  <c r="N233" i="9" s="1"/>
  <c r="N235" i="9"/>
  <c r="N234" i="9"/>
  <c r="M233" i="9"/>
  <c r="L233" i="9"/>
  <c r="K233" i="9"/>
  <c r="N232" i="9"/>
  <c r="N231" i="9"/>
  <c r="N230" i="9"/>
  <c r="M229" i="9"/>
  <c r="L229" i="9"/>
  <c r="K229" i="9"/>
  <c r="N228" i="9"/>
  <c r="N227" i="9" s="1"/>
  <c r="M227" i="9"/>
  <c r="L227" i="9"/>
  <c r="K227" i="9"/>
  <c r="K226" i="9" s="1"/>
  <c r="N225" i="9"/>
  <c r="N224" i="9"/>
  <c r="N223" i="9"/>
  <c r="N222" i="9"/>
  <c r="N221" i="9"/>
  <c r="M220" i="9"/>
  <c r="L220" i="9"/>
  <c r="K220" i="9"/>
  <c r="N219" i="9"/>
  <c r="N218" i="9"/>
  <c r="N217" i="9"/>
  <c r="N216" i="9"/>
  <c r="N215" i="9"/>
  <c r="N214" i="9"/>
  <c r="N213" i="9"/>
  <c r="N212" i="9"/>
  <c r="M211" i="9"/>
  <c r="M210" i="9" s="1"/>
  <c r="L211" i="9"/>
  <c r="K211" i="9"/>
  <c r="K210" i="9" s="1"/>
  <c r="L210" i="9"/>
  <c r="N207" i="9"/>
  <c r="N206" i="9"/>
  <c r="N205" i="9"/>
  <c r="N204" i="9"/>
  <c r="M203" i="9"/>
  <c r="K140" i="11" s="1"/>
  <c r="L203" i="9"/>
  <c r="K139" i="11" s="1"/>
  <c r="K203" i="9"/>
  <c r="N202" i="9"/>
  <c r="N201" i="9"/>
  <c r="N200" i="9"/>
  <c r="N199" i="9"/>
  <c r="N198" i="9"/>
  <c r="N197" i="9"/>
  <c r="N196" i="9"/>
  <c r="M195" i="9"/>
  <c r="L195" i="9"/>
  <c r="K195" i="9"/>
  <c r="N194" i="9"/>
  <c r="N193" i="9"/>
  <c r="N192" i="9"/>
  <c r="M191" i="9"/>
  <c r="L191" i="9"/>
  <c r="K191" i="9"/>
  <c r="N190" i="9"/>
  <c r="N189" i="9"/>
  <c r="M188" i="9"/>
  <c r="L188" i="9"/>
  <c r="K188" i="9"/>
  <c r="N187" i="9"/>
  <c r="N186" i="9"/>
  <c r="M185" i="9"/>
  <c r="M184" i="9" s="1"/>
  <c r="L185" i="9"/>
  <c r="K185" i="9"/>
  <c r="N180" i="9"/>
  <c r="N179" i="9"/>
  <c r="N178" i="9"/>
  <c r="M177" i="9"/>
  <c r="L177" i="9"/>
  <c r="K177" i="9"/>
  <c r="N176" i="9"/>
  <c r="N175" i="9" s="1"/>
  <c r="M175" i="9"/>
  <c r="K119" i="11" s="1"/>
  <c r="L175" i="9"/>
  <c r="K118" i="11" s="1"/>
  <c r="K175" i="9"/>
  <c r="N174" i="9"/>
  <c r="N173" i="9"/>
  <c r="N172" i="9"/>
  <c r="N171" i="9"/>
  <c r="M170" i="9"/>
  <c r="K115" i="11" s="1"/>
  <c r="L170" i="9"/>
  <c r="K114" i="11" s="1"/>
  <c r="K170" i="9"/>
  <c r="N165" i="9"/>
  <c r="N164" i="9"/>
  <c r="N163" i="9"/>
  <c r="M162" i="9"/>
  <c r="L162" i="9"/>
  <c r="K162" i="9"/>
  <c r="N161" i="9"/>
  <c r="N160" i="9"/>
  <c r="N159" i="9"/>
  <c r="M158" i="9"/>
  <c r="L158" i="9"/>
  <c r="K158" i="9"/>
  <c r="N144" i="9"/>
  <c r="N143" i="9" s="1"/>
  <c r="M143" i="9"/>
  <c r="L143" i="9"/>
  <c r="K143" i="9"/>
  <c r="N142" i="9"/>
  <c r="N141" i="9"/>
  <c r="N140" i="9"/>
  <c r="N139" i="9"/>
  <c r="M138" i="9"/>
  <c r="M137" i="9" s="1"/>
  <c r="L138" i="9"/>
  <c r="L137" i="9" s="1"/>
  <c r="K138" i="9"/>
  <c r="K137" i="9" s="1"/>
  <c r="N136" i="9"/>
  <c r="N135" i="9"/>
  <c r="N134" i="9"/>
  <c r="N133" i="9"/>
  <c r="M132" i="9"/>
  <c r="M130" i="9" s="1"/>
  <c r="L132" i="9"/>
  <c r="K132" i="9"/>
  <c r="K130" i="9" s="1"/>
  <c r="N131" i="9"/>
  <c r="L130" i="9"/>
  <c r="N129" i="9"/>
  <c r="N128" i="9" s="1"/>
  <c r="M128" i="9"/>
  <c r="L128" i="9"/>
  <c r="K128" i="9"/>
  <c r="N127" i="9"/>
  <c r="N126" i="9"/>
  <c r="N125" i="9"/>
  <c r="M124" i="9"/>
  <c r="M121" i="9" s="1"/>
  <c r="L124" i="9"/>
  <c r="L121" i="9" s="1"/>
  <c r="K124" i="9"/>
  <c r="K121" i="9" s="1"/>
  <c r="N123" i="9"/>
  <c r="N122" i="9"/>
  <c r="N119" i="9"/>
  <c r="N118" i="9"/>
  <c r="N117" i="9"/>
  <c r="N116" i="9"/>
  <c r="N115" i="9"/>
  <c r="N114" i="9"/>
  <c r="N113" i="9"/>
  <c r="M112" i="9"/>
  <c r="L112" i="9"/>
  <c r="K112" i="9"/>
  <c r="N111" i="9"/>
  <c r="N110" i="9"/>
  <c r="N109" i="9"/>
  <c r="N108" i="9"/>
  <c r="N107" i="9"/>
  <c r="N106" i="9"/>
  <c r="N105" i="9"/>
  <c r="M104" i="9"/>
  <c r="L104" i="9"/>
  <c r="K104" i="9"/>
  <c r="N103" i="9"/>
  <c r="N102" i="9"/>
  <c r="N101" i="9" s="1"/>
  <c r="N100" i="9" s="1"/>
  <c r="M101" i="9"/>
  <c r="L101" i="9"/>
  <c r="L100" i="9" s="1"/>
  <c r="K101" i="9"/>
  <c r="K100" i="9" s="1"/>
  <c r="M100" i="9"/>
  <c r="N99" i="9"/>
  <c r="N98" i="9"/>
  <c r="N97" i="9"/>
  <c r="N96" i="9"/>
  <c r="M95" i="9"/>
  <c r="M94" i="9" s="1"/>
  <c r="L95" i="9"/>
  <c r="L94" i="9" s="1"/>
  <c r="K95" i="9"/>
  <c r="K94" i="9" s="1"/>
  <c r="N90" i="9"/>
  <c r="N89" i="9" s="1"/>
  <c r="M89" i="9"/>
  <c r="L89" i="9"/>
  <c r="K89" i="9"/>
  <c r="N88" i="9"/>
  <c r="N87" i="9" s="1"/>
  <c r="M87" i="9"/>
  <c r="L87" i="9"/>
  <c r="K173" i="11" s="1"/>
  <c r="K87" i="9"/>
  <c r="N86" i="9"/>
  <c r="N85" i="9"/>
  <c r="N84" i="9"/>
  <c r="N83" i="9"/>
  <c r="M82" i="9"/>
  <c r="L82" i="9"/>
  <c r="K82" i="9"/>
  <c r="N81" i="9"/>
  <c r="N80" i="9"/>
  <c r="N79" i="9"/>
  <c r="M78" i="9"/>
  <c r="L78" i="9"/>
  <c r="K78" i="9"/>
  <c r="N77" i="9"/>
  <c r="N76" i="9" s="1"/>
  <c r="M76" i="9"/>
  <c r="L76" i="9"/>
  <c r="L75" i="9" s="1"/>
  <c r="K76" i="9"/>
  <c r="N74" i="9"/>
  <c r="N73" i="9"/>
  <c r="N72" i="9"/>
  <c r="N71" i="9"/>
  <c r="N70" i="9"/>
  <c r="M69" i="9"/>
  <c r="L69" i="9"/>
  <c r="K69" i="9"/>
  <c r="N68" i="9"/>
  <c r="N67" i="9"/>
  <c r="N66" i="9"/>
  <c r="N65" i="9"/>
  <c r="N64" i="9"/>
  <c r="N63" i="9"/>
  <c r="N62" i="9"/>
  <c r="N61" i="9"/>
  <c r="M60" i="9"/>
  <c r="M59" i="9" s="1"/>
  <c r="L60" i="9"/>
  <c r="L59" i="9" s="1"/>
  <c r="K60" i="9"/>
  <c r="K59" i="9"/>
  <c r="K58" i="9" s="1"/>
  <c r="N56" i="9"/>
  <c r="N55" i="9"/>
  <c r="N54" i="9"/>
  <c r="N53" i="9"/>
  <c r="M52" i="9"/>
  <c r="K55" i="11" s="1"/>
  <c r="L52" i="9"/>
  <c r="K54" i="11" s="1"/>
  <c r="K52" i="9"/>
  <c r="K53" i="11" s="1"/>
  <c r="N51" i="9"/>
  <c r="N50" i="9"/>
  <c r="N49" i="9"/>
  <c r="N48" i="9"/>
  <c r="N47" i="9"/>
  <c r="N46" i="9"/>
  <c r="N45" i="9"/>
  <c r="M44" i="9"/>
  <c r="L44" i="9"/>
  <c r="K44" i="9"/>
  <c r="N43" i="9"/>
  <c r="N42" i="9"/>
  <c r="N41" i="9"/>
  <c r="M40" i="9"/>
  <c r="L40" i="9"/>
  <c r="K40" i="9"/>
  <c r="N39" i="9"/>
  <c r="N38" i="9"/>
  <c r="M37" i="9"/>
  <c r="L37" i="9"/>
  <c r="K37" i="9"/>
  <c r="N36" i="9"/>
  <c r="N35" i="9"/>
  <c r="M34" i="9"/>
  <c r="L34" i="9"/>
  <c r="K34" i="9"/>
  <c r="N29" i="9"/>
  <c r="N28" i="9"/>
  <c r="N27" i="9"/>
  <c r="M26" i="9"/>
  <c r="L26" i="9"/>
  <c r="K26" i="9"/>
  <c r="N23" i="9"/>
  <c r="N22" i="9" s="1"/>
  <c r="M22" i="9"/>
  <c r="K27" i="11" s="1"/>
  <c r="L22" i="9"/>
  <c r="K26" i="11" s="1"/>
  <c r="K22" i="9"/>
  <c r="K25" i="11" s="1"/>
  <c r="N21" i="9"/>
  <c r="N20" i="9"/>
  <c r="N19" i="9"/>
  <c r="N18" i="9"/>
  <c r="M17" i="9"/>
  <c r="L17" i="9"/>
  <c r="K17" i="9"/>
  <c r="G174" i="11"/>
  <c r="G173" i="11"/>
  <c r="I173" i="11" s="1"/>
  <c r="I17" i="9"/>
  <c r="H17" i="9"/>
  <c r="BY165" i="9"/>
  <c r="Y165" i="9"/>
  <c r="X165" i="9"/>
  <c r="BQ165" i="9" s="1"/>
  <c r="W165" i="9"/>
  <c r="BP165" i="9" s="1"/>
  <c r="J165" i="9"/>
  <c r="Y164" i="9"/>
  <c r="X164" i="9"/>
  <c r="W164" i="9"/>
  <c r="J164" i="9"/>
  <c r="Y163" i="9"/>
  <c r="Y162" i="9" s="1"/>
  <c r="X163" i="9"/>
  <c r="BQ163" i="9" s="1"/>
  <c r="W163" i="9"/>
  <c r="J163" i="9"/>
  <c r="BO162" i="9"/>
  <c r="BZ161" i="9"/>
  <c r="Y161" i="9"/>
  <c r="X161" i="9"/>
  <c r="BQ161" i="9" s="1"/>
  <c r="W161" i="9"/>
  <c r="J161" i="9"/>
  <c r="BY160" i="9"/>
  <c r="Y160" i="9"/>
  <c r="X160" i="9"/>
  <c r="W160" i="9"/>
  <c r="BP160" i="9" s="1"/>
  <c r="J160" i="9"/>
  <c r="Y159" i="9"/>
  <c r="BR159" i="9" s="1"/>
  <c r="X159" i="9"/>
  <c r="X158" i="9" s="1"/>
  <c r="W159" i="9"/>
  <c r="J159" i="9"/>
  <c r="J158" i="9" s="1"/>
  <c r="BO158" i="9"/>
  <c r="Y295" i="9"/>
  <c r="BR295" i="9" s="1"/>
  <c r="BR294" i="9" s="1"/>
  <c r="X295" i="9"/>
  <c r="W295" i="9"/>
  <c r="J295" i="9"/>
  <c r="J294" i="9" s="1"/>
  <c r="BO294" i="9"/>
  <c r="Y294" i="9"/>
  <c r="Y293" i="9"/>
  <c r="X293" i="9"/>
  <c r="BQ293" i="9" s="1"/>
  <c r="W293" i="9"/>
  <c r="BP293" i="9" s="1"/>
  <c r="J293" i="9"/>
  <c r="BZ292" i="9"/>
  <c r="BY292" i="9"/>
  <c r="BX292" i="9"/>
  <c r="J292" i="9"/>
  <c r="BY291" i="9"/>
  <c r="Y291" i="9"/>
  <c r="X291" i="9"/>
  <c r="W291" i="9"/>
  <c r="J291" i="9"/>
  <c r="Y290" i="9"/>
  <c r="X290" i="9"/>
  <c r="BQ290" i="9" s="1"/>
  <c r="W290" i="9"/>
  <c r="J290" i="9"/>
  <c r="BO289" i="9"/>
  <c r="BO288" i="9" s="1"/>
  <c r="Y287" i="9"/>
  <c r="X287" i="9"/>
  <c r="W287" i="9"/>
  <c r="J287" i="9"/>
  <c r="Y286" i="9"/>
  <c r="X286" i="9"/>
  <c r="W286" i="9"/>
  <c r="J286" i="9"/>
  <c r="Y285" i="9"/>
  <c r="X285" i="9"/>
  <c r="W285" i="9"/>
  <c r="J285" i="9"/>
  <c r="Y284" i="9"/>
  <c r="X284" i="9"/>
  <c r="X283" i="9" s="1"/>
  <c r="W284" i="9"/>
  <c r="J284" i="9"/>
  <c r="J283" i="9" s="1"/>
  <c r="J281" i="9" s="1"/>
  <c r="BO283" i="9"/>
  <c r="BO281" i="9" s="1"/>
  <c r="W283" i="9"/>
  <c r="Y282" i="9"/>
  <c r="X282" i="9"/>
  <c r="W282" i="9"/>
  <c r="J282" i="9"/>
  <c r="BZ280" i="9"/>
  <c r="BZ279" i="9" s="1"/>
  <c r="Y280" i="9"/>
  <c r="Y279" i="9" s="1"/>
  <c r="X280" i="9"/>
  <c r="X279" i="9" s="1"/>
  <c r="W280" i="9"/>
  <c r="W279" i="9" s="1"/>
  <c r="J280" i="9"/>
  <c r="J279" i="9" s="1"/>
  <c r="BO279" i="9"/>
  <c r="Y278" i="9"/>
  <c r="X278" i="9"/>
  <c r="BQ278" i="9" s="1"/>
  <c r="W278" i="9"/>
  <c r="J278" i="9"/>
  <c r="Y277" i="9"/>
  <c r="X277" i="9"/>
  <c r="W277" i="9"/>
  <c r="J277" i="9"/>
  <c r="Y276" i="9"/>
  <c r="Y275" i="9" s="1"/>
  <c r="X276" i="9"/>
  <c r="W276" i="9"/>
  <c r="J276" i="9"/>
  <c r="BO275" i="9"/>
  <c r="BO272" i="9" s="1"/>
  <c r="BO271" i="9" s="1"/>
  <c r="Y274" i="9"/>
  <c r="X274" i="9"/>
  <c r="BQ274" i="9" s="1"/>
  <c r="W274" i="9"/>
  <c r="J274" i="9"/>
  <c r="BZ273" i="9"/>
  <c r="BY273" i="9"/>
  <c r="BX273" i="9"/>
  <c r="J273" i="9"/>
  <c r="Y270" i="9"/>
  <c r="X270" i="9"/>
  <c r="W270" i="9"/>
  <c r="J270" i="9"/>
  <c r="Y269" i="9"/>
  <c r="X269" i="9"/>
  <c r="W269" i="9"/>
  <c r="J269" i="9"/>
  <c r="Y268" i="9"/>
  <c r="X268" i="9"/>
  <c r="W268" i="9"/>
  <c r="J268" i="9"/>
  <c r="BZ267" i="9"/>
  <c r="Y267" i="9"/>
  <c r="BR267" i="9" s="1"/>
  <c r="X267" i="9"/>
  <c r="W267" i="9"/>
  <c r="J267" i="9"/>
  <c r="BY266" i="9"/>
  <c r="Y266" i="9"/>
  <c r="X266" i="9"/>
  <c r="BQ266" i="9" s="1"/>
  <c r="W266" i="9"/>
  <c r="J266" i="9"/>
  <c r="Y265" i="9"/>
  <c r="X265" i="9"/>
  <c r="W265" i="9"/>
  <c r="J265" i="9"/>
  <c r="Y264" i="9"/>
  <c r="X264" i="9"/>
  <c r="W264" i="9"/>
  <c r="J264" i="9"/>
  <c r="BO263" i="9"/>
  <c r="BY262" i="9"/>
  <c r="Y262" i="9"/>
  <c r="BR262" i="9" s="1"/>
  <c r="X262" i="9"/>
  <c r="W262" i="9"/>
  <c r="J262" i="9"/>
  <c r="Y261" i="9"/>
  <c r="X261" i="9"/>
  <c r="W261" i="9"/>
  <c r="J261" i="9"/>
  <c r="BX260" i="9"/>
  <c r="Y260" i="9"/>
  <c r="BR260" i="9" s="1"/>
  <c r="X260" i="9"/>
  <c r="W260" i="9"/>
  <c r="J260" i="9"/>
  <c r="Y259" i="9"/>
  <c r="X259" i="9"/>
  <c r="W259" i="9"/>
  <c r="J259" i="9"/>
  <c r="Y258" i="9"/>
  <c r="X258" i="9"/>
  <c r="W258" i="9"/>
  <c r="J258" i="9"/>
  <c r="Y257" i="9"/>
  <c r="X257" i="9"/>
  <c r="W257" i="9"/>
  <c r="J257" i="9"/>
  <c r="BX256" i="9"/>
  <c r="Y256" i="9"/>
  <c r="X256" i="9"/>
  <c r="W256" i="9"/>
  <c r="J256" i="9"/>
  <c r="BO255" i="9"/>
  <c r="Y254" i="9"/>
  <c r="X254" i="9"/>
  <c r="BQ254" i="9" s="1"/>
  <c r="W254" i="9"/>
  <c r="J254" i="9"/>
  <c r="BZ253" i="9"/>
  <c r="Y253" i="9"/>
  <c r="X253" i="9"/>
  <c r="W253" i="9"/>
  <c r="J253" i="9"/>
  <c r="BO252" i="9"/>
  <c r="BO251" i="9" s="1"/>
  <c r="BY250" i="9"/>
  <c r="Y250" i="9"/>
  <c r="X250" i="9"/>
  <c r="W250" i="9"/>
  <c r="J250" i="9"/>
  <c r="BX249" i="9"/>
  <c r="Y249" i="9"/>
  <c r="X249" i="9"/>
  <c r="W249" i="9"/>
  <c r="J249" i="9"/>
  <c r="Y248" i="9"/>
  <c r="X248" i="9"/>
  <c r="W248" i="9"/>
  <c r="J248" i="9"/>
  <c r="Y247" i="9"/>
  <c r="X247" i="9"/>
  <c r="W247" i="9"/>
  <c r="BP247" i="9" s="1"/>
  <c r="J247" i="9"/>
  <c r="BO246" i="9"/>
  <c r="BO245" i="9" s="1"/>
  <c r="BY241" i="9"/>
  <c r="BY240" i="9" s="1"/>
  <c r="Y241" i="9"/>
  <c r="Y240" i="9" s="1"/>
  <c r="X241" i="9"/>
  <c r="X240" i="9" s="1"/>
  <c r="W241" i="9"/>
  <c r="W240" i="9" s="1"/>
  <c r="J241" i="9"/>
  <c r="J240" i="9" s="1"/>
  <c r="BO240" i="9"/>
  <c r="BX239" i="9"/>
  <c r="Y239" i="9"/>
  <c r="Y238" i="9" s="1"/>
  <c r="F84" i="1" s="1"/>
  <c r="X239" i="9"/>
  <c r="W239" i="9"/>
  <c r="J239" i="9"/>
  <c r="J238" i="9" s="1"/>
  <c r="C84" i="1" s="1"/>
  <c r="BO238" i="9"/>
  <c r="O84" i="1" s="1"/>
  <c r="J84" i="1"/>
  <c r="H84" i="1"/>
  <c r="BY237" i="9"/>
  <c r="Y237" i="9"/>
  <c r="X237" i="9"/>
  <c r="W237" i="9"/>
  <c r="J237" i="9"/>
  <c r="Y236" i="9"/>
  <c r="X236" i="9"/>
  <c r="W236" i="9"/>
  <c r="W233" i="9" s="1"/>
  <c r="J236" i="9"/>
  <c r="BY235" i="9"/>
  <c r="Y235" i="9"/>
  <c r="X235" i="9"/>
  <c r="W235" i="9"/>
  <c r="J235" i="9"/>
  <c r="Y234" i="9"/>
  <c r="X234" i="9"/>
  <c r="BQ234" i="9" s="1"/>
  <c r="W234" i="9"/>
  <c r="J234" i="9"/>
  <c r="BO233" i="9"/>
  <c r="BZ232" i="9"/>
  <c r="BY232" i="9"/>
  <c r="BX232" i="9"/>
  <c r="CA232" i="9" s="1"/>
  <c r="J232" i="9"/>
  <c r="Y231" i="9"/>
  <c r="X231" i="9"/>
  <c r="W231" i="9"/>
  <c r="Z231" i="9" s="1"/>
  <c r="J231" i="9"/>
  <c r="BZ230" i="9"/>
  <c r="Y230" i="9"/>
  <c r="X230" i="9"/>
  <c r="W230" i="9"/>
  <c r="J230" i="9"/>
  <c r="BO229" i="9"/>
  <c r="Y228" i="9"/>
  <c r="X228" i="9"/>
  <c r="BQ228" i="9" s="1"/>
  <c r="BQ227" i="9" s="1"/>
  <c r="W228" i="9"/>
  <c r="BP228" i="9" s="1"/>
  <c r="J228" i="9"/>
  <c r="J227" i="9" s="1"/>
  <c r="BO227" i="9"/>
  <c r="BO226" i="9" s="1"/>
  <c r="Y225" i="9"/>
  <c r="X225" i="9"/>
  <c r="W225" i="9"/>
  <c r="J225" i="9"/>
  <c r="BY224" i="9"/>
  <c r="Y224" i="9"/>
  <c r="X224" i="9"/>
  <c r="W224" i="9"/>
  <c r="J224" i="9"/>
  <c r="Y223" i="9"/>
  <c r="X223" i="9"/>
  <c r="W223" i="9"/>
  <c r="J223" i="9"/>
  <c r="BY222" i="9"/>
  <c r="Y222" i="9"/>
  <c r="X222" i="9"/>
  <c r="W222" i="9"/>
  <c r="J222" i="9"/>
  <c r="BX221" i="9"/>
  <c r="Y221" i="9"/>
  <c r="X221" i="9"/>
  <c r="W221" i="9"/>
  <c r="J221" i="9"/>
  <c r="BO220" i="9"/>
  <c r="Y219" i="9"/>
  <c r="BR219" i="9" s="1"/>
  <c r="X219" i="9"/>
  <c r="W219" i="9"/>
  <c r="J219" i="9"/>
  <c r="Y218" i="9"/>
  <c r="X218" i="9"/>
  <c r="W218" i="9"/>
  <c r="J218" i="9"/>
  <c r="Y217" i="9"/>
  <c r="X217" i="9"/>
  <c r="W217" i="9"/>
  <c r="J217" i="9"/>
  <c r="Y216" i="9"/>
  <c r="X216" i="9"/>
  <c r="W216" i="9"/>
  <c r="J216" i="9"/>
  <c r="Y215" i="9"/>
  <c r="X215" i="9"/>
  <c r="W215" i="9"/>
  <c r="J215" i="9"/>
  <c r="Y214" i="9"/>
  <c r="X214" i="9"/>
  <c r="W214" i="9"/>
  <c r="J214" i="9"/>
  <c r="Y213" i="9"/>
  <c r="X213" i="9"/>
  <c r="W213" i="9"/>
  <c r="BP213" i="9" s="1"/>
  <c r="J213" i="9"/>
  <c r="Y212" i="9"/>
  <c r="X212" i="9"/>
  <c r="W212" i="9"/>
  <c r="W211" i="9" s="1"/>
  <c r="J212" i="9"/>
  <c r="BO211" i="9"/>
  <c r="BO210" i="9" s="1"/>
  <c r="Y207" i="9"/>
  <c r="X207" i="9"/>
  <c r="W207" i="9"/>
  <c r="J207" i="9"/>
  <c r="Y206" i="9"/>
  <c r="X206" i="9"/>
  <c r="W206" i="9"/>
  <c r="J206" i="9"/>
  <c r="Y205" i="9"/>
  <c r="X205" i="9"/>
  <c r="W205" i="9"/>
  <c r="J205" i="9"/>
  <c r="Y204" i="9"/>
  <c r="X204" i="9"/>
  <c r="W204" i="9"/>
  <c r="W203" i="9" s="1"/>
  <c r="J204" i="9"/>
  <c r="J203" i="9" s="1"/>
  <c r="BO203" i="9"/>
  <c r="Y202" i="9"/>
  <c r="X202" i="9"/>
  <c r="W202" i="9"/>
  <c r="J202" i="9"/>
  <c r="Y201" i="9"/>
  <c r="BR201" i="9" s="1"/>
  <c r="X201" i="9"/>
  <c r="W201" i="9"/>
  <c r="J201" i="9"/>
  <c r="Y200" i="9"/>
  <c r="X200" i="9"/>
  <c r="BQ200" i="9" s="1"/>
  <c r="W200" i="9"/>
  <c r="J200" i="9"/>
  <c r="Y199" i="9"/>
  <c r="X199" i="9"/>
  <c r="W199" i="9"/>
  <c r="J199" i="9"/>
  <c r="Y198" i="9"/>
  <c r="X198" i="9"/>
  <c r="W198" i="9"/>
  <c r="J198" i="9"/>
  <c r="Y197" i="9"/>
  <c r="X197" i="9"/>
  <c r="W197" i="9"/>
  <c r="J197" i="9"/>
  <c r="Y196" i="9"/>
  <c r="X196" i="9"/>
  <c r="W196" i="9"/>
  <c r="J196" i="9"/>
  <c r="BO195" i="9"/>
  <c r="Y194" i="9"/>
  <c r="X194" i="9"/>
  <c r="W194" i="9"/>
  <c r="J194" i="9"/>
  <c r="BX193" i="9"/>
  <c r="Y193" i="9"/>
  <c r="X193" i="9"/>
  <c r="W193" i="9"/>
  <c r="J193" i="9"/>
  <c r="Y192" i="9"/>
  <c r="X192" i="9"/>
  <c r="W192" i="9"/>
  <c r="J192" i="9"/>
  <c r="BO191" i="9"/>
  <c r="Y190" i="9"/>
  <c r="X190" i="9"/>
  <c r="W190" i="9"/>
  <c r="J190" i="9"/>
  <c r="BX189" i="9"/>
  <c r="Y189" i="9"/>
  <c r="X189" i="9"/>
  <c r="W189" i="9"/>
  <c r="J189" i="9"/>
  <c r="BO188" i="9"/>
  <c r="Y187" i="9"/>
  <c r="X187" i="9"/>
  <c r="W187" i="9"/>
  <c r="J187" i="9"/>
  <c r="Y186" i="9"/>
  <c r="Y185" i="9" s="1"/>
  <c r="X186" i="9"/>
  <c r="X185" i="9" s="1"/>
  <c r="W186" i="9"/>
  <c r="J186" i="9"/>
  <c r="BO185" i="9"/>
  <c r="BO184" i="9" s="1"/>
  <c r="BX180" i="9"/>
  <c r="Y180" i="9"/>
  <c r="X180" i="9"/>
  <c r="BQ180" i="9" s="1"/>
  <c r="W180" i="9"/>
  <c r="J180" i="9"/>
  <c r="Y179" i="9"/>
  <c r="X179" i="9"/>
  <c r="W179" i="9"/>
  <c r="J179" i="9"/>
  <c r="Y178" i="9"/>
  <c r="BR178" i="9" s="1"/>
  <c r="X178" i="9"/>
  <c r="W178" i="9"/>
  <c r="J178" i="9"/>
  <c r="BO177" i="9"/>
  <c r="BX176" i="9"/>
  <c r="Y176" i="9"/>
  <c r="BR176" i="9" s="1"/>
  <c r="BR175" i="9" s="1"/>
  <c r="X176" i="9"/>
  <c r="W176" i="9"/>
  <c r="J176" i="9"/>
  <c r="J175" i="9" s="1"/>
  <c r="BO175" i="9"/>
  <c r="BY174" i="9"/>
  <c r="Y174" i="9"/>
  <c r="X174" i="9"/>
  <c r="W174" i="9"/>
  <c r="J174" i="9"/>
  <c r="BX173" i="9"/>
  <c r="Y173" i="9"/>
  <c r="X173" i="9"/>
  <c r="W173" i="9"/>
  <c r="BP173" i="9" s="1"/>
  <c r="J173" i="9"/>
  <c r="Y172" i="9"/>
  <c r="X172" i="9"/>
  <c r="W172" i="9"/>
  <c r="J172" i="9"/>
  <c r="BZ171" i="9"/>
  <c r="Y171" i="9"/>
  <c r="BR171" i="9" s="1"/>
  <c r="X171" i="9"/>
  <c r="W171" i="9"/>
  <c r="J171" i="9"/>
  <c r="BO170" i="9"/>
  <c r="W18" i="9"/>
  <c r="J18" i="9"/>
  <c r="BO143" i="9"/>
  <c r="BO138" i="9"/>
  <c r="BO137" i="9" s="1"/>
  <c r="BO132" i="9"/>
  <c r="BO130" i="9" s="1"/>
  <c r="BO128" i="9"/>
  <c r="BO124" i="9"/>
  <c r="BO121" i="9" s="1"/>
  <c r="BO112" i="9"/>
  <c r="BO104" i="9"/>
  <c r="BO101" i="9"/>
  <c r="BO100" i="9" s="1"/>
  <c r="BO95" i="9"/>
  <c r="BO94" i="9" s="1"/>
  <c r="BO89" i="9"/>
  <c r="BO87" i="9"/>
  <c r="BO82" i="9"/>
  <c r="BO78" i="9"/>
  <c r="BO76" i="9"/>
  <c r="BO69" i="9"/>
  <c r="BO60" i="9"/>
  <c r="BO59" i="9" s="1"/>
  <c r="BO52" i="9"/>
  <c r="BO44" i="9"/>
  <c r="BO40" i="9"/>
  <c r="BO37" i="9"/>
  <c r="BO34" i="9"/>
  <c r="BO26" i="9"/>
  <c r="J144" i="9"/>
  <c r="J143" i="9" s="1"/>
  <c r="J142" i="9"/>
  <c r="J141" i="9"/>
  <c r="J140" i="9"/>
  <c r="J139" i="9"/>
  <c r="J136" i="9"/>
  <c r="J135" i="9"/>
  <c r="J134" i="9"/>
  <c r="J133" i="9"/>
  <c r="J131" i="9"/>
  <c r="J129" i="9"/>
  <c r="J128" i="9" s="1"/>
  <c r="J127" i="9"/>
  <c r="J126" i="9"/>
  <c r="J125" i="9"/>
  <c r="J123" i="9"/>
  <c r="J122" i="9"/>
  <c r="J119" i="9"/>
  <c r="J118" i="9"/>
  <c r="J117" i="9"/>
  <c r="J116" i="9"/>
  <c r="J115" i="9"/>
  <c r="J114" i="9"/>
  <c r="J113" i="9"/>
  <c r="J111" i="9"/>
  <c r="J110" i="9"/>
  <c r="J109" i="9"/>
  <c r="J108" i="9"/>
  <c r="J107" i="9"/>
  <c r="J106" i="9"/>
  <c r="J105" i="9"/>
  <c r="J103" i="9"/>
  <c r="J102" i="9"/>
  <c r="J99" i="9"/>
  <c r="J98" i="9"/>
  <c r="J97" i="9"/>
  <c r="J96" i="9"/>
  <c r="J90" i="9"/>
  <c r="J89" i="9" s="1"/>
  <c r="J88" i="9"/>
  <c r="J87" i="9" s="1"/>
  <c r="C79" i="1" s="1"/>
  <c r="J86" i="9"/>
  <c r="J85" i="9"/>
  <c r="J84" i="9"/>
  <c r="J83" i="9"/>
  <c r="J81" i="9"/>
  <c r="J80" i="9"/>
  <c r="J79" i="9"/>
  <c r="J77" i="9"/>
  <c r="J76" i="9" s="1"/>
  <c r="J74" i="9"/>
  <c r="J73" i="9"/>
  <c r="J72" i="9"/>
  <c r="J71" i="9"/>
  <c r="J70" i="9"/>
  <c r="J68" i="9"/>
  <c r="J67" i="9"/>
  <c r="J66" i="9"/>
  <c r="J65" i="9"/>
  <c r="J64" i="9"/>
  <c r="J63" i="9"/>
  <c r="J62" i="9"/>
  <c r="J61" i="9"/>
  <c r="J56" i="9"/>
  <c r="J55" i="9"/>
  <c r="J54" i="9"/>
  <c r="J53" i="9"/>
  <c r="J51" i="9"/>
  <c r="J50" i="9"/>
  <c r="J49" i="9"/>
  <c r="J48" i="9"/>
  <c r="J47" i="9"/>
  <c r="J46" i="9"/>
  <c r="J45" i="9"/>
  <c r="J43" i="9"/>
  <c r="J42" i="9"/>
  <c r="J41" i="9"/>
  <c r="J39" i="9"/>
  <c r="J38" i="9"/>
  <c r="J36" i="9"/>
  <c r="J35" i="9"/>
  <c r="J29" i="9"/>
  <c r="J28" i="9"/>
  <c r="J27" i="9"/>
  <c r="J23" i="9"/>
  <c r="J22" i="9" s="1"/>
  <c r="J21" i="9"/>
  <c r="J20" i="9"/>
  <c r="J19" i="9"/>
  <c r="BZ141" i="9"/>
  <c r="BY141" i="9"/>
  <c r="BX141" i="9"/>
  <c r="BZ122" i="9"/>
  <c r="BY122" i="9"/>
  <c r="BX122" i="9"/>
  <c r="BZ81" i="9"/>
  <c r="BY81" i="9"/>
  <c r="BX81" i="9"/>
  <c r="Y144" i="9"/>
  <c r="X144" i="9"/>
  <c r="W144" i="9"/>
  <c r="Y142" i="9"/>
  <c r="BR142" i="9" s="1"/>
  <c r="X142" i="9"/>
  <c r="W142" i="9"/>
  <c r="Y140" i="9"/>
  <c r="X140" i="9"/>
  <c r="W140" i="9"/>
  <c r="Y139" i="9"/>
  <c r="X139" i="9"/>
  <c r="W139" i="9"/>
  <c r="Y136" i="9"/>
  <c r="X136" i="9"/>
  <c r="W136" i="9"/>
  <c r="Y135" i="9"/>
  <c r="X135" i="9"/>
  <c r="W135" i="9"/>
  <c r="Y134" i="9"/>
  <c r="X134" i="9"/>
  <c r="W134" i="9"/>
  <c r="Y133" i="9"/>
  <c r="X133" i="9"/>
  <c r="W133" i="9"/>
  <c r="Y131" i="9"/>
  <c r="X131" i="9"/>
  <c r="W131" i="9"/>
  <c r="Y129" i="9"/>
  <c r="X129" i="9"/>
  <c r="W129" i="9"/>
  <c r="Y127" i="9"/>
  <c r="X127" i="9"/>
  <c r="W127" i="9"/>
  <c r="Y126" i="9"/>
  <c r="X126" i="9"/>
  <c r="W126" i="9"/>
  <c r="Y125" i="9"/>
  <c r="X125" i="9"/>
  <c r="W125" i="9"/>
  <c r="Y123" i="9"/>
  <c r="X123" i="9"/>
  <c r="W123" i="9"/>
  <c r="Y119" i="9"/>
  <c r="X119" i="9"/>
  <c r="BQ119" i="9" s="1"/>
  <c r="W119" i="9"/>
  <c r="Y118" i="9"/>
  <c r="X118" i="9"/>
  <c r="W118" i="9"/>
  <c r="Y117" i="9"/>
  <c r="X117" i="9"/>
  <c r="W117" i="9"/>
  <c r="Y116" i="9"/>
  <c r="X116" i="9"/>
  <c r="BQ116" i="9" s="1"/>
  <c r="W116" i="9"/>
  <c r="Y115" i="9"/>
  <c r="X115" i="9"/>
  <c r="BQ115" i="9" s="1"/>
  <c r="W115" i="9"/>
  <c r="Y114" i="9"/>
  <c r="X114" i="9"/>
  <c r="W114" i="9"/>
  <c r="Y113" i="9"/>
  <c r="X113" i="9"/>
  <c r="W113" i="9"/>
  <c r="Y111" i="9"/>
  <c r="X111" i="9"/>
  <c r="W111" i="9"/>
  <c r="Y110" i="9"/>
  <c r="X110" i="9"/>
  <c r="W110" i="9"/>
  <c r="Y109" i="9"/>
  <c r="X109" i="9"/>
  <c r="BQ109" i="9" s="1"/>
  <c r="W109" i="9"/>
  <c r="Y108" i="9"/>
  <c r="X108" i="9"/>
  <c r="W108" i="9"/>
  <c r="Y107" i="9"/>
  <c r="X107" i="9"/>
  <c r="BQ107" i="9" s="1"/>
  <c r="W107" i="9"/>
  <c r="Y106" i="9"/>
  <c r="X106" i="9"/>
  <c r="W106" i="9"/>
  <c r="Y105" i="9"/>
  <c r="X105" i="9"/>
  <c r="W105" i="9"/>
  <c r="Y103" i="9"/>
  <c r="X103" i="9"/>
  <c r="BQ103" i="9" s="1"/>
  <c r="W103" i="9"/>
  <c r="Y102" i="9"/>
  <c r="X102" i="9"/>
  <c r="W102" i="9"/>
  <c r="Y99" i="9"/>
  <c r="X99" i="9"/>
  <c r="W99" i="9"/>
  <c r="Y98" i="9"/>
  <c r="X98" i="9"/>
  <c r="W98" i="9"/>
  <c r="BZ97" i="9"/>
  <c r="Y97" i="9"/>
  <c r="X97" i="9"/>
  <c r="W97" i="9"/>
  <c r="Y96" i="9"/>
  <c r="X96" i="9"/>
  <c r="W96" i="9"/>
  <c r="J79" i="1"/>
  <c r="I79" i="1"/>
  <c r="H79" i="1"/>
  <c r="Y88" i="9"/>
  <c r="X88" i="9"/>
  <c r="W88" i="9"/>
  <c r="Y90" i="9"/>
  <c r="X90" i="9"/>
  <c r="W90" i="9"/>
  <c r="Y86" i="9"/>
  <c r="X86" i="9"/>
  <c r="W86" i="9"/>
  <c r="Y85" i="9"/>
  <c r="X85" i="9"/>
  <c r="W85" i="9"/>
  <c r="Y84" i="9"/>
  <c r="X84" i="9"/>
  <c r="W84" i="9"/>
  <c r="Y83" i="9"/>
  <c r="X83" i="9"/>
  <c r="W83" i="9"/>
  <c r="Y80" i="9"/>
  <c r="X80" i="9"/>
  <c r="W80" i="9"/>
  <c r="Y79" i="9"/>
  <c r="X79" i="9"/>
  <c r="W79" i="9"/>
  <c r="Y77" i="9"/>
  <c r="X77" i="9"/>
  <c r="W77" i="9"/>
  <c r="BX74" i="9"/>
  <c r="Y74" i="9"/>
  <c r="X74" i="9"/>
  <c r="W74" i="9"/>
  <c r="Y73" i="9"/>
  <c r="X73" i="9"/>
  <c r="W73" i="9"/>
  <c r="Y72" i="9"/>
  <c r="X72" i="9"/>
  <c r="W72" i="9"/>
  <c r="Y71" i="9"/>
  <c r="X71" i="9"/>
  <c r="W71" i="9"/>
  <c r="Y70" i="9"/>
  <c r="X70" i="9"/>
  <c r="W70" i="9"/>
  <c r="BX68" i="9"/>
  <c r="Y68" i="9"/>
  <c r="X68" i="9"/>
  <c r="W68" i="9"/>
  <c r="BX67" i="9"/>
  <c r="Y67" i="9"/>
  <c r="X67" i="9"/>
  <c r="W67" i="9"/>
  <c r="BZ66" i="9"/>
  <c r="Y66" i="9"/>
  <c r="X66" i="9"/>
  <c r="W66" i="9"/>
  <c r="Y65" i="9"/>
  <c r="X65" i="9"/>
  <c r="W65" i="9"/>
  <c r="Y64" i="9"/>
  <c r="X64" i="9"/>
  <c r="W64" i="9"/>
  <c r="Y63" i="9"/>
  <c r="X63" i="9"/>
  <c r="W63" i="9"/>
  <c r="Y62" i="9"/>
  <c r="X62" i="9"/>
  <c r="W62" i="9"/>
  <c r="Y61" i="9"/>
  <c r="X61" i="9"/>
  <c r="W61" i="9"/>
  <c r="Y56" i="9"/>
  <c r="X56" i="9"/>
  <c r="W56" i="9"/>
  <c r="Y55" i="9"/>
  <c r="X55" i="9"/>
  <c r="W55" i="9"/>
  <c r="Y54" i="9"/>
  <c r="X54" i="9"/>
  <c r="W54" i="9"/>
  <c r="Y53" i="9"/>
  <c r="X53" i="9"/>
  <c r="W53" i="9"/>
  <c r="Y51" i="9"/>
  <c r="X51" i="9"/>
  <c r="W51" i="9"/>
  <c r="Y50" i="9"/>
  <c r="X50" i="9"/>
  <c r="W50" i="9"/>
  <c r="Y49" i="9"/>
  <c r="X49" i="9"/>
  <c r="W49" i="9"/>
  <c r="Y48" i="9"/>
  <c r="X48" i="9"/>
  <c r="W48" i="9"/>
  <c r="Y47" i="9"/>
  <c r="X47" i="9"/>
  <c r="W47" i="9"/>
  <c r="Y46" i="9"/>
  <c r="X46" i="9"/>
  <c r="W46" i="9"/>
  <c r="Y45" i="9"/>
  <c r="X45" i="9"/>
  <c r="W45" i="9"/>
  <c r="Y43" i="9"/>
  <c r="X43" i="9"/>
  <c r="W43" i="9"/>
  <c r="Y42" i="9"/>
  <c r="X42" i="9"/>
  <c r="W42" i="9"/>
  <c r="Y41" i="9"/>
  <c r="X41" i="9"/>
  <c r="W41" i="9"/>
  <c r="Y39" i="9"/>
  <c r="X39" i="9"/>
  <c r="W39" i="9"/>
  <c r="Y38" i="9"/>
  <c r="X38" i="9"/>
  <c r="W38" i="9"/>
  <c r="Y36" i="9"/>
  <c r="X36" i="9"/>
  <c r="W36" i="9"/>
  <c r="Y35" i="9"/>
  <c r="X35" i="9"/>
  <c r="W35" i="9"/>
  <c r="Y29" i="9"/>
  <c r="X29" i="9"/>
  <c r="W29" i="9"/>
  <c r="Y28" i="9"/>
  <c r="X28" i="9"/>
  <c r="W28" i="9"/>
  <c r="Y27" i="9"/>
  <c r="X27" i="9"/>
  <c r="W27" i="9"/>
  <c r="Y23" i="9"/>
  <c r="Y22" i="9" s="1"/>
  <c r="X23" i="9"/>
  <c r="W23" i="9"/>
  <c r="W22" i="9" s="1"/>
  <c r="Y21" i="9"/>
  <c r="X21" i="9"/>
  <c r="W21" i="9"/>
  <c r="Y20" i="9"/>
  <c r="X20" i="9"/>
  <c r="W20" i="9"/>
  <c r="Y19" i="9"/>
  <c r="BR19" i="9" s="1"/>
  <c r="X19" i="9"/>
  <c r="W19" i="9"/>
  <c r="AR17" i="9"/>
  <c r="AR16" i="9" s="1"/>
  <c r="Y18" i="9"/>
  <c r="X18" i="9"/>
  <c r="BO22" i="9"/>
  <c r="BO17" i="9"/>
  <c r="G17" i="9"/>
  <c r="Q45" i="7"/>
  <c r="P45" i="7"/>
  <c r="N45" i="7"/>
  <c r="Q44" i="7"/>
  <c r="P44" i="7"/>
  <c r="N44" i="7"/>
  <c r="J44" i="7"/>
  <c r="J43" i="7"/>
  <c r="M42" i="7"/>
  <c r="M41" i="7" s="1"/>
  <c r="L42" i="7"/>
  <c r="N42" i="7" s="1"/>
  <c r="K41" i="7"/>
  <c r="M38" i="7"/>
  <c r="L38" i="7"/>
  <c r="K38" i="7"/>
  <c r="I38" i="7"/>
  <c r="H38" i="7"/>
  <c r="G38" i="7"/>
  <c r="Q37" i="7"/>
  <c r="P37" i="7"/>
  <c r="O37" i="7"/>
  <c r="N37" i="7"/>
  <c r="J37" i="7"/>
  <c r="Q35" i="7"/>
  <c r="P35" i="7"/>
  <c r="O35" i="7"/>
  <c r="N35" i="7"/>
  <c r="J35" i="7"/>
  <c r="Q33" i="7"/>
  <c r="P33" i="7"/>
  <c r="O33" i="7"/>
  <c r="N33" i="7"/>
  <c r="J33" i="7"/>
  <c r="Q32" i="7"/>
  <c r="P32" i="7"/>
  <c r="O32" i="7"/>
  <c r="N32" i="7"/>
  <c r="J32" i="7"/>
  <c r="Q31" i="7"/>
  <c r="P31" i="7"/>
  <c r="O31" i="7"/>
  <c r="N31" i="7"/>
  <c r="J31" i="7"/>
  <c r="Q30" i="7"/>
  <c r="P30" i="7"/>
  <c r="O30" i="7"/>
  <c r="N30" i="7"/>
  <c r="J30" i="7"/>
  <c r="Q29" i="7"/>
  <c r="P29" i="7"/>
  <c r="O29" i="7"/>
  <c r="N29" i="7"/>
  <c r="J29" i="7"/>
  <c r="B29" i="7"/>
  <c r="B30" i="7" s="1"/>
  <c r="B31" i="7" s="1"/>
  <c r="B32" i="7" s="1"/>
  <c r="Q28" i="7"/>
  <c r="P28" i="7"/>
  <c r="O28" i="7"/>
  <c r="N28" i="7"/>
  <c r="J28" i="7"/>
  <c r="M25" i="7"/>
  <c r="L25" i="7"/>
  <c r="K25" i="7"/>
  <c r="I25" i="7"/>
  <c r="I42" i="7" s="1"/>
  <c r="H25" i="7"/>
  <c r="Q24" i="7"/>
  <c r="P24" i="7"/>
  <c r="O24" i="7"/>
  <c r="R24" i="7" s="1"/>
  <c r="N24" i="7"/>
  <c r="J24" i="7"/>
  <c r="Q23" i="7"/>
  <c r="P23" i="7"/>
  <c r="O23" i="7"/>
  <c r="N23" i="7"/>
  <c r="J23" i="7"/>
  <c r="Q22" i="7"/>
  <c r="P22" i="7"/>
  <c r="O22" i="7"/>
  <c r="N22" i="7"/>
  <c r="J22" i="7"/>
  <c r="Q21" i="7"/>
  <c r="P21" i="7"/>
  <c r="O21" i="7"/>
  <c r="N21" i="7"/>
  <c r="J21" i="7"/>
  <c r="Q20" i="7"/>
  <c r="P20" i="7"/>
  <c r="O20" i="7"/>
  <c r="N20" i="7"/>
  <c r="J20" i="7"/>
  <c r="Q19" i="7"/>
  <c r="P19" i="7"/>
  <c r="O19" i="7"/>
  <c r="N19" i="7"/>
  <c r="J19" i="7"/>
  <c r="Q18" i="7"/>
  <c r="P18" i="7"/>
  <c r="O18" i="7"/>
  <c r="N18" i="7"/>
  <c r="J18" i="7"/>
  <c r="Q17" i="7"/>
  <c r="P17" i="7"/>
  <c r="O17" i="7"/>
  <c r="N17" i="7"/>
  <c r="J17" i="7"/>
  <c r="Q16" i="7"/>
  <c r="P16" i="7"/>
  <c r="N16" i="7"/>
  <c r="B16" i="7"/>
  <c r="B17" i="7" s="1"/>
  <c r="B18" i="7" s="1"/>
  <c r="B19" i="7" s="1"/>
  <c r="B20" i="7" s="1"/>
  <c r="B21" i="7" s="1"/>
  <c r="B22" i="7" s="1"/>
  <c r="B23" i="7" s="1"/>
  <c r="Q15" i="7"/>
  <c r="P15" i="7"/>
  <c r="O15" i="7"/>
  <c r="N15" i="7"/>
  <c r="J72" i="1"/>
  <c r="I72" i="1"/>
  <c r="H72" i="1"/>
  <c r="F72" i="1"/>
  <c r="E72" i="1"/>
  <c r="D72" i="1"/>
  <c r="C72" i="1"/>
  <c r="J71" i="1"/>
  <c r="I71" i="1"/>
  <c r="H71" i="1"/>
  <c r="K71" i="1" s="1"/>
  <c r="F71" i="1"/>
  <c r="E71" i="1"/>
  <c r="D71" i="1"/>
  <c r="C71" i="1"/>
  <c r="J70" i="1"/>
  <c r="I70" i="1"/>
  <c r="H70" i="1"/>
  <c r="F70" i="1"/>
  <c r="E70" i="1"/>
  <c r="D70" i="1"/>
  <c r="C70" i="1"/>
  <c r="J69" i="1"/>
  <c r="I69" i="1"/>
  <c r="H69" i="1"/>
  <c r="F69" i="1"/>
  <c r="E69" i="1"/>
  <c r="D69" i="1"/>
  <c r="C69" i="1"/>
  <c r="J68" i="1"/>
  <c r="I68" i="1"/>
  <c r="H68" i="1"/>
  <c r="F68" i="1"/>
  <c r="E68" i="1"/>
  <c r="D68" i="1"/>
  <c r="G68" i="1" s="1"/>
  <c r="C68" i="1"/>
  <c r="J67" i="1"/>
  <c r="I67" i="1"/>
  <c r="H67" i="1"/>
  <c r="K67" i="1" s="1"/>
  <c r="F67" i="1"/>
  <c r="E67" i="1"/>
  <c r="D67" i="1"/>
  <c r="G67" i="1" s="1"/>
  <c r="C67" i="1"/>
  <c r="J66" i="1"/>
  <c r="I66" i="1"/>
  <c r="H66" i="1"/>
  <c r="K66" i="1" s="1"/>
  <c r="F66" i="1"/>
  <c r="E66" i="1"/>
  <c r="D66" i="1"/>
  <c r="C66" i="1"/>
  <c r="J65" i="1"/>
  <c r="I65" i="1"/>
  <c r="H65" i="1"/>
  <c r="F65" i="1"/>
  <c r="E65" i="1"/>
  <c r="D65" i="1"/>
  <c r="C65" i="1"/>
  <c r="J64" i="1"/>
  <c r="I64" i="1"/>
  <c r="H64" i="1"/>
  <c r="F64" i="1"/>
  <c r="E64" i="1"/>
  <c r="D64" i="1"/>
  <c r="C64" i="1"/>
  <c r="J63" i="1"/>
  <c r="I63" i="1"/>
  <c r="H63" i="1"/>
  <c r="K63" i="1" s="1"/>
  <c r="F63" i="1"/>
  <c r="E63" i="1"/>
  <c r="D63" i="1"/>
  <c r="G63" i="1" s="1"/>
  <c r="C63" i="1"/>
  <c r="J62" i="1"/>
  <c r="I62" i="1"/>
  <c r="H62" i="1"/>
  <c r="K62" i="1" s="1"/>
  <c r="F62" i="1"/>
  <c r="E62" i="1"/>
  <c r="D62" i="1"/>
  <c r="C62" i="1"/>
  <c r="J61" i="1"/>
  <c r="I61" i="1"/>
  <c r="H61" i="1"/>
  <c r="F61" i="1"/>
  <c r="E61" i="1"/>
  <c r="D61" i="1"/>
  <c r="C61" i="1"/>
  <c r="J60" i="1"/>
  <c r="I60" i="1"/>
  <c r="H60" i="1"/>
  <c r="F60" i="1"/>
  <c r="E60" i="1"/>
  <c r="D60" i="1"/>
  <c r="C60" i="1"/>
  <c r="J59" i="1"/>
  <c r="I59" i="1"/>
  <c r="H59" i="1"/>
  <c r="F59" i="1"/>
  <c r="E59" i="1"/>
  <c r="D59" i="1"/>
  <c r="G59" i="1" s="1"/>
  <c r="C59" i="1"/>
  <c r="K52" i="1"/>
  <c r="K51" i="1"/>
  <c r="G51" i="1"/>
  <c r="K50" i="1"/>
  <c r="G50" i="1"/>
  <c r="K49" i="1"/>
  <c r="G49" i="1"/>
  <c r="K48" i="1"/>
  <c r="G48" i="1"/>
  <c r="D46" i="1"/>
  <c r="K45" i="1"/>
  <c r="L45" i="1" s="1"/>
  <c r="K43" i="1"/>
  <c r="G43" i="1"/>
  <c r="K42" i="1"/>
  <c r="G42" i="1"/>
  <c r="K41" i="1"/>
  <c r="G41" i="1"/>
  <c r="K40" i="1"/>
  <c r="G40" i="1"/>
  <c r="K39" i="1"/>
  <c r="G39" i="1"/>
  <c r="K38" i="1"/>
  <c r="G38" i="1"/>
  <c r="J37" i="1"/>
  <c r="I37" i="1"/>
  <c r="H37" i="1"/>
  <c r="F37" i="1"/>
  <c r="E37" i="1"/>
  <c r="D37" i="1"/>
  <c r="C37" i="1"/>
  <c r="J32" i="1"/>
  <c r="I32" i="1"/>
  <c r="F32" i="1"/>
  <c r="E32" i="1"/>
  <c r="K31" i="1"/>
  <c r="G31" i="1"/>
  <c r="K30" i="1"/>
  <c r="G30" i="1"/>
  <c r="K29" i="1"/>
  <c r="G29" i="1"/>
  <c r="K28" i="1"/>
  <c r="G28" i="1"/>
  <c r="K27" i="1"/>
  <c r="G27" i="1"/>
  <c r="J26" i="1"/>
  <c r="I26" i="1"/>
  <c r="H26" i="1"/>
  <c r="F26" i="1"/>
  <c r="E26" i="1"/>
  <c r="D26" i="1"/>
  <c r="C26" i="1"/>
  <c r="K25" i="1"/>
  <c r="G25" i="1"/>
  <c r="K24" i="1"/>
  <c r="G24" i="1"/>
  <c r="K23" i="1"/>
  <c r="G23" i="1"/>
  <c r="K22" i="1"/>
  <c r="G22" i="1"/>
  <c r="K21" i="1"/>
  <c r="G21" i="1"/>
  <c r="J20" i="1"/>
  <c r="I20" i="1"/>
  <c r="H20" i="1"/>
  <c r="F20" i="1"/>
  <c r="E20" i="1"/>
  <c r="D20" i="1"/>
  <c r="C20" i="1"/>
  <c r="K18" i="1"/>
  <c r="G18" i="1"/>
  <c r="D11" i="1"/>
  <c r="R19" i="7" l="1"/>
  <c r="N41" i="7"/>
  <c r="BZ228" i="9"/>
  <c r="BZ227" i="9" s="1"/>
  <c r="Q58" i="9"/>
  <c r="O169" i="9"/>
  <c r="V34" i="9"/>
  <c r="U92" i="9"/>
  <c r="U91" i="9" s="1"/>
  <c r="M64" i="11" s="1"/>
  <c r="T93" i="9"/>
  <c r="T92" i="9" s="1"/>
  <c r="V112" i="9"/>
  <c r="BC33" i="9"/>
  <c r="BC32" i="9" s="1"/>
  <c r="V49" i="11" s="1"/>
  <c r="BV75" i="9"/>
  <c r="R30" i="7"/>
  <c r="Y188" i="9"/>
  <c r="W263" i="9"/>
  <c r="Y158" i="9"/>
  <c r="O120" i="9"/>
  <c r="R132" i="9"/>
  <c r="T32" i="9"/>
  <c r="V40" i="9"/>
  <c r="BE75" i="9"/>
  <c r="BC209" i="9"/>
  <c r="BI183" i="9"/>
  <c r="W137" i="11" s="1"/>
  <c r="BN285" i="9"/>
  <c r="BN278" i="9"/>
  <c r="BN160" i="9"/>
  <c r="BL34" i="9"/>
  <c r="BU32" i="9"/>
  <c r="BU75" i="9"/>
  <c r="BW82" i="9"/>
  <c r="BU169" i="9"/>
  <c r="BT169" i="9"/>
  <c r="BU209" i="9"/>
  <c r="H132" i="11"/>
  <c r="S145" i="9"/>
  <c r="AZ145" i="9"/>
  <c r="BO145" i="9"/>
  <c r="CA292" i="9"/>
  <c r="W158" i="9"/>
  <c r="K33" i="9"/>
  <c r="R185" i="9"/>
  <c r="U33" i="9"/>
  <c r="S93" i="9"/>
  <c r="S92" i="9" s="1"/>
  <c r="V95" i="9"/>
  <c r="V94" i="9" s="1"/>
  <c r="V177" i="9"/>
  <c r="V191" i="9"/>
  <c r="T226" i="9"/>
  <c r="T208" i="9" s="1"/>
  <c r="M142" i="11" s="1"/>
  <c r="BA33" i="9"/>
  <c r="BA226" i="9"/>
  <c r="AY226" i="9"/>
  <c r="AY271" i="9"/>
  <c r="BF34" i="9"/>
  <c r="BE184" i="9"/>
  <c r="BE183" i="9" s="1"/>
  <c r="V137" i="11" s="1"/>
  <c r="BJ275" i="9"/>
  <c r="BU120" i="9"/>
  <c r="BW229" i="9"/>
  <c r="H111" i="11"/>
  <c r="Q145" i="9"/>
  <c r="BI145" i="9"/>
  <c r="U209" i="9"/>
  <c r="BD226" i="9"/>
  <c r="R130" i="9"/>
  <c r="Q75" i="9"/>
  <c r="W275" i="9"/>
  <c r="O209" i="9"/>
  <c r="O208" i="9" s="1"/>
  <c r="U58" i="9"/>
  <c r="X281" i="9"/>
  <c r="K169" i="9"/>
  <c r="K209" i="9"/>
  <c r="K208" i="9" s="1"/>
  <c r="N229" i="9"/>
  <c r="R104" i="9"/>
  <c r="P244" i="9"/>
  <c r="P243" i="9" s="1"/>
  <c r="V52" i="9"/>
  <c r="V69" i="9"/>
  <c r="BE93" i="9"/>
  <c r="BE92" i="9" s="1"/>
  <c r="BI93" i="9"/>
  <c r="BI209" i="9"/>
  <c r="W171" i="11" s="1"/>
  <c r="BJ233" i="9"/>
  <c r="BH244" i="9"/>
  <c r="BN293" i="9"/>
  <c r="BN223" i="9"/>
  <c r="BN214" i="9"/>
  <c r="BN206" i="9"/>
  <c r="BN192" i="9"/>
  <c r="BT58" i="9"/>
  <c r="BV244" i="9"/>
  <c r="BV243" i="9" s="1"/>
  <c r="I29" i="13"/>
  <c r="K485" i="13"/>
  <c r="P485" i="13"/>
  <c r="U485" i="13"/>
  <c r="BU244" i="9"/>
  <c r="BZ146" i="9"/>
  <c r="B33" i="7"/>
  <c r="B35" i="7" s="1"/>
  <c r="B34" i="7"/>
  <c r="Y272" i="9"/>
  <c r="Y271" i="9" s="1"/>
  <c r="K32" i="9"/>
  <c r="L58" i="9"/>
  <c r="L57" i="9" s="1"/>
  <c r="H58" i="11" s="1"/>
  <c r="M75" i="9"/>
  <c r="N95" i="9"/>
  <c r="N94" i="9" s="1"/>
  <c r="N195" i="9"/>
  <c r="L271" i="9"/>
  <c r="K271" i="9"/>
  <c r="M271" i="9"/>
  <c r="P16" i="9"/>
  <c r="R95" i="9"/>
  <c r="R94" i="9" s="1"/>
  <c r="R93" i="9" s="1"/>
  <c r="Q183" i="9"/>
  <c r="Q182" i="9" s="1"/>
  <c r="O271" i="9"/>
  <c r="R289" i="9"/>
  <c r="R288" i="9" s="1"/>
  <c r="U32" i="9"/>
  <c r="M51" i="11" s="1"/>
  <c r="V60" i="9"/>
  <c r="V59" i="9" s="1"/>
  <c r="S75" i="9"/>
  <c r="U75" i="9"/>
  <c r="S120" i="9"/>
  <c r="S91" i="9" s="1"/>
  <c r="M62" i="11" s="1"/>
  <c r="U184" i="9"/>
  <c r="U183" i="9" s="1"/>
  <c r="S226" i="9"/>
  <c r="T271" i="9"/>
  <c r="V289" i="9"/>
  <c r="V288" i="9" s="1"/>
  <c r="AY58" i="9"/>
  <c r="AY93" i="9"/>
  <c r="AY92" i="9" s="1"/>
  <c r="BA271" i="9"/>
  <c r="AZ271" i="9"/>
  <c r="BE58" i="9"/>
  <c r="BF229" i="9"/>
  <c r="BG58" i="9"/>
  <c r="BJ130" i="9"/>
  <c r="BJ132" i="9"/>
  <c r="BH271" i="9"/>
  <c r="BU58" i="9"/>
  <c r="BW60" i="9"/>
  <c r="BW59" i="9" s="1"/>
  <c r="BU154" i="9"/>
  <c r="BU153" i="9" s="1"/>
  <c r="BW162" i="9"/>
  <c r="R155" i="9"/>
  <c r="L45" i="11"/>
  <c r="I121" i="13"/>
  <c r="R47" i="7"/>
  <c r="BF146" i="9"/>
  <c r="BM146" i="9"/>
  <c r="BM145" i="9" s="1"/>
  <c r="BM150" i="9"/>
  <c r="K145" i="9"/>
  <c r="P145" i="9"/>
  <c r="BC145" i="9"/>
  <c r="BH145" i="9"/>
  <c r="M145" i="9"/>
  <c r="I39" i="13"/>
  <c r="G16" i="9"/>
  <c r="M39" i="7"/>
  <c r="BO16" i="9"/>
  <c r="W281" i="9"/>
  <c r="L33" i="9"/>
  <c r="L32" i="9" s="1"/>
  <c r="L31" i="9" s="1"/>
  <c r="N40" i="9"/>
  <c r="M58" i="9"/>
  <c r="M57" i="9" s="1"/>
  <c r="K59" i="11" s="1"/>
  <c r="K93" i="9"/>
  <c r="K92" i="9" s="1"/>
  <c r="M120" i="9"/>
  <c r="M209" i="9"/>
  <c r="N255" i="9"/>
  <c r="N263" i="9"/>
  <c r="Q16" i="9"/>
  <c r="P33" i="9"/>
  <c r="P32" i="9" s="1"/>
  <c r="P31" i="9" s="1"/>
  <c r="P75" i="9"/>
  <c r="O93" i="9"/>
  <c r="O92" i="9" s="1"/>
  <c r="Q154" i="9"/>
  <c r="Q153" i="9" s="1"/>
  <c r="R233" i="9"/>
  <c r="P271" i="9"/>
  <c r="T75" i="9"/>
  <c r="T120" i="9"/>
  <c r="T91" i="9" s="1"/>
  <c r="M63" i="11" s="1"/>
  <c r="V188" i="9"/>
  <c r="S209" i="9"/>
  <c r="S208" i="9" s="1"/>
  <c r="T244" i="9"/>
  <c r="T243" i="9" s="1"/>
  <c r="U271" i="9"/>
  <c r="BA169" i="9"/>
  <c r="AY169" i="9"/>
  <c r="BA184" i="9"/>
  <c r="BA244" i="9"/>
  <c r="BA243" i="9" s="1"/>
  <c r="BA242" i="9" s="1"/>
  <c r="U147" i="11" s="1"/>
  <c r="BF37" i="9"/>
  <c r="BC75" i="9"/>
  <c r="BD120" i="9"/>
  <c r="BD184" i="9"/>
  <c r="BD183" i="9" s="1"/>
  <c r="BD182" i="9" s="1"/>
  <c r="BC226" i="9"/>
  <c r="BF246" i="9"/>
  <c r="BF245" i="9" s="1"/>
  <c r="BE271" i="9"/>
  <c r="W173" i="11"/>
  <c r="BG120" i="9"/>
  <c r="BI169" i="9"/>
  <c r="BH184" i="9"/>
  <c r="BH183" i="9" s="1"/>
  <c r="BJ203" i="9"/>
  <c r="BI271" i="9"/>
  <c r="BN159" i="9"/>
  <c r="BN133" i="9"/>
  <c r="BN53" i="9"/>
  <c r="BN43" i="9"/>
  <c r="BN38" i="9"/>
  <c r="BW34" i="9"/>
  <c r="BW211" i="9"/>
  <c r="BW210" i="9" s="1"/>
  <c r="BT209" i="9"/>
  <c r="BT208" i="9" s="1"/>
  <c r="H17" i="11"/>
  <c r="L160" i="11"/>
  <c r="L149" i="11"/>
  <c r="I72" i="13"/>
  <c r="O117" i="13"/>
  <c r="I334" i="15"/>
  <c r="J334" i="15" s="1"/>
  <c r="N334" i="15" s="1"/>
  <c r="R46" i="7"/>
  <c r="R146" i="9"/>
  <c r="BW146" i="9"/>
  <c r="N150" i="9"/>
  <c r="BJ150" i="9"/>
  <c r="L145" i="9"/>
  <c r="BD145" i="9"/>
  <c r="BV145" i="9"/>
  <c r="BJ146" i="9"/>
  <c r="BJ145" i="9" s="1"/>
  <c r="I59" i="13"/>
  <c r="U117" i="13"/>
  <c r="L356" i="13"/>
  <c r="Q356" i="13"/>
  <c r="D19" i="1"/>
  <c r="I19" i="1"/>
  <c r="N196" i="13"/>
  <c r="Z196" i="13" s="1"/>
  <c r="J361" i="13"/>
  <c r="AB392" i="13"/>
  <c r="AB436" i="13"/>
  <c r="W146" i="13"/>
  <c r="T117" i="13"/>
  <c r="P356" i="13"/>
  <c r="P276" i="13" s="1"/>
  <c r="U356" i="13"/>
  <c r="M485" i="13"/>
  <c r="R485" i="13"/>
  <c r="AB1087" i="13"/>
  <c r="AB1091" i="13"/>
  <c r="AB212" i="13"/>
  <c r="I128" i="13"/>
  <c r="J128" i="13" s="1"/>
  <c r="AB635" i="13"/>
  <c r="AB650" i="13"/>
  <c r="AB656" i="13"/>
  <c r="Q1128" i="13"/>
  <c r="L1128" i="13"/>
  <c r="AB589" i="13"/>
  <c r="AB594" i="13"/>
  <c r="AB599" i="13"/>
  <c r="AB604" i="13"/>
  <c r="AB609" i="13"/>
  <c r="AB1034" i="13"/>
  <c r="AB1038" i="13"/>
  <c r="AB1044" i="13"/>
  <c r="AB1054" i="13"/>
  <c r="AB1060" i="13"/>
  <c r="AB1065" i="13"/>
  <c r="AB1069" i="13"/>
  <c r="AB1073" i="13"/>
  <c r="AB1077" i="13"/>
  <c r="AB1083" i="13"/>
  <c r="AB1102" i="13"/>
  <c r="AB1107" i="13"/>
  <c r="AB1112" i="13"/>
  <c r="AB1117" i="13"/>
  <c r="AB1122" i="13"/>
  <c r="AB1133" i="13"/>
  <c r="AB1140" i="13"/>
  <c r="AB1144" i="13"/>
  <c r="W118" i="15"/>
  <c r="X156" i="15"/>
  <c r="R257" i="15"/>
  <c r="W257" i="15"/>
  <c r="X257" i="15" s="1"/>
  <c r="X152" i="15"/>
  <c r="W268" i="15"/>
  <c r="W266" i="15" s="1"/>
  <c r="W265" i="15" s="1"/>
  <c r="BH209" i="9"/>
  <c r="R268" i="15"/>
  <c r="R266" i="15" s="1"/>
  <c r="R265" i="15" s="1"/>
  <c r="AB417" i="13"/>
  <c r="BJ101" i="9"/>
  <c r="BJ100" i="9" s="1"/>
  <c r="BJ17" i="9"/>
  <c r="BJ16" i="9" s="1"/>
  <c r="BH58" i="9"/>
  <c r="BH75" i="9"/>
  <c r="R356" i="13"/>
  <c r="R276" i="13" s="1"/>
  <c r="R146" i="13"/>
  <c r="I111" i="13"/>
  <c r="J111" i="13" s="1"/>
  <c r="K60" i="15"/>
  <c r="K59" i="15"/>
  <c r="O32" i="15"/>
  <c r="S32" i="15" s="1"/>
  <c r="S31" i="13"/>
  <c r="X29" i="13"/>
  <c r="I22" i="13"/>
  <c r="J22" i="13" s="1"/>
  <c r="N22" i="13" s="1"/>
  <c r="V356" i="13"/>
  <c r="BL166" i="9"/>
  <c r="N44" i="1" s="1"/>
  <c r="N35" i="1" s="1"/>
  <c r="R50" i="16"/>
  <c r="AB397" i="13"/>
  <c r="I137" i="13"/>
  <c r="J137" i="13" s="1"/>
  <c r="BF101" i="9"/>
  <c r="BF100" i="9" s="1"/>
  <c r="X153" i="15"/>
  <c r="AB645" i="13"/>
  <c r="AB640" i="13"/>
  <c r="R35" i="7"/>
  <c r="BC154" i="9"/>
  <c r="BC153" i="9" s="1"/>
  <c r="V117" i="13"/>
  <c r="BY228" i="9"/>
  <c r="BY227" i="9" s="1"/>
  <c r="Q117" i="13"/>
  <c r="AB383" i="13"/>
  <c r="X77" i="13"/>
  <c r="BC93" i="9"/>
  <c r="BC92" i="9" s="1"/>
  <c r="BF95" i="9"/>
  <c r="BF94" i="9" s="1"/>
  <c r="BF124" i="9"/>
  <c r="BF121" i="9" s="1"/>
  <c r="BF120" i="9" s="1"/>
  <c r="BC58" i="9"/>
  <c r="BC57" i="9" s="1"/>
  <c r="V57" i="11" s="1"/>
  <c r="BF82" i="9"/>
  <c r="BD271" i="9"/>
  <c r="BF44" i="9"/>
  <c r="BD32" i="9"/>
  <c r="BD31" i="9" s="1"/>
  <c r="N198" i="13"/>
  <c r="Z198" i="13" s="1"/>
  <c r="Y200" i="13"/>
  <c r="N200" i="13"/>
  <c r="N201" i="13"/>
  <c r="Y201" i="13" s="1"/>
  <c r="N199" i="13"/>
  <c r="Z199" i="13" s="1"/>
  <c r="Q118" i="15"/>
  <c r="I123" i="13"/>
  <c r="J123" i="13" s="1"/>
  <c r="X127" i="13"/>
  <c r="S137" i="13"/>
  <c r="I136" i="13"/>
  <c r="J136" i="13" s="1"/>
  <c r="I144" i="13"/>
  <c r="J144" i="13" s="1"/>
  <c r="P146" i="13"/>
  <c r="U146" i="13"/>
  <c r="I67" i="13"/>
  <c r="J67" i="13" s="1"/>
  <c r="N67" i="13" s="1"/>
  <c r="AB574" i="13"/>
  <c r="AB408" i="13"/>
  <c r="AB413" i="13"/>
  <c r="I47" i="13"/>
  <c r="J47" i="13" s="1"/>
  <c r="N47" i="13" s="1"/>
  <c r="S70" i="13"/>
  <c r="H485" i="13"/>
  <c r="I290" i="15"/>
  <c r="J290" i="15" s="1"/>
  <c r="N290" i="15" s="1"/>
  <c r="BD58" i="9"/>
  <c r="S44" i="13"/>
  <c r="Q268" i="15"/>
  <c r="V268" i="15"/>
  <c r="BD209" i="9"/>
  <c r="BD208" i="9" s="1"/>
  <c r="V142" i="11" s="1"/>
  <c r="BB220" i="9"/>
  <c r="X157" i="15"/>
  <c r="BB170" i="9"/>
  <c r="BB169" i="9" s="1"/>
  <c r="AB191" i="13"/>
  <c r="X158" i="15"/>
  <c r="AY154" i="9"/>
  <c r="AY153" i="9" s="1"/>
  <c r="M146" i="13"/>
  <c r="M50" i="11"/>
  <c r="T31" i="9"/>
  <c r="K20" i="11"/>
  <c r="K16" i="9"/>
  <c r="M20" i="11"/>
  <c r="S16" i="9"/>
  <c r="V22" i="11"/>
  <c r="BE16" i="9"/>
  <c r="AA20" i="11"/>
  <c r="BT16" i="9"/>
  <c r="G22" i="11"/>
  <c r="I22" i="11" s="1"/>
  <c r="J22" i="11" s="1"/>
  <c r="I16" i="9"/>
  <c r="K21" i="11"/>
  <c r="L16" i="9"/>
  <c r="V20" i="11"/>
  <c r="BC16" i="9"/>
  <c r="W20" i="11"/>
  <c r="BG16" i="9"/>
  <c r="AA22" i="11"/>
  <c r="BV16" i="9"/>
  <c r="R226" i="9"/>
  <c r="T242" i="9"/>
  <c r="M146" i="11" s="1"/>
  <c r="BC208" i="9"/>
  <c r="BE244" i="9"/>
  <c r="BE243" i="9" s="1"/>
  <c r="BE242" i="9" s="1"/>
  <c r="V147" i="11" s="1"/>
  <c r="BT93" i="9"/>
  <c r="BT92" i="9" s="1"/>
  <c r="CA122" i="9"/>
  <c r="J82" i="9"/>
  <c r="BO58" i="9"/>
  <c r="J188" i="9"/>
  <c r="W229" i="9"/>
  <c r="Y252" i="9"/>
  <c r="Y251" i="9" s="1"/>
  <c r="BX293" i="9"/>
  <c r="N17" i="9"/>
  <c r="N16" i="9" s="1"/>
  <c r="N177" i="9"/>
  <c r="N188" i="9"/>
  <c r="L209" i="9"/>
  <c r="R26" i="9"/>
  <c r="Q57" i="9"/>
  <c r="R124" i="9"/>
  <c r="R121" i="9" s="1"/>
  <c r="R120" i="9" s="1"/>
  <c r="R162" i="9"/>
  <c r="V17" i="9"/>
  <c r="V16" i="9" s="1"/>
  <c r="V211" i="9"/>
  <c r="V210" i="9" s="1"/>
  <c r="V252" i="9"/>
  <c r="V251" i="9" s="1"/>
  <c r="BB138" i="9"/>
  <c r="BB137" i="9" s="1"/>
  <c r="BB255" i="9"/>
  <c r="BE33" i="9"/>
  <c r="BE32" i="9" s="1"/>
  <c r="BF60" i="9"/>
  <c r="BF59" i="9" s="1"/>
  <c r="BC120" i="9"/>
  <c r="BF233" i="9"/>
  <c r="BC244" i="9"/>
  <c r="BJ34" i="9"/>
  <c r="BJ33" i="9" s="1"/>
  <c r="BJ162" i="9"/>
  <c r="BJ252" i="9"/>
  <c r="BJ251" i="9" s="1"/>
  <c r="BJ289" i="9"/>
  <c r="BJ288" i="9" s="1"/>
  <c r="BN163" i="9"/>
  <c r="BN65" i="9"/>
  <c r="BV183" i="9"/>
  <c r="BW195" i="9"/>
  <c r="BW252" i="9"/>
  <c r="BW251" i="9" s="1"/>
  <c r="BW283" i="9"/>
  <c r="BJ155" i="9"/>
  <c r="BN149" i="9"/>
  <c r="W124" i="9"/>
  <c r="W121" i="9" s="1"/>
  <c r="BO169" i="9"/>
  <c r="BY176" i="9"/>
  <c r="BY175" i="9" s="1"/>
  <c r="W210" i="9"/>
  <c r="J252" i="9"/>
  <c r="J251" i="9" s="1"/>
  <c r="Y255" i="9"/>
  <c r="J289" i="9"/>
  <c r="J288" i="9" s="1"/>
  <c r="N69" i="9"/>
  <c r="N78" i="9"/>
  <c r="K174" i="11"/>
  <c r="N170" i="9"/>
  <c r="N169" i="9" s="1"/>
  <c r="L244" i="9"/>
  <c r="L243" i="9" s="1"/>
  <c r="N283" i="9"/>
  <c r="N281" i="9" s="1"/>
  <c r="O16" i="9"/>
  <c r="R52" i="9"/>
  <c r="P58" i="9"/>
  <c r="P57" i="9" s="1"/>
  <c r="P120" i="9"/>
  <c r="R158" i="9"/>
  <c r="V82" i="9"/>
  <c r="V104" i="9"/>
  <c r="V132" i="9"/>
  <c r="V130" i="9" s="1"/>
  <c r="U154" i="9"/>
  <c r="U153" i="9" s="1"/>
  <c r="U169" i="9"/>
  <c r="V195" i="9"/>
  <c r="V229" i="9"/>
  <c r="V226" i="9" s="1"/>
  <c r="V272" i="9"/>
  <c r="V271" i="9" s="1"/>
  <c r="BB52" i="9"/>
  <c r="BB69" i="9"/>
  <c r="U173" i="11"/>
  <c r="BA154" i="9"/>
  <c r="BA153" i="9" s="1"/>
  <c r="BA183" i="9"/>
  <c r="U137" i="11" s="1"/>
  <c r="AY209" i="9"/>
  <c r="BB246" i="9"/>
  <c r="BB245" i="9" s="1"/>
  <c r="BB289" i="9"/>
  <c r="BB288" i="9" s="1"/>
  <c r="BF162" i="9"/>
  <c r="BC184" i="9"/>
  <c r="BC183" i="9" s="1"/>
  <c r="BC182" i="9" s="1"/>
  <c r="BF191" i="9"/>
  <c r="BF252" i="9"/>
  <c r="BF251" i="9" s="1"/>
  <c r="BJ60" i="9"/>
  <c r="BJ59" i="9" s="1"/>
  <c r="BH120" i="9"/>
  <c r="BG209" i="9"/>
  <c r="BG226" i="9"/>
  <c r="BJ255" i="9"/>
  <c r="BJ272" i="9"/>
  <c r="BJ271" i="9" s="1"/>
  <c r="BJ283" i="9"/>
  <c r="BJ281" i="9" s="1"/>
  <c r="BN264" i="9"/>
  <c r="BN248" i="9"/>
  <c r="BN237" i="9"/>
  <c r="BN231" i="9"/>
  <c r="BN215" i="9"/>
  <c r="BN207" i="9"/>
  <c r="BN140" i="9"/>
  <c r="BN134" i="9"/>
  <c r="BN127" i="9"/>
  <c r="BM124" i="9"/>
  <c r="BN119" i="9"/>
  <c r="BN110" i="9"/>
  <c r="BL101" i="9"/>
  <c r="BL100" i="9" s="1"/>
  <c r="BL78" i="9"/>
  <c r="BN71" i="9"/>
  <c r="BN62" i="9"/>
  <c r="BN54" i="9"/>
  <c r="BN49" i="9"/>
  <c r="BN45" i="9"/>
  <c r="BL40" i="9"/>
  <c r="BN39" i="9"/>
  <c r="BN37" i="9" s="1"/>
  <c r="BN29" i="9"/>
  <c r="BW26" i="9"/>
  <c r="BW33" i="9"/>
  <c r="BV33" i="9"/>
  <c r="BV32" i="9" s="1"/>
  <c r="BV31" i="9" s="1"/>
  <c r="BV58" i="9"/>
  <c r="BV57" i="9" s="1"/>
  <c r="AA59" i="11" s="1"/>
  <c r="AA173" i="11"/>
  <c r="BV154" i="9"/>
  <c r="BV153" i="9" s="1"/>
  <c r="BW191" i="9"/>
  <c r="BU271" i="9"/>
  <c r="BT271" i="9"/>
  <c r="BV271" i="9"/>
  <c r="BW289" i="9"/>
  <c r="BW288" i="9" s="1"/>
  <c r="Z167" i="9"/>
  <c r="Z166" i="9" s="1"/>
  <c r="V155" i="9"/>
  <c r="BN157" i="9"/>
  <c r="BB146" i="9"/>
  <c r="BB145" i="9" s="1"/>
  <c r="R150" i="9"/>
  <c r="R145" i="9" s="1"/>
  <c r="BR150" i="9"/>
  <c r="BW150" i="9"/>
  <c r="BW145" i="9" s="1"/>
  <c r="AY145" i="9"/>
  <c r="BE145" i="9"/>
  <c r="AA21" i="11"/>
  <c r="BU16" i="9"/>
  <c r="M25" i="11"/>
  <c r="N25" i="11" s="1"/>
  <c r="M29" i="11"/>
  <c r="W22" i="11"/>
  <c r="BI16" i="9"/>
  <c r="K22" i="11"/>
  <c r="M16" i="9"/>
  <c r="M22" i="11"/>
  <c r="U16" i="9"/>
  <c r="U22" i="11"/>
  <c r="BA16" i="9"/>
  <c r="V21" i="11"/>
  <c r="BD16" i="9"/>
  <c r="W21" i="11"/>
  <c r="BH16" i="9"/>
  <c r="L226" i="9"/>
  <c r="V58" i="9"/>
  <c r="BA208" i="9"/>
  <c r="U143" i="11" s="1"/>
  <c r="BU145" i="9"/>
  <c r="J177" i="9"/>
  <c r="N37" i="9"/>
  <c r="L169" i="9"/>
  <c r="N211" i="9"/>
  <c r="M244" i="9"/>
  <c r="M243" i="9" s="1"/>
  <c r="M242" i="9" s="1"/>
  <c r="K147" i="11" s="1"/>
  <c r="N275" i="9"/>
  <c r="N272" i="9" s="1"/>
  <c r="N271" i="9" s="1"/>
  <c r="O33" i="9"/>
  <c r="O32" i="9" s="1"/>
  <c r="O31" i="9" s="1"/>
  <c r="R44" i="9"/>
  <c r="R60" i="9"/>
  <c r="R59" i="9" s="1"/>
  <c r="R177" i="9"/>
  <c r="R255" i="9"/>
  <c r="R263" i="9"/>
  <c r="S57" i="9"/>
  <c r="M57" i="11" s="1"/>
  <c r="V138" i="9"/>
  <c r="V137" i="9" s="1"/>
  <c r="BB177" i="9"/>
  <c r="BB233" i="9"/>
  <c r="BB283" i="9"/>
  <c r="BB281" i="9" s="1"/>
  <c r="BE57" i="9"/>
  <c r="V59" i="11" s="1"/>
  <c r="BF195" i="9"/>
  <c r="BF211" i="9"/>
  <c r="BF210" i="9" s="1"/>
  <c r="BF272" i="9"/>
  <c r="BF271" i="9" s="1"/>
  <c r="BF283" i="9"/>
  <c r="BF281" i="9" s="1"/>
  <c r="BJ26" i="9"/>
  <c r="BJ188" i="9"/>
  <c r="BH243" i="9"/>
  <c r="BH242" i="9" s="1"/>
  <c r="W146" i="11" s="1"/>
  <c r="BU243" i="9"/>
  <c r="BW155" i="9"/>
  <c r="BT154" i="9"/>
  <c r="BT153" i="9" s="1"/>
  <c r="U145" i="9"/>
  <c r="BO33" i="9"/>
  <c r="BO32" i="9" s="1"/>
  <c r="BO31" i="9" s="1"/>
  <c r="BO93" i="9"/>
  <c r="BO92" i="9" s="1"/>
  <c r="BO120" i="9"/>
  <c r="J195" i="9"/>
  <c r="X252" i="9"/>
  <c r="X251" i="9" s="1"/>
  <c r="BO154" i="9"/>
  <c r="BO153" i="9" s="1"/>
  <c r="X162" i="9"/>
  <c r="BZ163" i="9"/>
  <c r="N26" i="9"/>
  <c r="N34" i="9"/>
  <c r="N52" i="9"/>
  <c r="N60" i="9"/>
  <c r="N59" i="9" s="1"/>
  <c r="N58" i="9" s="1"/>
  <c r="K120" i="9"/>
  <c r="L120" i="9"/>
  <c r="N138" i="9"/>
  <c r="N137" i="9" s="1"/>
  <c r="K154" i="9"/>
  <c r="K153" i="9" s="1"/>
  <c r="M183" i="9"/>
  <c r="N185" i="9"/>
  <c r="N191" i="9"/>
  <c r="N220" i="9"/>
  <c r="N289" i="9"/>
  <c r="N288" i="9" s="1"/>
  <c r="R34" i="9"/>
  <c r="R33" i="9" s="1"/>
  <c r="Q120" i="9"/>
  <c r="R138" i="9"/>
  <c r="R137" i="9" s="1"/>
  <c r="O154" i="9"/>
  <c r="O153" i="9" s="1"/>
  <c r="R188" i="9"/>
  <c r="R195" i="9"/>
  <c r="Q244" i="9"/>
  <c r="Q243" i="9" s="1"/>
  <c r="Q242" i="9" s="1"/>
  <c r="R275" i="9"/>
  <c r="R272" i="9" s="1"/>
  <c r="R271" i="9" s="1"/>
  <c r="R283" i="9"/>
  <c r="R281" i="9" s="1"/>
  <c r="V26" i="9"/>
  <c r="S33" i="9"/>
  <c r="S32" i="9" s="1"/>
  <c r="V33" i="9"/>
  <c r="V44" i="9"/>
  <c r="V78" i="9"/>
  <c r="V121" i="9"/>
  <c r="V120" i="9" s="1"/>
  <c r="V158" i="9"/>
  <c r="V170" i="9"/>
  <c r="V169" i="9" s="1"/>
  <c r="V220" i="9"/>
  <c r="U244" i="9"/>
  <c r="U243" i="9" s="1"/>
  <c r="V255" i="9"/>
  <c r="V263" i="9"/>
  <c r="S271" i="9"/>
  <c r="V283" i="9"/>
  <c r="BB78" i="9"/>
  <c r="AY120" i="9"/>
  <c r="AY91" i="9" s="1"/>
  <c r="U62" i="11" s="1"/>
  <c r="AZ120" i="9"/>
  <c r="BB132" i="9"/>
  <c r="BB130" i="9" s="1"/>
  <c r="BB191" i="9"/>
  <c r="BB229" i="9"/>
  <c r="BB252" i="9"/>
  <c r="BB251" i="9" s="1"/>
  <c r="BB275" i="9"/>
  <c r="BB272" i="9" s="1"/>
  <c r="BB271" i="9" s="1"/>
  <c r="BF52" i="9"/>
  <c r="BD75" i="9"/>
  <c r="BD93" i="9"/>
  <c r="BD92" i="9" s="1"/>
  <c r="BD91" i="9" s="1"/>
  <c r="BF104" i="9"/>
  <c r="BD244" i="9"/>
  <c r="BD243" i="9" s="1"/>
  <c r="BF255" i="9"/>
  <c r="BF244" i="9" s="1"/>
  <c r="BH33" i="9"/>
  <c r="BH32" i="9" s="1"/>
  <c r="BH31" i="9" s="1"/>
  <c r="BJ95" i="9"/>
  <c r="BJ94" i="9" s="1"/>
  <c r="BJ138" i="9"/>
  <c r="BJ137" i="9" s="1"/>
  <c r="BG154" i="9"/>
  <c r="BG153" i="9" s="1"/>
  <c r="BH169" i="9"/>
  <c r="BJ195" i="9"/>
  <c r="BN234" i="9"/>
  <c r="BN161" i="9"/>
  <c r="BN158" i="9" s="1"/>
  <c r="BW17" i="9"/>
  <c r="BW16" i="9" s="1"/>
  <c r="BT120" i="9"/>
  <c r="BW132" i="9"/>
  <c r="BF155" i="9"/>
  <c r="BM155" i="9"/>
  <c r="N146" i="9"/>
  <c r="N145" i="9" s="1"/>
  <c r="BX149" i="9"/>
  <c r="CA149" i="9" s="1"/>
  <c r="BZ151" i="9"/>
  <c r="BF150" i="9"/>
  <c r="BF145" i="9" s="1"/>
  <c r="BA145" i="9"/>
  <c r="M257" i="15"/>
  <c r="M236" i="15" s="1"/>
  <c r="M704" i="13"/>
  <c r="I39" i="7"/>
  <c r="R33" i="7"/>
  <c r="M170" i="11"/>
  <c r="M167" i="11" s="1"/>
  <c r="T57" i="9"/>
  <c r="M58" i="11" s="1"/>
  <c r="S154" i="9"/>
  <c r="S153" i="9" s="1"/>
  <c r="W17" i="9"/>
  <c r="W16" i="9" s="1"/>
  <c r="R32" i="7"/>
  <c r="R17" i="7"/>
  <c r="X154" i="15"/>
  <c r="S67" i="13"/>
  <c r="X47" i="13"/>
  <c r="AB386" i="13"/>
  <c r="AB449" i="13"/>
  <c r="M356" i="13"/>
  <c r="M276" i="13" s="1"/>
  <c r="W356" i="13"/>
  <c r="W276" i="13" s="1"/>
  <c r="AB419" i="13"/>
  <c r="AB423" i="13"/>
  <c r="AB427" i="13"/>
  <c r="S84" i="13"/>
  <c r="S95" i="13"/>
  <c r="S99" i="13"/>
  <c r="I103" i="13"/>
  <c r="J103" i="13" s="1"/>
  <c r="BN99" i="9"/>
  <c r="M26" i="11"/>
  <c r="T16" i="9"/>
  <c r="AZ169" i="9"/>
  <c r="BB195" i="9"/>
  <c r="M50" i="15"/>
  <c r="H16" i="9"/>
  <c r="BB60" i="9"/>
  <c r="BB59" i="9" s="1"/>
  <c r="BB82" i="9"/>
  <c r="BN83" i="9"/>
  <c r="T113" i="11"/>
  <c r="S53" i="11"/>
  <c r="X54" i="13"/>
  <c r="AB1150" i="13"/>
  <c r="W485" i="13"/>
  <c r="I107" i="13"/>
  <c r="J107" i="13" s="1"/>
  <c r="AB578" i="13"/>
  <c r="AB584" i="13"/>
  <c r="X130" i="13"/>
  <c r="X140" i="13"/>
  <c r="I132" i="13"/>
  <c r="J132" i="13" s="1"/>
  <c r="O485" i="13"/>
  <c r="T485" i="13"/>
  <c r="X124" i="13"/>
  <c r="X133" i="13"/>
  <c r="X20" i="13"/>
  <c r="X129" i="13"/>
  <c r="X144" i="13"/>
  <c r="P117" i="13"/>
  <c r="X121" i="13"/>
  <c r="I127" i="13"/>
  <c r="J127" i="13" s="1"/>
  <c r="S129" i="13"/>
  <c r="X131" i="13"/>
  <c r="X136" i="13"/>
  <c r="X139" i="13"/>
  <c r="X142" i="13"/>
  <c r="X123" i="13"/>
  <c r="S127" i="13"/>
  <c r="X132" i="13"/>
  <c r="S140" i="13"/>
  <c r="AB140" i="13" s="1"/>
  <c r="X120" i="13"/>
  <c r="X125" i="13"/>
  <c r="X128" i="13"/>
  <c r="I131" i="13"/>
  <c r="J131" i="13" s="1"/>
  <c r="X135" i="13"/>
  <c r="X137" i="13"/>
  <c r="I142" i="13"/>
  <c r="J142" i="13" s="1"/>
  <c r="O276" i="13"/>
  <c r="S109" i="13"/>
  <c r="H276" i="13"/>
  <c r="S80" i="13"/>
  <c r="L276" i="13"/>
  <c r="L275" i="13" s="1"/>
  <c r="Q276" i="13"/>
  <c r="Q275" i="13" s="1"/>
  <c r="V276" i="13"/>
  <c r="V275" i="13" s="1"/>
  <c r="X91" i="13"/>
  <c r="I86" i="13"/>
  <c r="J86" i="13" s="1"/>
  <c r="N86" i="13" s="1"/>
  <c r="X87" i="13"/>
  <c r="U276" i="13"/>
  <c r="U275" i="13" s="1"/>
  <c r="X112" i="13"/>
  <c r="X105" i="13"/>
  <c r="X111" i="13"/>
  <c r="S101" i="13"/>
  <c r="S82" i="13"/>
  <c r="X89" i="13"/>
  <c r="X85" i="13"/>
  <c r="S93" i="13"/>
  <c r="I81" i="13"/>
  <c r="J81" i="13" s="1"/>
  <c r="I54" i="13"/>
  <c r="J54" i="13" s="1"/>
  <c r="N54" i="13" s="1"/>
  <c r="X74" i="13"/>
  <c r="I78" i="13"/>
  <c r="J78" i="13" s="1"/>
  <c r="X36" i="13"/>
  <c r="H74" i="1"/>
  <c r="X54" i="11"/>
  <c r="P268" i="15"/>
  <c r="P266" i="15" s="1"/>
  <c r="P265" i="15" s="1"/>
  <c r="L615" i="13"/>
  <c r="S107" i="13"/>
  <c r="S58" i="13"/>
  <c r="AZ32" i="9"/>
  <c r="U50" i="11" s="1"/>
  <c r="BB112" i="9"/>
  <c r="BN115" i="9"/>
  <c r="AZ93" i="9"/>
  <c r="AZ92" i="9" s="1"/>
  <c r="AZ91" i="9" s="1"/>
  <c r="U63" i="11" s="1"/>
  <c r="BB17" i="9"/>
  <c r="BB16" i="9" s="1"/>
  <c r="BB185" i="9"/>
  <c r="AZ58" i="9"/>
  <c r="U170" i="11" s="1"/>
  <c r="U21" i="11"/>
  <c r="AZ16" i="9"/>
  <c r="AY57" i="9"/>
  <c r="U57" i="11" s="1"/>
  <c r="U20" i="11"/>
  <c r="AY16" i="9"/>
  <c r="AB959" i="13"/>
  <c r="J275" i="9"/>
  <c r="J263" i="9"/>
  <c r="J255" i="9"/>
  <c r="X62" i="13"/>
  <c r="AB431" i="13"/>
  <c r="AB402" i="13"/>
  <c r="X51" i="13"/>
  <c r="X59" i="13"/>
  <c r="T276" i="13"/>
  <c r="AB201" i="13"/>
  <c r="X64" i="13"/>
  <c r="AB185" i="13"/>
  <c r="AB181" i="13"/>
  <c r="X24" i="13"/>
  <c r="X147" i="13"/>
  <c r="AB1155" i="13"/>
  <c r="X1130" i="13"/>
  <c r="AB1049" i="13"/>
  <c r="I1099" i="13"/>
  <c r="AB1027" i="13"/>
  <c r="X948" i="13"/>
  <c r="X947" i="13" s="1"/>
  <c r="H268" i="15"/>
  <c r="AB922" i="13"/>
  <c r="AB953" i="13"/>
  <c r="S948" i="13"/>
  <c r="S947" i="13" s="1"/>
  <c r="X841" i="13"/>
  <c r="I948" i="13"/>
  <c r="I947" i="13" s="1"/>
  <c r="I841" i="13"/>
  <c r="M37" i="15"/>
  <c r="M31" i="15"/>
  <c r="M21" i="15"/>
  <c r="M73" i="15"/>
  <c r="M102" i="15"/>
  <c r="M101" i="15"/>
  <c r="M100" i="15"/>
  <c r="M68" i="15"/>
  <c r="M93" i="15"/>
  <c r="M107" i="15"/>
  <c r="BN84" i="9"/>
  <c r="BN77" i="9"/>
  <c r="BN76" i="9" s="1"/>
  <c r="BN106" i="9"/>
  <c r="J74" i="1"/>
  <c r="U117" i="11"/>
  <c r="I281" i="15"/>
  <c r="J281" i="15" s="1"/>
  <c r="N281" i="15" s="1"/>
  <c r="Y281" i="15" s="1"/>
  <c r="I297" i="15"/>
  <c r="J297" i="15" s="1"/>
  <c r="N297" i="15" s="1"/>
  <c r="I303" i="15"/>
  <c r="J303" i="15" s="1"/>
  <c r="N303" i="15" s="1"/>
  <c r="Q31" i="11"/>
  <c r="N127" i="11"/>
  <c r="Y127" i="11" s="1"/>
  <c r="M121" i="11"/>
  <c r="R121" i="11"/>
  <c r="X124" i="11"/>
  <c r="X130" i="11"/>
  <c r="W121" i="11"/>
  <c r="M113" i="11"/>
  <c r="O113" i="11"/>
  <c r="R117" i="11"/>
  <c r="AA24" i="11"/>
  <c r="AA113" i="11"/>
  <c r="BN48" i="9"/>
  <c r="BN18" i="9"/>
  <c r="BN164" i="9"/>
  <c r="BN105" i="9"/>
  <c r="X275" i="9"/>
  <c r="X272" i="9" s="1"/>
  <c r="X271" i="9" s="1"/>
  <c r="Z277" i="9"/>
  <c r="X263" i="9"/>
  <c r="X246" i="9"/>
  <c r="X245" i="9" s="1"/>
  <c r="J211" i="9"/>
  <c r="J210" i="9" s="1"/>
  <c r="G113" i="11"/>
  <c r="X170" i="9"/>
  <c r="S55" i="11"/>
  <c r="AA117" i="11"/>
  <c r="W72" i="11"/>
  <c r="W88" i="11" s="1"/>
  <c r="W87" i="11" s="1"/>
  <c r="V31" i="11"/>
  <c r="S59" i="11"/>
  <c r="M72" i="11"/>
  <c r="M88" i="11" s="1"/>
  <c r="M87" i="11" s="1"/>
  <c r="R72" i="11"/>
  <c r="R88" i="11" s="1"/>
  <c r="R87" i="11" s="1"/>
  <c r="K262" i="15"/>
  <c r="N262" i="15" s="1"/>
  <c r="S54" i="11"/>
  <c r="X55" i="11"/>
  <c r="W117" i="11"/>
  <c r="G72" i="11"/>
  <c r="G88" i="11" s="1"/>
  <c r="G87" i="11" s="1"/>
  <c r="K263" i="15"/>
  <c r="N263" i="15" s="1"/>
  <c r="Y263" i="15" s="1"/>
  <c r="K258" i="15"/>
  <c r="N258" i="15" s="1"/>
  <c r="Y258" i="15" s="1"/>
  <c r="K24" i="11"/>
  <c r="G121" i="11"/>
  <c r="I354" i="15"/>
  <c r="J354" i="15" s="1"/>
  <c r="N354" i="15" s="1"/>
  <c r="I370" i="15"/>
  <c r="J370" i="15" s="1"/>
  <c r="N370" i="15" s="1"/>
  <c r="K257" i="15"/>
  <c r="S173" i="11"/>
  <c r="X119" i="11"/>
  <c r="X140" i="11"/>
  <c r="X126" i="11"/>
  <c r="I104" i="13"/>
  <c r="J104" i="13" s="1"/>
  <c r="I76" i="13"/>
  <c r="J76" i="13" s="1"/>
  <c r="N76" i="13" s="1"/>
  <c r="I99" i="13"/>
  <c r="J99" i="13" s="1"/>
  <c r="I49" i="13"/>
  <c r="J49" i="13" s="1"/>
  <c r="N49" i="13" s="1"/>
  <c r="I93" i="13"/>
  <c r="J93" i="13" s="1"/>
  <c r="I70" i="13"/>
  <c r="J70" i="13" s="1"/>
  <c r="I89" i="13"/>
  <c r="J89" i="13" s="1"/>
  <c r="I85" i="13"/>
  <c r="J85" i="13" s="1"/>
  <c r="I64" i="13"/>
  <c r="J64" i="13" s="1"/>
  <c r="N64" i="13" s="1"/>
  <c r="I112" i="13"/>
  <c r="J112" i="13" s="1"/>
  <c r="X39" i="13"/>
  <c r="X44" i="13"/>
  <c r="T20" i="11"/>
  <c r="AU16" i="9"/>
  <c r="BN280" i="9"/>
  <c r="BN279" i="9" s="1"/>
  <c r="BN267" i="9"/>
  <c r="BN218" i="9"/>
  <c r="BN186" i="9"/>
  <c r="BN171" i="9"/>
  <c r="BL95" i="9"/>
  <c r="BL94" i="9" s="1"/>
  <c r="BN90" i="9"/>
  <c r="BN89" i="9" s="1"/>
  <c r="BN66" i="9"/>
  <c r="BM26" i="9"/>
  <c r="BY156" i="9"/>
  <c r="BY155" i="9" s="1"/>
  <c r="BN156" i="9"/>
  <c r="X123" i="11"/>
  <c r="X129" i="11"/>
  <c r="BN270" i="9"/>
  <c r="BL146" i="9"/>
  <c r="T22" i="11"/>
  <c r="AW16" i="9"/>
  <c r="BN256" i="9"/>
  <c r="BM229" i="9"/>
  <c r="BN173" i="9"/>
  <c r="BQ155" i="9"/>
  <c r="BN147" i="9"/>
  <c r="BN148" i="9"/>
  <c r="BN151" i="9"/>
  <c r="T21" i="11"/>
  <c r="AV16" i="9"/>
  <c r="Q24" i="11"/>
  <c r="BN198" i="9"/>
  <c r="BY148" i="9"/>
  <c r="BY146" i="9" s="1"/>
  <c r="O20" i="11"/>
  <c r="AA16" i="9"/>
  <c r="AA15" i="9" s="1"/>
  <c r="AA14" i="9" s="1"/>
  <c r="AA296" i="9" s="1"/>
  <c r="P22" i="11"/>
  <c r="AG16" i="9"/>
  <c r="Q22" i="11"/>
  <c r="AK16" i="9"/>
  <c r="BQ172" i="9"/>
  <c r="BR173" i="9"/>
  <c r="BR186" i="9"/>
  <c r="BR189" i="9"/>
  <c r="BP204" i="9"/>
  <c r="BP164" i="9"/>
  <c r="BY151" i="9"/>
  <c r="P21" i="11"/>
  <c r="AF16" i="9"/>
  <c r="AF15" i="9" s="1"/>
  <c r="AF14" i="9" s="1"/>
  <c r="Q21" i="11"/>
  <c r="AJ16" i="9"/>
  <c r="AJ15" i="9" s="1"/>
  <c r="AJ14" i="9" s="1"/>
  <c r="R22" i="11"/>
  <c r="AO16" i="9"/>
  <c r="BR103" i="9"/>
  <c r="BR108" i="9"/>
  <c r="BR119" i="9"/>
  <c r="BP172" i="9"/>
  <c r="BR174" i="9"/>
  <c r="BP176" i="9"/>
  <c r="BP175" i="9" s="1"/>
  <c r="BP178" i="9"/>
  <c r="BR235" i="9"/>
  <c r="BP237" i="9"/>
  <c r="BR254" i="9"/>
  <c r="BR257" i="9"/>
  <c r="BP259" i="9"/>
  <c r="BP264" i="9"/>
  <c r="BP268" i="9"/>
  <c r="BR284" i="9"/>
  <c r="BQ287" i="9"/>
  <c r="BR293" i="9"/>
  <c r="BS293" i="9" s="1"/>
  <c r="BQ160" i="9"/>
  <c r="BR161" i="9"/>
  <c r="O22" i="11"/>
  <c r="AC16" i="9"/>
  <c r="AC15" i="9" s="1"/>
  <c r="AC14" i="9" s="1"/>
  <c r="P20" i="11"/>
  <c r="AE16" i="9"/>
  <c r="Q20" i="11"/>
  <c r="AI16" i="9"/>
  <c r="R21" i="11"/>
  <c r="AN16" i="9"/>
  <c r="BQ187" i="9"/>
  <c r="BP216" i="9"/>
  <c r="BR231" i="9"/>
  <c r="O21" i="11"/>
  <c r="O68" i="11" s="1"/>
  <c r="O106" i="11" s="1"/>
  <c r="AB16" i="9"/>
  <c r="AB15" i="9" s="1"/>
  <c r="AB14" i="9" s="1"/>
  <c r="R20" i="11"/>
  <c r="AM16" i="9"/>
  <c r="BR65" i="9"/>
  <c r="BR111" i="9"/>
  <c r="BR114" i="9"/>
  <c r="BR126" i="9"/>
  <c r="BR133" i="9"/>
  <c r="BR222" i="9"/>
  <c r="BQ225" i="9"/>
  <c r="BQ267" i="9"/>
  <c r="BP276" i="9"/>
  <c r="BQ277" i="9"/>
  <c r="S147" i="13"/>
  <c r="AB310" i="13"/>
  <c r="Z315" i="13"/>
  <c r="S20" i="13"/>
  <c r="S24" i="13"/>
  <c r="S29" i="13"/>
  <c r="X35" i="13"/>
  <c r="S51" i="13"/>
  <c r="X56" i="13"/>
  <c r="S59" i="13"/>
  <c r="S62" i="13"/>
  <c r="S64" i="13"/>
  <c r="X69" i="13"/>
  <c r="X71" i="13"/>
  <c r="S74" i="13"/>
  <c r="S77" i="13"/>
  <c r="X78" i="13"/>
  <c r="X81" i="13"/>
  <c r="X83" i="13"/>
  <c r="S85" i="13"/>
  <c r="S87" i="13"/>
  <c r="S89" i="13"/>
  <c r="AB89" i="13" s="1"/>
  <c r="S91" i="13"/>
  <c r="X94" i="13"/>
  <c r="X97" i="13"/>
  <c r="X100" i="13"/>
  <c r="X103" i="13"/>
  <c r="S105" i="13"/>
  <c r="X108" i="13"/>
  <c r="X110" i="13"/>
  <c r="S112" i="13"/>
  <c r="S121" i="13"/>
  <c r="S124" i="13"/>
  <c r="S132" i="13"/>
  <c r="S135" i="13"/>
  <c r="S142" i="13"/>
  <c r="I35" i="13"/>
  <c r="I61" i="13"/>
  <c r="J61" i="13" s="1"/>
  <c r="N61" i="13" s="1"/>
  <c r="I71" i="13"/>
  <c r="J71" i="13" s="1"/>
  <c r="I82" i="13"/>
  <c r="J82" i="13" s="1"/>
  <c r="I94" i="13"/>
  <c r="J94" i="13" s="1"/>
  <c r="I108" i="13"/>
  <c r="J108" i="13" s="1"/>
  <c r="AB851" i="13"/>
  <c r="AB861" i="13"/>
  <c r="AB871" i="13"/>
  <c r="AB929" i="13"/>
  <c r="AB443" i="13"/>
  <c r="AB447" i="13"/>
  <c r="AB451" i="13"/>
  <c r="AB476" i="13"/>
  <c r="AB483" i="13"/>
  <c r="AB493" i="13"/>
  <c r="AB499" i="13"/>
  <c r="AB505" i="13"/>
  <c r="AB521" i="13"/>
  <c r="AB525" i="13"/>
  <c r="AB531" i="13"/>
  <c r="AB536" i="13"/>
  <c r="AB541" i="13"/>
  <c r="AB547" i="13"/>
  <c r="AB552" i="13"/>
  <c r="AB556" i="13"/>
  <c r="AB560" i="13"/>
  <c r="AB564" i="13"/>
  <c r="AB570" i="13"/>
  <c r="AB1085" i="13"/>
  <c r="AB1089" i="13"/>
  <c r="AB1105" i="13"/>
  <c r="AB1114" i="13"/>
  <c r="AB1119" i="13"/>
  <c r="AB1126" i="13"/>
  <c r="AB1137" i="13"/>
  <c r="AB1147" i="13"/>
  <c r="AB1152" i="13"/>
  <c r="AB1158" i="13"/>
  <c r="AB1211" i="13"/>
  <c r="AB1220" i="13"/>
  <c r="X23" i="13"/>
  <c r="X28" i="13"/>
  <c r="X31" i="13"/>
  <c r="X37" i="13"/>
  <c r="X45" i="13"/>
  <c r="X49" i="13"/>
  <c r="X53" i="13"/>
  <c r="X55" i="13"/>
  <c r="X61" i="13"/>
  <c r="X63" i="13"/>
  <c r="X65" i="13"/>
  <c r="S69" i="13"/>
  <c r="AB69" i="13" s="1"/>
  <c r="S71" i="13"/>
  <c r="AB71" i="13" s="1"/>
  <c r="X72" i="13"/>
  <c r="X76" i="13"/>
  <c r="S78" i="13"/>
  <c r="AB78" i="13" s="1"/>
  <c r="S81" i="13"/>
  <c r="S83" i="13"/>
  <c r="AB83" i="13" s="1"/>
  <c r="X86" i="13"/>
  <c r="X88" i="13"/>
  <c r="X90" i="13"/>
  <c r="X92" i="13"/>
  <c r="S94" i="13"/>
  <c r="AB94" i="13" s="1"/>
  <c r="S97" i="13"/>
  <c r="AB97" i="13" s="1"/>
  <c r="S100" i="13"/>
  <c r="AB100" i="13" s="1"/>
  <c r="S103" i="13"/>
  <c r="AB103" i="13" s="1"/>
  <c r="X104" i="13"/>
  <c r="X106" i="13"/>
  <c r="S108" i="13"/>
  <c r="S110" i="13"/>
  <c r="S128" i="13"/>
  <c r="S130" i="13"/>
  <c r="S139" i="13"/>
  <c r="I55" i="13"/>
  <c r="J55" i="13" s="1"/>
  <c r="N55" i="13" s="1"/>
  <c r="I90" i="13"/>
  <c r="J90" i="13" s="1"/>
  <c r="X381" i="13"/>
  <c r="AB390" i="13"/>
  <c r="AB394" i="13"/>
  <c r="AB400" i="13"/>
  <c r="AB404" i="13"/>
  <c r="AB410" i="13"/>
  <c r="AB416" i="13"/>
  <c r="AB421" i="13"/>
  <c r="AB425" i="13"/>
  <c r="AB429" i="13"/>
  <c r="AB433" i="13"/>
  <c r="AB439" i="13"/>
  <c r="AB576" i="13"/>
  <c r="AB580" i="13"/>
  <c r="S586" i="13"/>
  <c r="AB592" i="13"/>
  <c r="AB597" i="13"/>
  <c r="AB601" i="13"/>
  <c r="AB606" i="13"/>
  <c r="AB613" i="13"/>
  <c r="AB1081" i="13"/>
  <c r="X22" i="13"/>
  <c r="X25" i="13"/>
  <c r="X30" i="13"/>
  <c r="S37" i="13"/>
  <c r="X52" i="13"/>
  <c r="S55" i="13"/>
  <c r="X58" i="13"/>
  <c r="S61" i="13"/>
  <c r="S63" i="13"/>
  <c r="S65" i="13"/>
  <c r="X67" i="13"/>
  <c r="X70" i="13"/>
  <c r="S72" i="13"/>
  <c r="S76" i="13"/>
  <c r="X80" i="13"/>
  <c r="X82" i="13"/>
  <c r="X84" i="13"/>
  <c r="S86" i="13"/>
  <c r="S88" i="13"/>
  <c r="S90" i="13"/>
  <c r="S92" i="13"/>
  <c r="X93" i="13"/>
  <c r="X95" i="13"/>
  <c r="X99" i="13"/>
  <c r="X101" i="13"/>
  <c r="S104" i="13"/>
  <c r="S106" i="13"/>
  <c r="X107" i="13"/>
  <c r="X109" i="13"/>
  <c r="S111" i="13"/>
  <c r="S120" i="13"/>
  <c r="S123" i="13"/>
  <c r="S125" i="13"/>
  <c r="S131" i="13"/>
  <c r="S133" i="13"/>
  <c r="S136" i="13"/>
  <c r="S144" i="13"/>
  <c r="I28" i="13"/>
  <c r="J28" i="13" s="1"/>
  <c r="I51" i="13"/>
  <c r="J51" i="13" s="1"/>
  <c r="I65" i="13"/>
  <c r="I77" i="13"/>
  <c r="J77" i="13" s="1"/>
  <c r="I100" i="13"/>
  <c r="J100" i="13" s="1"/>
  <c r="N100" i="13" s="1"/>
  <c r="I350" i="15"/>
  <c r="J350" i="15" s="1"/>
  <c r="N350" i="15" s="1"/>
  <c r="AB445" i="13"/>
  <c r="AB459" i="13"/>
  <c r="AB464" i="13"/>
  <c r="AB469" i="13"/>
  <c r="AB474" i="13"/>
  <c r="AB479" i="13"/>
  <c r="AB518" i="13"/>
  <c r="AB523" i="13"/>
  <c r="AB528" i="13"/>
  <c r="AB533" i="13"/>
  <c r="AB539" i="13"/>
  <c r="AB545" i="13"/>
  <c r="AB550" i="13"/>
  <c r="AB554" i="13"/>
  <c r="AB558" i="13"/>
  <c r="AB562" i="13"/>
  <c r="AB568" i="13"/>
  <c r="AB572" i="13"/>
  <c r="AB1142" i="13"/>
  <c r="G703" i="13"/>
  <c r="X487" i="13"/>
  <c r="AB514" i="13"/>
  <c r="AB1097" i="13"/>
  <c r="I99" i="11"/>
  <c r="I102" i="11" s="1"/>
  <c r="I101" i="11" s="1"/>
  <c r="Y211" i="9"/>
  <c r="Y210" i="9" s="1"/>
  <c r="J272" i="9"/>
  <c r="J271" i="9" s="1"/>
  <c r="I25" i="15"/>
  <c r="J25" i="15" s="1"/>
  <c r="N25" i="15" s="1"/>
  <c r="I31" i="15"/>
  <c r="J31" i="15" s="1"/>
  <c r="M266" i="15"/>
  <c r="M265" i="15" s="1"/>
  <c r="I356" i="15"/>
  <c r="J356" i="15" s="1"/>
  <c r="N356" i="15" s="1"/>
  <c r="H118" i="15"/>
  <c r="I131" i="15"/>
  <c r="J131" i="15" s="1"/>
  <c r="N131" i="15" s="1"/>
  <c r="L118" i="15"/>
  <c r="S24" i="15"/>
  <c r="S25" i="15"/>
  <c r="S26" i="15"/>
  <c r="S29" i="15"/>
  <c r="S30" i="15"/>
  <c r="S31" i="15"/>
  <c r="S36" i="15"/>
  <c r="S37" i="15"/>
  <c r="S38" i="15"/>
  <c r="S46" i="15"/>
  <c r="S48" i="15"/>
  <c r="S50" i="15"/>
  <c r="S52" i="15"/>
  <c r="S53" i="15"/>
  <c r="S54" i="15"/>
  <c r="S55" i="15"/>
  <c r="S56" i="15"/>
  <c r="S57" i="15"/>
  <c r="S59" i="15"/>
  <c r="S60" i="15"/>
  <c r="S62" i="15"/>
  <c r="S63" i="15"/>
  <c r="S64" i="15"/>
  <c r="S65" i="15"/>
  <c r="S66" i="15"/>
  <c r="S68" i="15"/>
  <c r="S70" i="15"/>
  <c r="S71" i="15"/>
  <c r="S72" i="15"/>
  <c r="S73" i="15"/>
  <c r="S75" i="15"/>
  <c r="S77" i="15"/>
  <c r="S78" i="15"/>
  <c r="S79" i="15"/>
  <c r="S81" i="15"/>
  <c r="S82" i="15"/>
  <c r="S83" i="15"/>
  <c r="S84" i="15"/>
  <c r="S85" i="15"/>
  <c r="S86" i="15"/>
  <c r="S87" i="15"/>
  <c r="S88" i="15"/>
  <c r="S89" i="15"/>
  <c r="S90" i="15"/>
  <c r="S91" i="15"/>
  <c r="S92" i="15"/>
  <c r="S93" i="15"/>
  <c r="S94" i="15"/>
  <c r="S95" i="15"/>
  <c r="S96" i="15"/>
  <c r="S98" i="15"/>
  <c r="S100" i="15"/>
  <c r="S101" i="15"/>
  <c r="S102" i="15"/>
  <c r="S104" i="15"/>
  <c r="S105" i="15"/>
  <c r="S106" i="15"/>
  <c r="S107" i="15"/>
  <c r="S108" i="15"/>
  <c r="S109" i="15"/>
  <c r="S110" i="15"/>
  <c r="S111" i="15"/>
  <c r="S112" i="15"/>
  <c r="S113" i="15"/>
  <c r="S122" i="15"/>
  <c r="S124" i="15"/>
  <c r="S125" i="15"/>
  <c r="S126" i="15"/>
  <c r="S128" i="15"/>
  <c r="S129" i="15"/>
  <c r="S130" i="15"/>
  <c r="S131" i="15"/>
  <c r="S132" i="15"/>
  <c r="S133" i="15"/>
  <c r="S134" i="15"/>
  <c r="S136" i="15"/>
  <c r="S137" i="15"/>
  <c r="S138" i="15"/>
  <c r="S140" i="15"/>
  <c r="S141" i="15"/>
  <c r="S143" i="15"/>
  <c r="S145" i="15"/>
  <c r="X23" i="15"/>
  <c r="X24" i="15"/>
  <c r="X25" i="15"/>
  <c r="X26" i="15"/>
  <c r="X29" i="15"/>
  <c r="X30" i="15"/>
  <c r="X31" i="15"/>
  <c r="X32" i="15"/>
  <c r="X36" i="15"/>
  <c r="X37" i="15"/>
  <c r="X38" i="15"/>
  <c r="X46" i="15"/>
  <c r="X48" i="15"/>
  <c r="X50" i="15"/>
  <c r="X52" i="15"/>
  <c r="X53" i="15"/>
  <c r="X54" i="15"/>
  <c r="X55" i="15"/>
  <c r="X56" i="15"/>
  <c r="X57" i="15"/>
  <c r="X59" i="15"/>
  <c r="X60" i="15"/>
  <c r="X62" i="15"/>
  <c r="X63" i="15"/>
  <c r="X64" i="15"/>
  <c r="X65" i="15"/>
  <c r="X66" i="15"/>
  <c r="X68" i="15"/>
  <c r="X70" i="15"/>
  <c r="X71" i="15"/>
  <c r="X72" i="15"/>
  <c r="X73" i="15"/>
  <c r="X75" i="15"/>
  <c r="X77" i="15"/>
  <c r="X78" i="15"/>
  <c r="X79" i="15"/>
  <c r="X81" i="15"/>
  <c r="I273" i="15"/>
  <c r="J273" i="15" s="1"/>
  <c r="N273" i="15" s="1"/>
  <c r="I300" i="15"/>
  <c r="J300" i="15" s="1"/>
  <c r="N300" i="15" s="1"/>
  <c r="I332" i="15"/>
  <c r="J332" i="15" s="1"/>
  <c r="N332" i="15" s="1"/>
  <c r="I336" i="15"/>
  <c r="J336" i="15" s="1"/>
  <c r="N336" i="15" s="1"/>
  <c r="V118" i="15"/>
  <c r="H615" i="13"/>
  <c r="S156" i="15"/>
  <c r="X1205" i="13"/>
  <c r="AB1212" i="13"/>
  <c r="J149" i="13"/>
  <c r="I147" i="13"/>
  <c r="AB964" i="13"/>
  <c r="AB969" i="13"/>
  <c r="X357" i="13"/>
  <c r="AB478" i="13"/>
  <c r="S487" i="13"/>
  <c r="AB596" i="13"/>
  <c r="AB600" i="13"/>
  <c r="AB605" i="13"/>
  <c r="AB611" i="13"/>
  <c r="AB1029" i="13"/>
  <c r="AB1035" i="13"/>
  <c r="AB1040" i="13"/>
  <c r="AB1045" i="13"/>
  <c r="AB1051" i="13"/>
  <c r="AB1056" i="13"/>
  <c r="AB1062" i="13"/>
  <c r="AB1066" i="13"/>
  <c r="AB1070" i="13"/>
  <c r="AB1074" i="13"/>
  <c r="AB1113" i="13"/>
  <c r="S357" i="13"/>
  <c r="I487" i="13"/>
  <c r="X511" i="13"/>
  <c r="AB1031" i="13"/>
  <c r="AB1036" i="13"/>
  <c r="AB1041" i="13"/>
  <c r="AB1164" i="13"/>
  <c r="J359" i="13"/>
  <c r="N359" i="13" s="1"/>
  <c r="I357" i="13"/>
  <c r="AB361" i="13"/>
  <c r="AB367" i="13"/>
  <c r="AB372" i="13"/>
  <c r="AB378" i="13"/>
  <c r="AB475" i="13"/>
  <c r="AB481" i="13"/>
  <c r="X1099" i="13"/>
  <c r="AB1111" i="13"/>
  <c r="AB1115" i="13"/>
  <c r="AB1121" i="13"/>
  <c r="AB1139" i="13"/>
  <c r="AB1153" i="13"/>
  <c r="S350" i="15"/>
  <c r="X82" i="15"/>
  <c r="X83" i="15"/>
  <c r="X84" i="15"/>
  <c r="X85" i="15"/>
  <c r="X86" i="15"/>
  <c r="X87" i="15"/>
  <c r="S290" i="15"/>
  <c r="X290" i="15"/>
  <c r="S291" i="15"/>
  <c r="X291" i="15"/>
  <c r="S293" i="15"/>
  <c r="X293" i="15"/>
  <c r="S295" i="15"/>
  <c r="X295" i="15"/>
  <c r="S296" i="15"/>
  <c r="X296" i="15"/>
  <c r="S297" i="15"/>
  <c r="X297" i="15"/>
  <c r="S298" i="15"/>
  <c r="X298" i="15"/>
  <c r="S300" i="15"/>
  <c r="X300" i="15"/>
  <c r="S302" i="15"/>
  <c r="X302" i="15"/>
  <c r="S303" i="15"/>
  <c r="X303" i="15"/>
  <c r="S304" i="15"/>
  <c r="X304" i="15"/>
  <c r="S306" i="15"/>
  <c r="X306" i="15"/>
  <c r="S307" i="15"/>
  <c r="X307" i="15"/>
  <c r="S308" i="15"/>
  <c r="X308" i="15"/>
  <c r="S309" i="15"/>
  <c r="X309" i="15"/>
  <c r="S310" i="15"/>
  <c r="X310" i="15"/>
  <c r="S311" i="15"/>
  <c r="X311" i="15"/>
  <c r="S312" i="15"/>
  <c r="X312" i="15"/>
  <c r="S313" i="15"/>
  <c r="X313" i="15"/>
  <c r="S314" i="15"/>
  <c r="X314" i="15"/>
  <c r="S315" i="15"/>
  <c r="X315" i="15"/>
  <c r="S316" i="15"/>
  <c r="X316" i="15"/>
  <c r="X317" i="15"/>
  <c r="S318" i="15"/>
  <c r="X318" i="15"/>
  <c r="S319" i="15"/>
  <c r="X319" i="15"/>
  <c r="S320" i="15"/>
  <c r="X320" i="15"/>
  <c r="S321" i="15"/>
  <c r="X321" i="15"/>
  <c r="S323" i="15"/>
  <c r="X323" i="15"/>
  <c r="S325" i="15"/>
  <c r="X325" i="15"/>
  <c r="S326" i="15"/>
  <c r="X326" i="15"/>
  <c r="S327" i="15"/>
  <c r="X327" i="15"/>
  <c r="S329" i="15"/>
  <c r="X329" i="15"/>
  <c r="S330" i="15"/>
  <c r="X330" i="15"/>
  <c r="S331" i="15"/>
  <c r="X331" i="15"/>
  <c r="S332" i="15"/>
  <c r="X332" i="15"/>
  <c r="S333" i="15"/>
  <c r="X333" i="15"/>
  <c r="S334" i="15"/>
  <c r="X334" i="15"/>
  <c r="S335" i="15"/>
  <c r="X335" i="15"/>
  <c r="S336" i="15"/>
  <c r="X336" i="15"/>
  <c r="S337" i="15"/>
  <c r="X337" i="15"/>
  <c r="H23" i="15"/>
  <c r="H19" i="15" s="1"/>
  <c r="H18" i="13"/>
  <c r="P40" i="15"/>
  <c r="P19" i="15" s="1"/>
  <c r="P18" i="13"/>
  <c r="U40" i="15"/>
  <c r="U19" i="15" s="1"/>
  <c r="U18" i="13"/>
  <c r="M40" i="15"/>
  <c r="M18" i="13"/>
  <c r="O40" i="15"/>
  <c r="O18" i="13"/>
  <c r="T40" i="15"/>
  <c r="T19" i="15" s="1"/>
  <c r="T18" i="13"/>
  <c r="L40" i="15"/>
  <c r="L19" i="15" s="1"/>
  <c r="L18" i="13"/>
  <c r="R40" i="15"/>
  <c r="R18" i="13"/>
  <c r="W40" i="15"/>
  <c r="W19" i="15" s="1"/>
  <c r="W18" i="13"/>
  <c r="G40" i="15"/>
  <c r="I40" i="15" s="1"/>
  <c r="G18" i="13"/>
  <c r="K40" i="15"/>
  <c r="K18" i="13"/>
  <c r="Q40" i="15"/>
  <c r="Q19" i="15" s="1"/>
  <c r="Q18" i="13"/>
  <c r="V40" i="15"/>
  <c r="V19" i="15" s="1"/>
  <c r="V18" i="13"/>
  <c r="K45" i="15"/>
  <c r="K42" i="13"/>
  <c r="P45" i="15"/>
  <c r="P43" i="15" s="1"/>
  <c r="P42" i="13"/>
  <c r="U45" i="15"/>
  <c r="U43" i="15" s="1"/>
  <c r="U42" i="13"/>
  <c r="AB316" i="13"/>
  <c r="I130" i="13"/>
  <c r="J130" i="13" s="1"/>
  <c r="X350" i="15"/>
  <c r="S351" i="15"/>
  <c r="X351" i="15"/>
  <c r="S359" i="15"/>
  <c r="X359" i="15"/>
  <c r="S361" i="15"/>
  <c r="X361" i="15"/>
  <c r="S368" i="15"/>
  <c r="X368" i="15"/>
  <c r="AB1017" i="13"/>
  <c r="AB359" i="13"/>
  <c r="AB364" i="13"/>
  <c r="AB370" i="13"/>
  <c r="AB376" i="13"/>
  <c r="AB460" i="13"/>
  <c r="AB466" i="13"/>
  <c r="AB470" i="13"/>
  <c r="AB489" i="13"/>
  <c r="AB494" i="13"/>
  <c r="AB500" i="13"/>
  <c r="AB506" i="13"/>
  <c r="AB516" i="13"/>
  <c r="AB522" i="13"/>
  <c r="AB527" i="13"/>
  <c r="AB532" i="13"/>
  <c r="AB538" i="13"/>
  <c r="AB543" i="13"/>
  <c r="AB549" i="13"/>
  <c r="AB553" i="13"/>
  <c r="AB557" i="13"/>
  <c r="AB561" i="13"/>
  <c r="AB566" i="13"/>
  <c r="AB575" i="13"/>
  <c r="AB579" i="13"/>
  <c r="AB590" i="13"/>
  <c r="AB1079" i="13"/>
  <c r="AB1088" i="13"/>
  <c r="AB1092" i="13"/>
  <c r="AB1103" i="13"/>
  <c r="AB1109" i="13"/>
  <c r="AB1118" i="13"/>
  <c r="AB1124" i="13"/>
  <c r="AB1135" i="13"/>
  <c r="AB1141" i="13"/>
  <c r="AB1146" i="13"/>
  <c r="AB1151" i="13"/>
  <c r="AB1157" i="13"/>
  <c r="AB1162" i="13"/>
  <c r="G840" i="13"/>
  <c r="O45" i="15"/>
  <c r="O43" i="15" s="1"/>
  <c r="O42" i="13"/>
  <c r="T45" i="15"/>
  <c r="T43" i="15" s="1"/>
  <c r="T42" i="13"/>
  <c r="G45" i="15"/>
  <c r="G43" i="15" s="1"/>
  <c r="G42" i="13"/>
  <c r="AB1046" i="13"/>
  <c r="AB1052" i="13"/>
  <c r="AB1058" i="13"/>
  <c r="AB1063" i="13"/>
  <c r="AB1067" i="13"/>
  <c r="AB1071" i="13"/>
  <c r="AB1075" i="13"/>
  <c r="AB1093" i="13"/>
  <c r="AB1110" i="13"/>
  <c r="M45" i="15"/>
  <c r="M42" i="13"/>
  <c r="R45" i="15"/>
  <c r="R43" i="15" s="1"/>
  <c r="R42" i="13"/>
  <c r="W45" i="15"/>
  <c r="W43" i="15" s="1"/>
  <c r="W42" i="13"/>
  <c r="AB151" i="13"/>
  <c r="AB236" i="13"/>
  <c r="AB250" i="13"/>
  <c r="AB886" i="13"/>
  <c r="Z889" i="13"/>
  <c r="AB890" i="13"/>
  <c r="AB362" i="13"/>
  <c r="AB368" i="13"/>
  <c r="AB374" i="13"/>
  <c r="AB384" i="13"/>
  <c r="AB391" i="13"/>
  <c r="AB395" i="13"/>
  <c r="AB401" i="13"/>
  <c r="AB406" i="13"/>
  <c r="AB411" i="13"/>
  <c r="AB422" i="13"/>
  <c r="AB426" i="13"/>
  <c r="AB430" i="13"/>
  <c r="AB434" i="13"/>
  <c r="AB440" i="13"/>
  <c r="AB444" i="13"/>
  <c r="AB448" i="13"/>
  <c r="AB454" i="13"/>
  <c r="AB463" i="13"/>
  <c r="AB468" i="13"/>
  <c r="AB472" i="13"/>
  <c r="AB492" i="13"/>
  <c r="AB498" i="13"/>
  <c r="AB504" i="13"/>
  <c r="AB1106" i="13"/>
  <c r="AB1132" i="13"/>
  <c r="AB1143" i="13"/>
  <c r="AB1149" i="13"/>
  <c r="AB1159" i="13"/>
  <c r="AB1165" i="13"/>
  <c r="AB1216" i="13"/>
  <c r="AB1225" i="13"/>
  <c r="AB1232" i="13"/>
  <c r="G615" i="13"/>
  <c r="G1023" i="13"/>
  <c r="G946" i="13" s="1"/>
  <c r="H45" i="15"/>
  <c r="H43" i="15" s="1"/>
  <c r="H42" i="13"/>
  <c r="L45" i="15"/>
  <c r="L43" i="15" s="1"/>
  <c r="L42" i="13"/>
  <c r="Q45" i="15"/>
  <c r="Q43" i="15" s="1"/>
  <c r="Q42" i="13"/>
  <c r="V45" i="15"/>
  <c r="V43" i="15" s="1"/>
  <c r="V42" i="13"/>
  <c r="I88" i="13"/>
  <c r="J88" i="13" s="1"/>
  <c r="AB846" i="13"/>
  <c r="AB873" i="13"/>
  <c r="AB1160" i="13"/>
  <c r="AB1217" i="13"/>
  <c r="AB1221" i="13"/>
  <c r="AB1227" i="13"/>
  <c r="I25" i="13"/>
  <c r="I37" i="13"/>
  <c r="I69" i="13"/>
  <c r="J69" i="13" s="1"/>
  <c r="I80" i="13"/>
  <c r="I92" i="13"/>
  <c r="J92" i="13" s="1"/>
  <c r="N92" i="13" s="1"/>
  <c r="I120" i="13"/>
  <c r="J120" i="13" s="1"/>
  <c r="N120" i="13" s="1"/>
  <c r="I135" i="13"/>
  <c r="J135" i="13" s="1"/>
  <c r="M118" i="15"/>
  <c r="S21" i="15"/>
  <c r="S121" i="15"/>
  <c r="O118" i="15"/>
  <c r="AB162" i="13"/>
  <c r="AB168" i="13"/>
  <c r="K21" i="15"/>
  <c r="S22" i="13"/>
  <c r="R23" i="15"/>
  <c r="S23" i="15" s="1"/>
  <c r="I31" i="13"/>
  <c r="J31" i="13" s="1"/>
  <c r="I53" i="13"/>
  <c r="J53" i="13" s="1"/>
  <c r="I74" i="13"/>
  <c r="J74" i="13" s="1"/>
  <c r="I97" i="13"/>
  <c r="J97" i="13" s="1"/>
  <c r="I110" i="13"/>
  <c r="J110" i="13" s="1"/>
  <c r="I140" i="13"/>
  <c r="J140" i="13" s="1"/>
  <c r="I20" i="13"/>
  <c r="J20" i="13" s="1"/>
  <c r="N20" i="13" s="1"/>
  <c r="K118" i="15"/>
  <c r="AB165" i="13"/>
  <c r="AB325" i="13"/>
  <c r="I58" i="13"/>
  <c r="I84" i="13"/>
  <c r="J84" i="13" s="1"/>
  <c r="I125" i="13"/>
  <c r="J125" i="13" s="1"/>
  <c r="I63" i="13"/>
  <c r="J63" i="13" s="1"/>
  <c r="I106" i="13"/>
  <c r="J106" i="13" s="1"/>
  <c r="N106" i="13" s="1"/>
  <c r="S270" i="15"/>
  <c r="T268" i="15"/>
  <c r="L811" i="13"/>
  <c r="L346" i="15"/>
  <c r="L343" i="15" s="1"/>
  <c r="L266" i="15" s="1"/>
  <c r="L265" i="15" s="1"/>
  <c r="Q811" i="13"/>
  <c r="Q346" i="15"/>
  <c r="Q343" i="15" s="1"/>
  <c r="V811" i="13"/>
  <c r="V346" i="15"/>
  <c r="V343" i="15" s="1"/>
  <c r="S834" i="13"/>
  <c r="O366" i="15"/>
  <c r="S366" i="15" s="1"/>
  <c r="X834" i="13"/>
  <c r="T366" i="15"/>
  <c r="X366" i="15" s="1"/>
  <c r="G811" i="13"/>
  <c r="G346" i="15"/>
  <c r="S271" i="15"/>
  <c r="X271" i="15"/>
  <c r="S273" i="15"/>
  <c r="X273" i="15"/>
  <c r="S275" i="15"/>
  <c r="X275" i="15"/>
  <c r="S277" i="15"/>
  <c r="X277" i="15"/>
  <c r="S278" i="15"/>
  <c r="X278" i="15"/>
  <c r="S279" i="15"/>
  <c r="X279" i="15"/>
  <c r="S280" i="15"/>
  <c r="X280" i="15"/>
  <c r="S281" i="15"/>
  <c r="X281" i="15"/>
  <c r="S282" i="15"/>
  <c r="X282" i="15"/>
  <c r="S284" i="15"/>
  <c r="X284" i="15"/>
  <c r="S285" i="15"/>
  <c r="X285" i="15"/>
  <c r="S287" i="15"/>
  <c r="X287" i="15"/>
  <c r="S288" i="15"/>
  <c r="X288" i="15"/>
  <c r="S289" i="15"/>
  <c r="X289" i="15"/>
  <c r="I758" i="13"/>
  <c r="J758" i="13" s="1"/>
  <c r="S362" i="15"/>
  <c r="X362" i="15"/>
  <c r="S363" i="15"/>
  <c r="X363" i="15"/>
  <c r="S365" i="15"/>
  <c r="X365" i="15"/>
  <c r="I836" i="13"/>
  <c r="J836" i="13" s="1"/>
  <c r="AB1166" i="13"/>
  <c r="AB1168" i="13"/>
  <c r="AB1169" i="13"/>
  <c r="AB1170" i="13"/>
  <c r="AB1171" i="13"/>
  <c r="AB1172" i="13"/>
  <c r="AB1173" i="13"/>
  <c r="AB1174" i="13"/>
  <c r="AB1175" i="13"/>
  <c r="AB1176" i="13"/>
  <c r="AB1177" i="13"/>
  <c r="AB1178" i="13"/>
  <c r="AB1179" i="13"/>
  <c r="AB1180" i="13"/>
  <c r="AB1181" i="13"/>
  <c r="AB1182" i="13"/>
  <c r="AB1183" i="13"/>
  <c r="AB1185" i="13"/>
  <c r="AB1187" i="13"/>
  <c r="AB1188" i="13"/>
  <c r="AB1189" i="13"/>
  <c r="AB1191" i="13"/>
  <c r="AB1192" i="13"/>
  <c r="AB1193" i="13"/>
  <c r="AB1194" i="13"/>
  <c r="AB1195" i="13"/>
  <c r="AB1196" i="13"/>
  <c r="AB1197" i="13"/>
  <c r="AB1198" i="13"/>
  <c r="AB1199" i="13"/>
  <c r="AB1200" i="13"/>
  <c r="AB1203" i="13"/>
  <c r="S1205" i="13"/>
  <c r="AB1213" i="13"/>
  <c r="AB1218" i="13"/>
  <c r="AB1223" i="13"/>
  <c r="AB1228" i="13"/>
  <c r="I37" i="15"/>
  <c r="I46" i="15"/>
  <c r="I53" i="15"/>
  <c r="I57" i="15"/>
  <c r="I63" i="15"/>
  <c r="I68" i="15"/>
  <c r="I73" i="15"/>
  <c r="I79" i="15"/>
  <c r="I84" i="15"/>
  <c r="I88" i="15"/>
  <c r="I92" i="15"/>
  <c r="I96" i="15"/>
  <c r="I102" i="15"/>
  <c r="I106" i="15"/>
  <c r="I110" i="15"/>
  <c r="I125" i="15"/>
  <c r="I130" i="15"/>
  <c r="I134" i="15"/>
  <c r="I140" i="15"/>
  <c r="I279" i="15"/>
  <c r="I284" i="15"/>
  <c r="I289" i="15"/>
  <c r="I295" i="15"/>
  <c r="I306" i="15"/>
  <c r="I310" i="15"/>
  <c r="I314" i="15"/>
  <c r="I318" i="15"/>
  <c r="I323" i="15"/>
  <c r="I351" i="15"/>
  <c r="I361" i="15"/>
  <c r="I366" i="15"/>
  <c r="G1128" i="13"/>
  <c r="X21" i="15"/>
  <c r="X121" i="15"/>
  <c r="T118" i="15"/>
  <c r="X88" i="15"/>
  <c r="X89" i="15"/>
  <c r="X90" i="15"/>
  <c r="X91" i="15"/>
  <c r="X92" i="15"/>
  <c r="X93" i="15"/>
  <c r="X94" i="15"/>
  <c r="X95" i="15"/>
  <c r="X96" i="15"/>
  <c r="X98" i="15"/>
  <c r="X100" i="15"/>
  <c r="X101" i="15"/>
  <c r="X102" i="15"/>
  <c r="X104" i="15"/>
  <c r="X105" i="15"/>
  <c r="X106" i="15"/>
  <c r="X107" i="15"/>
  <c r="X108" i="15"/>
  <c r="X109" i="15"/>
  <c r="X110" i="15"/>
  <c r="X111" i="15"/>
  <c r="X112" i="15"/>
  <c r="X113" i="15"/>
  <c r="X122" i="15"/>
  <c r="X124" i="15"/>
  <c r="X125" i="15"/>
  <c r="X126" i="15"/>
  <c r="X128" i="15"/>
  <c r="X129" i="15"/>
  <c r="X130" i="15"/>
  <c r="X131" i="15"/>
  <c r="X132" i="15"/>
  <c r="X133" i="15"/>
  <c r="X134" i="15"/>
  <c r="X136" i="15"/>
  <c r="X137" i="15"/>
  <c r="X138" i="15"/>
  <c r="X140" i="15"/>
  <c r="X141" i="15"/>
  <c r="X143" i="15"/>
  <c r="X145" i="15"/>
  <c r="P736" i="13"/>
  <c r="S353" i="15"/>
  <c r="X353" i="15"/>
  <c r="S354" i="15"/>
  <c r="X354" i="15"/>
  <c r="S355" i="15"/>
  <c r="X355" i="15"/>
  <c r="S356" i="15"/>
  <c r="X356" i="15"/>
  <c r="S357" i="15"/>
  <c r="X357" i="15"/>
  <c r="S358" i="15"/>
  <c r="X358" i="15"/>
  <c r="I827" i="13"/>
  <c r="J827" i="13" s="1"/>
  <c r="AB894" i="13"/>
  <c r="AB900" i="13"/>
  <c r="AB904" i="13"/>
  <c r="AB908" i="13"/>
  <c r="AB914" i="13"/>
  <c r="Z362" i="13"/>
  <c r="AB363" i="13"/>
  <c r="AB369" i="13"/>
  <c r="AB375" i="13"/>
  <c r="S381" i="13"/>
  <c r="AB388" i="13"/>
  <c r="AB393" i="13"/>
  <c r="AB398" i="13"/>
  <c r="AB403" i="13"/>
  <c r="AB409" i="13"/>
  <c r="AB415" i="13"/>
  <c r="AB420" i="13"/>
  <c r="AB424" i="13"/>
  <c r="AB428" i="13"/>
  <c r="AB432" i="13"/>
  <c r="AB438" i="13"/>
  <c r="AB442" i="13"/>
  <c r="AB446" i="13"/>
  <c r="AB450" i="13"/>
  <c r="S456" i="13"/>
  <c r="AB462" i="13"/>
  <c r="AB467" i="13"/>
  <c r="AB471" i="13"/>
  <c r="AB491" i="13"/>
  <c r="AB497" i="13"/>
  <c r="AB501" i="13"/>
  <c r="AB508" i="13"/>
  <c r="AB513" i="13"/>
  <c r="AB520" i="13"/>
  <c r="AB524" i="13"/>
  <c r="AB530" i="13"/>
  <c r="AB534" i="13"/>
  <c r="AB540" i="13"/>
  <c r="AB546" i="13"/>
  <c r="AB551" i="13"/>
  <c r="AB555" i="13"/>
  <c r="AB559" i="13"/>
  <c r="AB563" i="13"/>
  <c r="AB569" i="13"/>
  <c r="AB573" i="13"/>
  <c r="AB577" i="13"/>
  <c r="AB581" i="13"/>
  <c r="X586" i="13"/>
  <c r="AB593" i="13"/>
  <c r="AB598" i="13"/>
  <c r="AB602" i="13"/>
  <c r="AB608" i="13"/>
  <c r="AB1026" i="13"/>
  <c r="AB1033" i="13"/>
  <c r="AB1037" i="13"/>
  <c r="AB1043" i="13"/>
  <c r="AB1047" i="13"/>
  <c r="AB1053" i="13"/>
  <c r="AB1059" i="13"/>
  <c r="AB1064" i="13"/>
  <c r="AB1068" i="13"/>
  <c r="AB1072" i="13"/>
  <c r="AB1076" i="13"/>
  <c r="AB1082" i="13"/>
  <c r="AB1086" i="13"/>
  <c r="AB1090" i="13"/>
  <c r="AB1094" i="13"/>
  <c r="I1205" i="13"/>
  <c r="AB1209" i="13"/>
  <c r="AB1215" i="13"/>
  <c r="AB1219" i="13"/>
  <c r="AB1224" i="13"/>
  <c r="AB1230" i="13"/>
  <c r="I24" i="15"/>
  <c r="I30" i="15"/>
  <c r="I36" i="15"/>
  <c r="I52" i="15"/>
  <c r="I56" i="15"/>
  <c r="I62" i="15"/>
  <c r="I66" i="15"/>
  <c r="I72" i="15"/>
  <c r="I78" i="15"/>
  <c r="I83" i="15"/>
  <c r="I87" i="15"/>
  <c r="I91" i="15"/>
  <c r="I95" i="15"/>
  <c r="I101" i="15"/>
  <c r="I105" i="15"/>
  <c r="I109" i="15"/>
  <c r="I113" i="15"/>
  <c r="I124" i="15"/>
  <c r="I129" i="15"/>
  <c r="I133" i="15"/>
  <c r="I138" i="15"/>
  <c r="I145" i="15"/>
  <c r="I271" i="15"/>
  <c r="I278" i="15"/>
  <c r="I282" i="15"/>
  <c r="I288" i="15"/>
  <c r="I293" i="15"/>
  <c r="I298" i="15"/>
  <c r="I304" i="15"/>
  <c r="I309" i="15"/>
  <c r="I313" i="15"/>
  <c r="I317" i="15"/>
  <c r="I321" i="15"/>
  <c r="I327" i="15"/>
  <c r="I331" i="15"/>
  <c r="I335" i="15"/>
  <c r="I355" i="15"/>
  <c r="I359" i="15"/>
  <c r="I365" i="15"/>
  <c r="T811" i="13"/>
  <c r="T346" i="15"/>
  <c r="I817" i="13"/>
  <c r="J817" i="13" s="1"/>
  <c r="H349" i="15"/>
  <c r="H343" i="15" s="1"/>
  <c r="G736" i="13"/>
  <c r="G270" i="15"/>
  <c r="S347" i="15"/>
  <c r="X347" i="15"/>
  <c r="S349" i="15"/>
  <c r="X349" i="15"/>
  <c r="I818" i="13"/>
  <c r="J818" i="13" s="1"/>
  <c r="AB879" i="13"/>
  <c r="X456" i="13"/>
  <c r="I29" i="15"/>
  <c r="I50" i="15"/>
  <c r="I55" i="15"/>
  <c r="I60" i="15"/>
  <c r="I65" i="15"/>
  <c r="I71" i="15"/>
  <c r="I77" i="15"/>
  <c r="I82" i="15"/>
  <c r="I86" i="15"/>
  <c r="I90" i="15"/>
  <c r="I94" i="15"/>
  <c r="I100" i="15"/>
  <c r="I104" i="15"/>
  <c r="I108" i="15"/>
  <c r="I112" i="15"/>
  <c r="I122" i="15"/>
  <c r="I128" i="15"/>
  <c r="I132" i="15"/>
  <c r="I137" i="15"/>
  <c r="I143" i="15"/>
  <c r="I277" i="15"/>
  <c r="I287" i="15"/>
  <c r="I291" i="15"/>
  <c r="I308" i="15"/>
  <c r="I312" i="15"/>
  <c r="I316" i="15"/>
  <c r="I320" i="15"/>
  <c r="I326" i="15"/>
  <c r="I330" i="15"/>
  <c r="I338" i="15"/>
  <c r="I358" i="15"/>
  <c r="I363" i="15"/>
  <c r="K736" i="13"/>
  <c r="K270" i="15"/>
  <c r="K268" i="15" s="1"/>
  <c r="K266" i="15" s="1"/>
  <c r="K265" i="15" s="1"/>
  <c r="U736" i="13"/>
  <c r="U270" i="15"/>
  <c r="U268" i="15" s="1"/>
  <c r="U266" i="15" s="1"/>
  <c r="U265" i="15" s="1"/>
  <c r="S785" i="13"/>
  <c r="O317" i="15"/>
  <c r="S317" i="15" s="1"/>
  <c r="I21" i="15"/>
  <c r="G117" i="13"/>
  <c r="G121" i="15"/>
  <c r="S338" i="15"/>
  <c r="X338" i="15"/>
  <c r="S370" i="15"/>
  <c r="X370" i="15"/>
  <c r="S153" i="15"/>
  <c r="S511" i="13"/>
  <c r="I586" i="13"/>
  <c r="S1099" i="13"/>
  <c r="I26" i="15"/>
  <c r="I32" i="15"/>
  <c r="I38" i="15"/>
  <c r="I48" i="15"/>
  <c r="I54" i="15"/>
  <c r="I59" i="15"/>
  <c r="I64" i="15"/>
  <c r="I70" i="15"/>
  <c r="I75" i="15"/>
  <c r="I81" i="15"/>
  <c r="I85" i="15"/>
  <c r="I89" i="15"/>
  <c r="I93" i="15"/>
  <c r="I98" i="15"/>
  <c r="I107" i="15"/>
  <c r="I111" i="15"/>
  <c r="I126" i="15"/>
  <c r="I136" i="15"/>
  <c r="I141" i="15"/>
  <c r="I275" i="15"/>
  <c r="I280" i="15"/>
  <c r="I285" i="15"/>
  <c r="I296" i="15"/>
  <c r="I302" i="15"/>
  <c r="I307" i="15"/>
  <c r="I311" i="15"/>
  <c r="I315" i="15"/>
  <c r="I319" i="15"/>
  <c r="I325" i="15"/>
  <c r="I329" i="15"/>
  <c r="I333" i="15"/>
  <c r="I337" i="15"/>
  <c r="I347" i="15"/>
  <c r="I353" i="15"/>
  <c r="I357" i="15"/>
  <c r="I362" i="15"/>
  <c r="I368" i="15"/>
  <c r="L88" i="11"/>
  <c r="L87" i="11" s="1"/>
  <c r="H88" i="11"/>
  <c r="H87" i="11" s="1"/>
  <c r="K113" i="11"/>
  <c r="S158" i="15"/>
  <c r="M261" i="15"/>
  <c r="R261" i="15"/>
  <c r="U236" i="15"/>
  <c r="V261" i="15"/>
  <c r="BQ221" i="9"/>
  <c r="X220" i="9"/>
  <c r="M49" i="11"/>
  <c r="S31" i="9"/>
  <c r="O60" i="11"/>
  <c r="Q49" i="11"/>
  <c r="Q137" i="11"/>
  <c r="R50" i="11"/>
  <c r="BR64" i="9"/>
  <c r="BP65" i="9"/>
  <c r="BP67" i="9"/>
  <c r="BR84" i="9"/>
  <c r="BR134" i="9"/>
  <c r="BR140" i="9"/>
  <c r="J78" i="9"/>
  <c r="J132" i="9"/>
  <c r="J130" i="9" s="1"/>
  <c r="K50" i="11"/>
  <c r="K137" i="11"/>
  <c r="M182" i="9"/>
  <c r="M137" i="11"/>
  <c r="U182" i="9"/>
  <c r="O49" i="11"/>
  <c r="R49" i="11"/>
  <c r="BQ171" i="9"/>
  <c r="BP174" i="9"/>
  <c r="Y191" i="9"/>
  <c r="BP201" i="9"/>
  <c r="BQ202" i="9"/>
  <c r="P58" i="11"/>
  <c r="K49" i="11"/>
  <c r="K31" i="9"/>
  <c r="O51" i="11"/>
  <c r="P50" i="11"/>
  <c r="V51" i="11"/>
  <c r="BE31" i="9"/>
  <c r="W136" i="11"/>
  <c r="BH182" i="9"/>
  <c r="BR67" i="9"/>
  <c r="BP71" i="9"/>
  <c r="BP84" i="9"/>
  <c r="BQ179" i="9"/>
  <c r="BR187" i="9"/>
  <c r="BQ190" i="9"/>
  <c r="BQ192" i="9"/>
  <c r="BR193" i="9"/>
  <c r="BQ199" i="9"/>
  <c r="BQ204" i="9"/>
  <c r="BP207" i="9"/>
  <c r="P49" i="11"/>
  <c r="Q50" i="11"/>
  <c r="R137" i="11"/>
  <c r="T49" i="11"/>
  <c r="X49" i="11" s="1"/>
  <c r="BA182" i="9"/>
  <c r="BQ142" i="9"/>
  <c r="BO75" i="9"/>
  <c r="AZ244" i="9"/>
  <c r="AZ243" i="9" s="1"/>
  <c r="R113" i="11"/>
  <c r="AA50" i="11"/>
  <c r="BU31" i="9"/>
  <c r="P33" i="1"/>
  <c r="BR207" i="9"/>
  <c r="BQ219" i="9"/>
  <c r="BR224" i="9"/>
  <c r="W227" i="9"/>
  <c r="W226" i="9" s="1"/>
  <c r="BP235" i="9"/>
  <c r="BQ236" i="9"/>
  <c r="BR241" i="9"/>
  <c r="BR240" i="9" s="1"/>
  <c r="W246" i="9"/>
  <c r="W245" i="9" s="1"/>
  <c r="J246" i="9"/>
  <c r="J245" i="9" s="1"/>
  <c r="BP248" i="9"/>
  <c r="BR291" i="9"/>
  <c r="Z295" i="9"/>
  <c r="Z294" i="9" s="1"/>
  <c r="BQ159" i="9"/>
  <c r="BR160" i="9"/>
  <c r="M33" i="9"/>
  <c r="M32" i="9" s="1"/>
  <c r="L93" i="9"/>
  <c r="L92" i="9" s="1"/>
  <c r="L91" i="9" s="1"/>
  <c r="K63" i="11" s="1"/>
  <c r="N132" i="9"/>
  <c r="N130" i="9" s="1"/>
  <c r="M154" i="9"/>
  <c r="M153" i="9" s="1"/>
  <c r="N162" i="9"/>
  <c r="M169" i="9"/>
  <c r="K184" i="9"/>
  <c r="K183" i="9" s="1"/>
  <c r="K182" i="9" s="1"/>
  <c r="R40" i="9"/>
  <c r="R82" i="9"/>
  <c r="R184" i="9"/>
  <c r="R220" i="9"/>
  <c r="Q226" i="9"/>
  <c r="Q208" i="9" s="1"/>
  <c r="T184" i="9"/>
  <c r="T183" i="9" s="1"/>
  <c r="V203" i="9"/>
  <c r="P62" i="11"/>
  <c r="Q170" i="11"/>
  <c r="Q167" i="11" s="1"/>
  <c r="Q63" i="11"/>
  <c r="Q174" i="11"/>
  <c r="Q171" i="11"/>
  <c r="Q146" i="11"/>
  <c r="R174" i="11"/>
  <c r="R171" i="11"/>
  <c r="AX17" i="9"/>
  <c r="AX16" i="9" s="1"/>
  <c r="T24" i="11"/>
  <c r="T57" i="11"/>
  <c r="BA32" i="9"/>
  <c r="BA93" i="9"/>
  <c r="BA92" i="9" s="1"/>
  <c r="BB162" i="9"/>
  <c r="AZ184" i="9"/>
  <c r="AZ183" i="9" s="1"/>
  <c r="U174" i="11"/>
  <c r="U171" i="11"/>
  <c r="BC31" i="9"/>
  <c r="BD169" i="9"/>
  <c r="BF203" i="9"/>
  <c r="BE226" i="9"/>
  <c r="BE208" i="9" s="1"/>
  <c r="BG31" i="9"/>
  <c r="BJ40" i="9"/>
  <c r="BJ52" i="9"/>
  <c r="BJ69" i="9"/>
  <c r="BI75" i="9"/>
  <c r="BI57" i="9" s="1"/>
  <c r="W59" i="11" s="1"/>
  <c r="BJ124" i="9"/>
  <c r="BJ121" i="9" s="1"/>
  <c r="BJ120" i="9" s="1"/>
  <c r="BJ177" i="9"/>
  <c r="BI182" i="9"/>
  <c r="BJ185" i="9"/>
  <c r="BJ184" i="9" s="1"/>
  <c r="BJ211" i="9"/>
  <c r="BJ210" i="9" s="1"/>
  <c r="BJ229" i="9"/>
  <c r="BJ226" i="9" s="1"/>
  <c r="BG243" i="9"/>
  <c r="BN295" i="9"/>
  <c r="BN294" i="9" s="1"/>
  <c r="BN290" i="9"/>
  <c r="BN284" i="9"/>
  <c r="BN277" i="9"/>
  <c r="BN269" i="9"/>
  <c r="BN265" i="9"/>
  <c r="BN260" i="9"/>
  <c r="BM252" i="9"/>
  <c r="BM251" i="9" s="1"/>
  <c r="BN249" i="9"/>
  <c r="BM246" i="9"/>
  <c r="BM245" i="9" s="1"/>
  <c r="BN239" i="9"/>
  <c r="BN238" i="9" s="1"/>
  <c r="N84" i="1" s="1"/>
  <c r="N74" i="1" s="1"/>
  <c r="BN225" i="9"/>
  <c r="BN221" i="9"/>
  <c r="BN216" i="9"/>
  <c r="AZ154" i="9"/>
  <c r="AZ153" i="9" s="1"/>
  <c r="V113" i="11"/>
  <c r="W113" i="11"/>
  <c r="AA49" i="11"/>
  <c r="BT31" i="9"/>
  <c r="BL145" i="9"/>
  <c r="G117" i="11"/>
  <c r="I118" i="11"/>
  <c r="J118" i="11" s="1"/>
  <c r="N118" i="11" s="1"/>
  <c r="BQ216" i="9"/>
  <c r="BO209" i="9"/>
  <c r="BO208" i="9" s="1"/>
  <c r="BQ224" i="9"/>
  <c r="BR228" i="9"/>
  <c r="BR227" i="9" s="1"/>
  <c r="J229" i="9"/>
  <c r="BQ237" i="9"/>
  <c r="BR239" i="9"/>
  <c r="BR238" i="9" s="1"/>
  <c r="BP267" i="9"/>
  <c r="BR269" i="9"/>
  <c r="Z282" i="9"/>
  <c r="BP284" i="9"/>
  <c r="N82" i="9"/>
  <c r="N104" i="9"/>
  <c r="N93" i="9" s="1"/>
  <c r="N124" i="9"/>
  <c r="N121" i="9" s="1"/>
  <c r="N120" i="9" s="1"/>
  <c r="N184" i="9"/>
  <c r="N210" i="9"/>
  <c r="M226" i="9"/>
  <c r="M208" i="9" s="1"/>
  <c r="K143" i="11" s="1"/>
  <c r="N246" i="9"/>
  <c r="N245" i="9" s="1"/>
  <c r="N244" i="9" s="1"/>
  <c r="N243" i="9" s="1"/>
  <c r="K244" i="9"/>
  <c r="K243" i="9" s="1"/>
  <c r="K242" i="9" s="1"/>
  <c r="O75" i="9"/>
  <c r="O57" i="9" s="1"/>
  <c r="R112" i="9"/>
  <c r="R170" i="9"/>
  <c r="R169" i="9" s="1"/>
  <c r="R203" i="9"/>
  <c r="P226" i="9"/>
  <c r="P208" i="9" s="1"/>
  <c r="S184" i="9"/>
  <c r="S183" i="9" s="1"/>
  <c r="S182" i="9" s="1"/>
  <c r="M174" i="11"/>
  <c r="V246" i="9"/>
  <c r="V245" i="9" s="1"/>
  <c r="S244" i="9"/>
  <c r="S243" i="9" s="1"/>
  <c r="O24" i="11"/>
  <c r="O117" i="11"/>
  <c r="O146" i="11"/>
  <c r="P170" i="11"/>
  <c r="P167" i="11" s="1"/>
  <c r="P171" i="11"/>
  <c r="R64" i="11"/>
  <c r="R62" i="11"/>
  <c r="R147" i="11"/>
  <c r="R144" i="11" s="1"/>
  <c r="T63" i="11"/>
  <c r="T143" i="11"/>
  <c r="BB40" i="9"/>
  <c r="BB44" i="9"/>
  <c r="BA57" i="9"/>
  <c r="U59" i="11" s="1"/>
  <c r="X114" i="11"/>
  <c r="BB188" i="9"/>
  <c r="BB184" i="9" s="1"/>
  <c r="AY183" i="9"/>
  <c r="AY182" i="9" s="1"/>
  <c r="BB211" i="9"/>
  <c r="BB210" i="9" s="1"/>
  <c r="BB226" i="9"/>
  <c r="BB263" i="9"/>
  <c r="BF226" i="9"/>
  <c r="V171" i="11"/>
  <c r="BC243" i="9"/>
  <c r="BF289" i="9"/>
  <c r="BF288" i="9" s="1"/>
  <c r="BJ82" i="9"/>
  <c r="BH93" i="9"/>
  <c r="BH92" i="9" s="1"/>
  <c r="BJ112" i="9"/>
  <c r="BJ220" i="9"/>
  <c r="BI226" i="9"/>
  <c r="BI244" i="9"/>
  <c r="BI243" i="9" s="1"/>
  <c r="BJ263" i="9"/>
  <c r="BL289" i="9"/>
  <c r="BL288" i="9" s="1"/>
  <c r="BN287" i="9"/>
  <c r="BL283" i="9"/>
  <c r="BN282" i="9"/>
  <c r="BN276" i="9"/>
  <c r="BN268" i="9"/>
  <c r="BN259" i="9"/>
  <c r="BL255" i="9"/>
  <c r="BN254" i="9"/>
  <c r="BN235" i="9"/>
  <c r="BL233" i="9"/>
  <c r="BN224" i="9"/>
  <c r="BL220" i="9"/>
  <c r="BN219" i="9"/>
  <c r="BU57" i="9"/>
  <c r="L154" i="9"/>
  <c r="L153" i="9" s="1"/>
  <c r="BD154" i="9"/>
  <c r="BD153" i="9" s="1"/>
  <c r="Q113" i="11"/>
  <c r="T51" i="11"/>
  <c r="AA137" i="11"/>
  <c r="BV182" i="9"/>
  <c r="BR266" i="9"/>
  <c r="N112" i="9"/>
  <c r="N226" i="9"/>
  <c r="K171" i="11"/>
  <c r="R17" i="9"/>
  <c r="R16" i="9" s="1"/>
  <c r="R69" i="9"/>
  <c r="R78" i="9"/>
  <c r="Q93" i="9"/>
  <c r="Q92" i="9" s="1"/>
  <c r="O91" i="9"/>
  <c r="P184" i="9"/>
  <c r="P183" i="9" s="1"/>
  <c r="P182" i="9" s="1"/>
  <c r="V75" i="9"/>
  <c r="V57" i="9" s="1"/>
  <c r="V184" i="9"/>
  <c r="V183" i="9" s="1"/>
  <c r="V182" i="9" s="1"/>
  <c r="V281" i="9"/>
  <c r="O143" i="11"/>
  <c r="O174" i="11"/>
  <c r="O171" i="11"/>
  <c r="P174" i="11"/>
  <c r="R170" i="11"/>
  <c r="R167" i="11" s="1"/>
  <c r="R63" i="11"/>
  <c r="R143" i="11"/>
  <c r="T170" i="11"/>
  <c r="T167" i="11" s="1"/>
  <c r="T58" i="11"/>
  <c r="T171" i="11"/>
  <c r="BB26" i="9"/>
  <c r="AY31" i="9"/>
  <c r="AZ75" i="9"/>
  <c r="BB95" i="9"/>
  <c r="BB94" i="9" s="1"/>
  <c r="BB121" i="9"/>
  <c r="BB120" i="9" s="1"/>
  <c r="X139" i="11"/>
  <c r="AY208" i="9"/>
  <c r="BF17" i="9"/>
  <c r="BF16" i="9" s="1"/>
  <c r="V24" i="11"/>
  <c r="BF26" i="9"/>
  <c r="BF40" i="9"/>
  <c r="BF69" i="9"/>
  <c r="BF78" i="9"/>
  <c r="BF158" i="9"/>
  <c r="V117" i="11"/>
  <c r="BF188" i="9"/>
  <c r="BF220" i="9"/>
  <c r="V174" i="11"/>
  <c r="BF263" i="9"/>
  <c r="BI33" i="9"/>
  <c r="BI32" i="9" s="1"/>
  <c r="BJ44" i="9"/>
  <c r="BG75" i="9"/>
  <c r="BG57" i="9" s="1"/>
  <c r="BG93" i="9"/>
  <c r="BG92" i="9" s="1"/>
  <c r="BI92" i="9"/>
  <c r="BJ158" i="9"/>
  <c r="BG184" i="9"/>
  <c r="BG183" i="9" s="1"/>
  <c r="BG182" i="9" s="1"/>
  <c r="BJ191" i="9"/>
  <c r="BH226" i="9"/>
  <c r="BG271" i="9"/>
  <c r="BG242" i="9" s="1"/>
  <c r="BM289" i="9"/>
  <c r="BM288" i="9" s="1"/>
  <c r="BN286" i="9"/>
  <c r="BM283" i="9"/>
  <c r="BL275" i="9"/>
  <c r="BL272" i="9" s="1"/>
  <c r="BL271" i="9" s="1"/>
  <c r="BN274" i="9"/>
  <c r="BL263" i="9"/>
  <c r="BN262" i="9"/>
  <c r="BN258" i="9"/>
  <c r="BM255" i="9"/>
  <c r="BN253" i="9"/>
  <c r="BN252" i="9" s="1"/>
  <c r="BN251" i="9" s="1"/>
  <c r="BN247" i="9"/>
  <c r="BN236" i="9"/>
  <c r="BM233" i="9"/>
  <c r="BM226" i="9" s="1"/>
  <c r="BN230" i="9"/>
  <c r="BM220" i="9"/>
  <c r="P154" i="9"/>
  <c r="P153" i="9" s="1"/>
  <c r="BH154" i="9"/>
  <c r="BH153" i="9" s="1"/>
  <c r="X115" i="11"/>
  <c r="BR158" i="9"/>
  <c r="BQ164" i="9"/>
  <c r="BQ162" i="9" s="1"/>
  <c r="N44" i="9"/>
  <c r="K75" i="9"/>
  <c r="K57" i="9" s="1"/>
  <c r="H57" i="11" s="1"/>
  <c r="H67" i="11" s="1"/>
  <c r="H105" i="11" s="1"/>
  <c r="M93" i="9"/>
  <c r="M92" i="9" s="1"/>
  <c r="K91" i="9"/>
  <c r="K62" i="11" s="1"/>
  <c r="N158" i="9"/>
  <c r="K117" i="11"/>
  <c r="L184" i="9"/>
  <c r="L183" i="9" s="1"/>
  <c r="N203" i="9"/>
  <c r="Q33" i="9"/>
  <c r="Q32" i="9" s="1"/>
  <c r="Q31" i="9" s="1"/>
  <c r="P93" i="9"/>
  <c r="P92" i="9" s="1"/>
  <c r="O184" i="9"/>
  <c r="O183" i="9" s="1"/>
  <c r="O182" i="9" s="1"/>
  <c r="R209" i="9"/>
  <c r="R208" i="9" s="1"/>
  <c r="R246" i="9"/>
  <c r="R245" i="9" s="1"/>
  <c r="R244" i="9" s="1"/>
  <c r="R243" i="9" s="1"/>
  <c r="O244" i="9"/>
  <c r="O243" i="9" s="1"/>
  <c r="O242" i="9" s="1"/>
  <c r="P242" i="9"/>
  <c r="U31" i="9"/>
  <c r="U226" i="9"/>
  <c r="U208" i="9" s="1"/>
  <c r="M171" i="11"/>
  <c r="Q64" i="11"/>
  <c r="Q62" i="11"/>
  <c r="Q117" i="11"/>
  <c r="Q142" i="11"/>
  <c r="Q147" i="11"/>
  <c r="T174" i="11"/>
  <c r="T146" i="11"/>
  <c r="BB34" i="9"/>
  <c r="BB33" i="9" s="1"/>
  <c r="BB104" i="9"/>
  <c r="BB158" i="9"/>
  <c r="BB203" i="9"/>
  <c r="AZ226" i="9"/>
  <c r="AZ208" i="9" s="1"/>
  <c r="U142" i="11" s="1"/>
  <c r="AY244" i="9"/>
  <c r="AY243" i="9" s="1"/>
  <c r="AY242" i="9" s="1"/>
  <c r="AY181" i="9" s="1"/>
  <c r="AY168" i="9" s="1"/>
  <c r="BF112" i="9"/>
  <c r="BE120" i="9"/>
  <c r="BE91" i="9" s="1"/>
  <c r="BF132" i="9"/>
  <c r="BF130" i="9" s="1"/>
  <c r="BE154" i="9"/>
  <c r="BE153" i="9" s="1"/>
  <c r="BE169" i="9"/>
  <c r="BF170" i="9"/>
  <c r="BF169" i="9" s="1"/>
  <c r="BF177" i="9"/>
  <c r="BE182" i="9"/>
  <c r="BF185" i="9"/>
  <c r="BC271" i="9"/>
  <c r="BJ78" i="9"/>
  <c r="BJ104" i="9"/>
  <c r="BI120" i="9"/>
  <c r="BJ170" i="9"/>
  <c r="BJ169" i="9" s="1"/>
  <c r="W174" i="11"/>
  <c r="BJ246" i="9"/>
  <c r="BJ245" i="9" s="1"/>
  <c r="BJ244" i="9" s="1"/>
  <c r="BN291" i="9"/>
  <c r="BM281" i="9"/>
  <c r="BM275" i="9"/>
  <c r="BM272" i="9" s="1"/>
  <c r="BM271" i="9" s="1"/>
  <c r="BN266" i="9"/>
  <c r="BM263" i="9"/>
  <c r="BN261" i="9"/>
  <c r="BN257" i="9"/>
  <c r="BL252" i="9"/>
  <c r="BL251" i="9" s="1"/>
  <c r="BN250" i="9"/>
  <c r="BL246" i="9"/>
  <c r="BL245" i="9" s="1"/>
  <c r="BN241" i="9"/>
  <c r="BN240" i="9" s="1"/>
  <c r="BL229" i="9"/>
  <c r="BL226" i="9" s="1"/>
  <c r="BN228" i="9"/>
  <c r="BN227" i="9" s="1"/>
  <c r="BN222" i="9"/>
  <c r="BN217" i="9"/>
  <c r="N154" i="9"/>
  <c r="N153" i="9" s="1"/>
  <c r="T154" i="9"/>
  <c r="T153" i="9" s="1"/>
  <c r="AA51" i="11"/>
  <c r="BM211" i="9"/>
  <c r="BM210" i="9" s="1"/>
  <c r="BM209" i="9" s="1"/>
  <c r="BM203" i="9"/>
  <c r="BN201" i="9"/>
  <c r="BN197" i="9"/>
  <c r="BM188" i="9"/>
  <c r="BL177" i="9"/>
  <c r="BN176" i="9"/>
  <c r="BN175" i="9" s="1"/>
  <c r="BM112" i="9"/>
  <c r="BW184" i="9"/>
  <c r="BK146" i="9"/>
  <c r="M34" i="1" s="1"/>
  <c r="P34" i="1" s="1"/>
  <c r="BN213" i="9"/>
  <c r="BN205" i="9"/>
  <c r="BN200" i="9"/>
  <c r="BN196" i="9"/>
  <c r="BL191" i="9"/>
  <c r="BN190" i="9"/>
  <c r="BL185" i="9"/>
  <c r="BN180" i="9"/>
  <c r="BM177" i="9"/>
  <c r="BN174" i="9"/>
  <c r="BL170" i="9"/>
  <c r="BL169" i="9" s="1"/>
  <c r="BN165" i="9"/>
  <c r="BK162" i="9"/>
  <c r="BK158" i="9"/>
  <c r="BN139" i="9"/>
  <c r="BN126" i="9"/>
  <c r="BM121" i="9"/>
  <c r="BM120" i="9" s="1"/>
  <c r="BN118" i="9"/>
  <c r="BN114" i="9"/>
  <c r="BN109" i="9"/>
  <c r="BM101" i="9"/>
  <c r="BM100" i="9" s="1"/>
  <c r="BN98" i="9"/>
  <c r="BM95" i="9"/>
  <c r="BM94" i="9" s="1"/>
  <c r="BN88" i="9"/>
  <c r="BN87" i="9" s="1"/>
  <c r="BM78" i="9"/>
  <c r="BN74" i="9"/>
  <c r="BN70" i="9"/>
  <c r="BN61" i="9"/>
  <c r="BL44" i="9"/>
  <c r="BM40" i="9"/>
  <c r="BM34" i="9"/>
  <c r="BN28" i="9"/>
  <c r="BN21" i="9"/>
  <c r="BM17" i="9"/>
  <c r="BM16" i="9" s="1"/>
  <c r="BW40" i="9"/>
  <c r="BT75" i="9"/>
  <c r="BW104" i="9"/>
  <c r="BW93" i="9" s="1"/>
  <c r="BW112" i="9"/>
  <c r="BW124" i="9"/>
  <c r="BW121" i="9" s="1"/>
  <c r="BW120" i="9" s="1"/>
  <c r="BW138" i="9"/>
  <c r="BW137" i="9" s="1"/>
  <c r="BW170" i="9"/>
  <c r="BW169" i="9" s="1"/>
  <c r="BW220" i="9"/>
  <c r="BV226" i="9"/>
  <c r="BV208" i="9" s="1"/>
  <c r="BW233" i="9"/>
  <c r="BW226" i="9" s="1"/>
  <c r="BW263" i="9"/>
  <c r="BW275" i="9"/>
  <c r="BW272" i="9" s="1"/>
  <c r="BW271" i="9" s="1"/>
  <c r="BW281" i="9"/>
  <c r="Z156" i="9"/>
  <c r="BK155" i="9"/>
  <c r="O150" i="15"/>
  <c r="O149" i="15" s="1"/>
  <c r="O147" i="15" s="1"/>
  <c r="S154" i="15"/>
  <c r="AB154" i="15" s="1"/>
  <c r="J146" i="9"/>
  <c r="Z147" i="9"/>
  <c r="BN152" i="9"/>
  <c r="BN150" i="9" s="1"/>
  <c r="BX152" i="9"/>
  <c r="P261" i="15"/>
  <c r="V236" i="15"/>
  <c r="I32" i="9"/>
  <c r="G51" i="11" s="1"/>
  <c r="I51" i="11" s="1"/>
  <c r="J51" i="11" s="1"/>
  <c r="G147" i="11"/>
  <c r="I147" i="11" s="1"/>
  <c r="J147" i="11" s="1"/>
  <c r="BN212" i="9"/>
  <c r="BN204" i="9"/>
  <c r="BN203" i="9" s="1"/>
  <c r="BN199" i="9"/>
  <c r="BN195" i="9" s="1"/>
  <c r="BL195" i="9"/>
  <c r="BN194" i="9"/>
  <c r="BM191" i="9"/>
  <c r="BN189" i="9"/>
  <c r="BN188" i="9" s="1"/>
  <c r="BM185" i="9"/>
  <c r="BN179" i="9"/>
  <c r="BM170" i="9"/>
  <c r="BM169" i="9" s="1"/>
  <c r="BL162" i="9"/>
  <c r="BL158" i="9"/>
  <c r="BN144" i="9"/>
  <c r="BN143" i="9" s="1"/>
  <c r="BL138" i="9"/>
  <c r="BL137" i="9" s="1"/>
  <c r="BN136" i="9"/>
  <c r="BL132" i="9"/>
  <c r="BN131" i="9"/>
  <c r="BN125" i="9"/>
  <c r="BN124" i="9" s="1"/>
  <c r="BN117" i="9"/>
  <c r="BN113" i="9"/>
  <c r="BN108" i="9"/>
  <c r="BL104" i="9"/>
  <c r="BN103" i="9"/>
  <c r="BN97" i="9"/>
  <c r="BN86" i="9"/>
  <c r="BL82" i="9"/>
  <c r="BL75" i="9" s="1"/>
  <c r="BN80" i="9"/>
  <c r="BN73" i="9"/>
  <c r="BL69" i="9"/>
  <c r="BN68" i="9"/>
  <c r="BN64" i="9"/>
  <c r="BL60" i="9"/>
  <c r="BL59" i="9" s="1"/>
  <c r="BN56" i="9"/>
  <c r="BL52" i="9"/>
  <c r="BN51" i="9"/>
  <c r="BN47" i="9"/>
  <c r="BM44" i="9"/>
  <c r="BN42" i="9"/>
  <c r="BL37" i="9"/>
  <c r="BL33" i="9" s="1"/>
  <c r="BN36" i="9"/>
  <c r="BN27" i="9"/>
  <c r="BN20" i="9"/>
  <c r="BW69" i="9"/>
  <c r="BW78" i="9"/>
  <c r="BV93" i="9"/>
  <c r="BV92" i="9" s="1"/>
  <c r="BV120" i="9"/>
  <c r="BT91" i="9"/>
  <c r="AA62" i="11" s="1"/>
  <c r="BW158" i="9"/>
  <c r="BW154" i="9" s="1"/>
  <c r="BW153" i="9" s="1"/>
  <c r="BU184" i="9"/>
  <c r="BU183" i="9" s="1"/>
  <c r="BW203" i="9"/>
  <c r="BU226" i="9"/>
  <c r="BU208" i="9" s="1"/>
  <c r="AA142" i="11" s="1"/>
  <c r="BW246" i="9"/>
  <c r="BW245" i="9" s="1"/>
  <c r="BT244" i="9"/>
  <c r="BT243" i="9" s="1"/>
  <c r="BV242" i="9"/>
  <c r="AA147" i="11" s="1"/>
  <c r="Z148" i="9"/>
  <c r="BQ149" i="9"/>
  <c r="BQ146" i="9" s="1"/>
  <c r="Z151" i="9"/>
  <c r="BQ152" i="9"/>
  <c r="BQ150" i="9" s="1"/>
  <c r="BZ152" i="9"/>
  <c r="H33" i="1"/>
  <c r="K33" i="1" s="1"/>
  <c r="BK150" i="9"/>
  <c r="BL211" i="9"/>
  <c r="BL210" i="9" s="1"/>
  <c r="BL203" i="9"/>
  <c r="BN202" i="9"/>
  <c r="BM195" i="9"/>
  <c r="BN193" i="9"/>
  <c r="BN191" i="9" s="1"/>
  <c r="BL188" i="9"/>
  <c r="BN187" i="9"/>
  <c r="BN178" i="9"/>
  <c r="BN177" i="9" s="1"/>
  <c r="BN172" i="9"/>
  <c r="BM162" i="9"/>
  <c r="BM158" i="9"/>
  <c r="BN142" i="9"/>
  <c r="BM138" i="9"/>
  <c r="BM137" i="9" s="1"/>
  <c r="BN135" i="9"/>
  <c r="BM132" i="9"/>
  <c r="BM130" i="9" s="1"/>
  <c r="BN129" i="9"/>
  <c r="BN128" i="9" s="1"/>
  <c r="BL124" i="9"/>
  <c r="BL121" i="9" s="1"/>
  <c r="BL120" i="9" s="1"/>
  <c r="BN123" i="9"/>
  <c r="BN116" i="9"/>
  <c r="BL112" i="9"/>
  <c r="BN111" i="9"/>
  <c r="BN107" i="9"/>
  <c r="BM104" i="9"/>
  <c r="BN102" i="9"/>
  <c r="BN96" i="9"/>
  <c r="BN85" i="9"/>
  <c r="BM82" i="9"/>
  <c r="BN79" i="9"/>
  <c r="BN72" i="9"/>
  <c r="BM69" i="9"/>
  <c r="BN67" i="9"/>
  <c r="BN63" i="9"/>
  <c r="BM60" i="9"/>
  <c r="BM59" i="9" s="1"/>
  <c r="BN55" i="9"/>
  <c r="BM52" i="9"/>
  <c r="BN50" i="9"/>
  <c r="BN46" i="9"/>
  <c r="BN41" i="9"/>
  <c r="BM37" i="9"/>
  <c r="BN35" i="9"/>
  <c r="BN34" i="9" s="1"/>
  <c r="BL26" i="9"/>
  <c r="BN23" i="9"/>
  <c r="BN22" i="9" s="1"/>
  <c r="BN19" i="9"/>
  <c r="BK17" i="9"/>
  <c r="BW44" i="9"/>
  <c r="BW52" i="9"/>
  <c r="AA170" i="11"/>
  <c r="BU93" i="9"/>
  <c r="BU92" i="9" s="1"/>
  <c r="BU91" i="9" s="1"/>
  <c r="AA63" i="11" s="1"/>
  <c r="BW130" i="9"/>
  <c r="BV169" i="9"/>
  <c r="BT184" i="9"/>
  <c r="BT183" i="9" s="1"/>
  <c r="BT182" i="9" s="1"/>
  <c r="AA174" i="11"/>
  <c r="AA171" i="11"/>
  <c r="BW255" i="9"/>
  <c r="BY167" i="9"/>
  <c r="BY166" i="9" s="1"/>
  <c r="BR156" i="9"/>
  <c r="BR155" i="9" s="1"/>
  <c r="BZ156" i="9"/>
  <c r="BZ155" i="9" s="1"/>
  <c r="CA157" i="9"/>
  <c r="S152" i="15"/>
  <c r="BR147" i="9"/>
  <c r="BR146" i="9" s="1"/>
  <c r="BP149" i="9"/>
  <c r="BS149" i="9" s="1"/>
  <c r="BY152" i="9"/>
  <c r="K121" i="11"/>
  <c r="O121" i="11"/>
  <c r="T121" i="11"/>
  <c r="G33" i="9"/>
  <c r="G32" i="9" s="1"/>
  <c r="G31" i="9" s="1"/>
  <c r="G30" i="9" s="1"/>
  <c r="G142" i="11"/>
  <c r="I142" i="11" s="1"/>
  <c r="J142" i="11" s="1"/>
  <c r="Y156" i="15"/>
  <c r="O236" i="15"/>
  <c r="D8" i="13"/>
  <c r="D8" i="7" s="1"/>
  <c r="D8" i="15"/>
  <c r="W31" i="11"/>
  <c r="Q261" i="15"/>
  <c r="W261" i="15"/>
  <c r="A3" i="13"/>
  <c r="A3" i="15"/>
  <c r="Y154" i="15"/>
  <c r="D7" i="13"/>
  <c r="D7" i="7" s="1"/>
  <c r="D7" i="15"/>
  <c r="X263" i="15"/>
  <c r="U261" i="15"/>
  <c r="Y153" i="15"/>
  <c r="Y158" i="15"/>
  <c r="S262" i="15"/>
  <c r="X262" i="15"/>
  <c r="T261" i="15"/>
  <c r="P236" i="15"/>
  <c r="Q236" i="15"/>
  <c r="Y152" i="15"/>
  <c r="Y157" i="15"/>
  <c r="T236" i="15"/>
  <c r="X127" i="11"/>
  <c r="AA87" i="11"/>
  <c r="M31" i="11"/>
  <c r="O31" i="11"/>
  <c r="C36" i="1"/>
  <c r="G485" i="13"/>
  <c r="G356" i="13"/>
  <c r="G276" i="13" s="1"/>
  <c r="G146" i="13"/>
  <c r="H33" i="9"/>
  <c r="H32" i="9" s="1"/>
  <c r="H31" i="9" s="1"/>
  <c r="R31" i="11"/>
  <c r="T31" i="11"/>
  <c r="U150" i="15"/>
  <c r="U149" i="15" s="1"/>
  <c r="U147" i="15" s="1"/>
  <c r="T72" i="11"/>
  <c r="U24" i="11"/>
  <c r="G24" i="11"/>
  <c r="R24" i="11"/>
  <c r="W24" i="11"/>
  <c r="K31" i="11"/>
  <c r="P31" i="11"/>
  <c r="U31" i="11"/>
  <c r="Q72" i="11"/>
  <c r="V72" i="11"/>
  <c r="T117" i="11"/>
  <c r="Q121" i="11"/>
  <c r="V121" i="11"/>
  <c r="O167" i="11"/>
  <c r="X33" i="11"/>
  <c r="X37" i="11"/>
  <c r="X42" i="11"/>
  <c r="M150" i="15"/>
  <c r="M149" i="15" s="1"/>
  <c r="M147" i="15" s="1"/>
  <c r="R150" i="15"/>
  <c r="R149" i="15" s="1"/>
  <c r="R147" i="15" s="1"/>
  <c r="W150" i="15"/>
  <c r="W149" i="15" s="1"/>
  <c r="W147" i="15" s="1"/>
  <c r="X96" i="11"/>
  <c r="S94" i="11"/>
  <c r="S99" i="11"/>
  <c r="P729" i="13"/>
  <c r="U729" i="13"/>
  <c r="W102" i="11"/>
  <c r="W101" i="11" s="1"/>
  <c r="V704" i="13"/>
  <c r="X118" i="11"/>
  <c r="K72" i="11"/>
  <c r="U72" i="11"/>
  <c r="U113" i="11"/>
  <c r="M117" i="11"/>
  <c r="U121" i="11"/>
  <c r="C32" i="1"/>
  <c r="P24" i="11"/>
  <c r="G31" i="11"/>
  <c r="O72" i="11"/>
  <c r="N126" i="11"/>
  <c r="Y126" i="11" s="1"/>
  <c r="N139" i="11"/>
  <c r="Y139" i="11" s="1"/>
  <c r="T150" i="15"/>
  <c r="X53" i="11"/>
  <c r="P150" i="15"/>
  <c r="N55" i="11"/>
  <c r="N54" i="11"/>
  <c r="Y54" i="11" s="1"/>
  <c r="S622" i="13"/>
  <c r="AB622" i="13" s="1"/>
  <c r="X622" i="13"/>
  <c r="S41" i="11"/>
  <c r="S34" i="11"/>
  <c r="S39" i="11"/>
  <c r="S33" i="11"/>
  <c r="S38" i="11"/>
  <c r="X35" i="11"/>
  <c r="X41" i="11"/>
  <c r="K150" i="15"/>
  <c r="V150" i="15"/>
  <c r="V149" i="15" s="1"/>
  <c r="V147" i="15" s="1"/>
  <c r="K704" i="13"/>
  <c r="Q704" i="13"/>
  <c r="I916" i="13"/>
  <c r="I456" i="13"/>
  <c r="J1099" i="13"/>
  <c r="G49" i="11"/>
  <c r="I49" i="11" s="1"/>
  <c r="J49" i="11" s="1"/>
  <c r="G137" i="11"/>
  <c r="G146" i="11"/>
  <c r="I31" i="9"/>
  <c r="G171" i="11"/>
  <c r="I171" i="11" s="1"/>
  <c r="J171" i="11" s="1"/>
  <c r="G136" i="11"/>
  <c r="X155" i="9"/>
  <c r="X154" i="9" s="1"/>
  <c r="J150" i="9"/>
  <c r="Z152" i="9"/>
  <c r="Z150" i="9" s="1"/>
  <c r="W146" i="9"/>
  <c r="D34" i="1" s="1"/>
  <c r="G34" i="1" s="1"/>
  <c r="W175" i="9"/>
  <c r="Z186" i="9"/>
  <c r="X233" i="9"/>
  <c r="Y246" i="9"/>
  <c r="Y245" i="9" s="1"/>
  <c r="BS157" i="9"/>
  <c r="Y150" i="9"/>
  <c r="Z221" i="9"/>
  <c r="Z149" i="9"/>
  <c r="Y146" i="9"/>
  <c r="X150" i="9"/>
  <c r="Y166" i="9"/>
  <c r="F44" i="1" s="1"/>
  <c r="F35" i="1" s="1"/>
  <c r="Y155" i="9"/>
  <c r="Y154" i="9" s="1"/>
  <c r="X146" i="9"/>
  <c r="G170" i="11"/>
  <c r="I170" i="11" s="1"/>
  <c r="X17" i="9"/>
  <c r="G21" i="11"/>
  <c r="I174" i="11"/>
  <c r="J174" i="11" s="1"/>
  <c r="G59" i="11"/>
  <c r="C74" i="1"/>
  <c r="J162" i="9"/>
  <c r="J155" i="9"/>
  <c r="W150" i="9"/>
  <c r="G20" i="11"/>
  <c r="Z1132" i="13"/>
  <c r="Y1132" i="13"/>
  <c r="Z1133" i="13"/>
  <c r="Y1133" i="13"/>
  <c r="Z1135" i="13"/>
  <c r="Y1135" i="13"/>
  <c r="Z1137" i="13"/>
  <c r="Y1137" i="13"/>
  <c r="Z1139" i="13"/>
  <c r="Y1139" i="13"/>
  <c r="Z1140" i="13"/>
  <c r="Y1140" i="13"/>
  <c r="Z1141" i="13"/>
  <c r="Y1141" i="13"/>
  <c r="Z1142" i="13"/>
  <c r="Y1142" i="13"/>
  <c r="Z1143" i="13"/>
  <c r="Y1143" i="13"/>
  <c r="Z1144" i="13"/>
  <c r="Y1144" i="13"/>
  <c r="Z1146" i="13"/>
  <c r="Y1146" i="13"/>
  <c r="Z1147" i="13"/>
  <c r="Y1147" i="13"/>
  <c r="Z1149" i="13"/>
  <c r="Y1149" i="13"/>
  <c r="Z1150" i="13"/>
  <c r="Y1150" i="13"/>
  <c r="Z1151" i="13"/>
  <c r="Y1151" i="13"/>
  <c r="Z1152" i="13"/>
  <c r="Y1152" i="13"/>
  <c r="Z1153" i="13"/>
  <c r="Y1153" i="13"/>
  <c r="Z1155" i="13"/>
  <c r="Y1155" i="13"/>
  <c r="Z1157" i="13"/>
  <c r="Y1157" i="13"/>
  <c r="Z1158" i="13"/>
  <c r="Y1158" i="13"/>
  <c r="Z1159" i="13"/>
  <c r="Y1159" i="13"/>
  <c r="Z1160" i="13"/>
  <c r="Y1160" i="13"/>
  <c r="Z1162" i="13"/>
  <c r="Y1162" i="13"/>
  <c r="Z1164" i="13"/>
  <c r="Y1164" i="13"/>
  <c r="Z1165" i="13"/>
  <c r="Y1165" i="13"/>
  <c r="Z1166" i="13"/>
  <c r="Y1166" i="13"/>
  <c r="Z1168" i="13"/>
  <c r="Y1168" i="13"/>
  <c r="Z1169" i="13"/>
  <c r="Y1169" i="13"/>
  <c r="Z1170" i="13"/>
  <c r="Y1170" i="13"/>
  <c r="Z1171" i="13"/>
  <c r="Y1171" i="13"/>
  <c r="Z1172" i="13"/>
  <c r="Y1172" i="13"/>
  <c r="Z1173" i="13"/>
  <c r="Y1173" i="13"/>
  <c r="Z1174" i="13"/>
  <c r="Y1174" i="13"/>
  <c r="Z1175" i="13"/>
  <c r="Y1175" i="13"/>
  <c r="Z1176" i="13"/>
  <c r="Y1176" i="13"/>
  <c r="Z1177" i="13"/>
  <c r="Y1177" i="13"/>
  <c r="Z1178" i="13"/>
  <c r="Y1178" i="13"/>
  <c r="Z1179" i="13"/>
  <c r="Y1179" i="13"/>
  <c r="Z1180" i="13"/>
  <c r="Y1180" i="13"/>
  <c r="Z1181" i="13"/>
  <c r="Y1181" i="13"/>
  <c r="Z1182" i="13"/>
  <c r="Y1182" i="13"/>
  <c r="Z1183" i="13"/>
  <c r="Y1183" i="13"/>
  <c r="Z1185" i="13"/>
  <c r="Y1185" i="13"/>
  <c r="Z1187" i="13"/>
  <c r="Y1187" i="13"/>
  <c r="Z1188" i="13"/>
  <c r="Y1188" i="13"/>
  <c r="Z1189" i="13"/>
  <c r="Y1189" i="13"/>
  <c r="Z1191" i="13"/>
  <c r="Y1191" i="13"/>
  <c r="Z1192" i="13"/>
  <c r="Y1192" i="13"/>
  <c r="Z1193" i="13"/>
  <c r="Y1193" i="13"/>
  <c r="Z1194" i="13"/>
  <c r="Y1194" i="13"/>
  <c r="Z1195" i="13"/>
  <c r="Y1195" i="13"/>
  <c r="Z1196" i="13"/>
  <c r="Y1196" i="13"/>
  <c r="Z1197" i="13"/>
  <c r="Y1197" i="13"/>
  <c r="Z1198" i="13"/>
  <c r="Y1198" i="13"/>
  <c r="Z1199" i="13"/>
  <c r="Y1199" i="13"/>
  <c r="Z1200" i="13"/>
  <c r="Y1200" i="13"/>
  <c r="Z1203" i="13"/>
  <c r="Y1203" i="13"/>
  <c r="AB1208" i="13"/>
  <c r="J1208" i="13"/>
  <c r="N1208" i="13" s="1"/>
  <c r="J1209" i="13"/>
  <c r="J1211" i="13"/>
  <c r="J1212" i="13"/>
  <c r="J1213" i="13"/>
  <c r="J1215" i="13"/>
  <c r="J1216" i="13"/>
  <c r="J1217" i="13"/>
  <c r="J1218" i="13"/>
  <c r="J1219" i="13"/>
  <c r="J1220" i="13"/>
  <c r="J1221" i="13"/>
  <c r="J1223" i="13"/>
  <c r="J1224" i="13"/>
  <c r="J1225" i="13"/>
  <c r="J1227" i="13"/>
  <c r="J1228" i="13"/>
  <c r="J1230" i="13"/>
  <c r="J1232" i="13"/>
  <c r="Y1102" i="13"/>
  <c r="N1099" i="13"/>
  <c r="Z1102" i="13"/>
  <c r="Y1103" i="13"/>
  <c r="Z1103" i="13"/>
  <c r="Y1105" i="13"/>
  <c r="Z1105" i="13"/>
  <c r="Y1106" i="13"/>
  <c r="Z1106" i="13"/>
  <c r="Y1107" i="13"/>
  <c r="Z1107" i="13"/>
  <c r="Y1109" i="13"/>
  <c r="Z1109" i="13"/>
  <c r="Y1110" i="13"/>
  <c r="Z1110" i="13"/>
  <c r="Y1111" i="13"/>
  <c r="Z1111" i="13"/>
  <c r="Y1112" i="13"/>
  <c r="Z1112" i="13"/>
  <c r="Y1113" i="13"/>
  <c r="Z1113" i="13"/>
  <c r="Y1114" i="13"/>
  <c r="Z1114" i="13"/>
  <c r="Y1115" i="13"/>
  <c r="Z1115" i="13"/>
  <c r="Y1117" i="13"/>
  <c r="Z1117" i="13"/>
  <c r="Y1118" i="13"/>
  <c r="Z1118" i="13"/>
  <c r="Y1119" i="13"/>
  <c r="Z1119" i="13"/>
  <c r="Y1121" i="13"/>
  <c r="Z1121" i="13"/>
  <c r="Y1122" i="13"/>
  <c r="Z1122" i="13"/>
  <c r="Y1124" i="13"/>
  <c r="Z1124" i="13"/>
  <c r="Y1126" i="13"/>
  <c r="Z1126" i="13"/>
  <c r="S766" i="13"/>
  <c r="J1026" i="13"/>
  <c r="J1027" i="13"/>
  <c r="J1029" i="13"/>
  <c r="J1031" i="13"/>
  <c r="J1033" i="13"/>
  <c r="J1034" i="13"/>
  <c r="J1035" i="13"/>
  <c r="J1036" i="13"/>
  <c r="J1037" i="13"/>
  <c r="J1038" i="13"/>
  <c r="J1040" i="13"/>
  <c r="J1041" i="13"/>
  <c r="J1043" i="13"/>
  <c r="J1044" i="13"/>
  <c r="J1045" i="13"/>
  <c r="J1046" i="13"/>
  <c r="J1047" i="13"/>
  <c r="J1049" i="13"/>
  <c r="J1051" i="13"/>
  <c r="J1052" i="13"/>
  <c r="J1053" i="13"/>
  <c r="J1054" i="13"/>
  <c r="J1056" i="13"/>
  <c r="J1058" i="13"/>
  <c r="J1059" i="13"/>
  <c r="J1060" i="13"/>
  <c r="J1062" i="13"/>
  <c r="J1063" i="13"/>
  <c r="J1064" i="13"/>
  <c r="J1065" i="13"/>
  <c r="J1066" i="13"/>
  <c r="J1067" i="13"/>
  <c r="J1068" i="13"/>
  <c r="J1069" i="13"/>
  <c r="J1070" i="13"/>
  <c r="J1071" i="13"/>
  <c r="J1072" i="13"/>
  <c r="J1073" i="13"/>
  <c r="J1074" i="13"/>
  <c r="J1075" i="13"/>
  <c r="J1076" i="13"/>
  <c r="J1077" i="13"/>
  <c r="J1079" i="13"/>
  <c r="J1081" i="13"/>
  <c r="J1082" i="13"/>
  <c r="J1083" i="13"/>
  <c r="J1085" i="13"/>
  <c r="J1086" i="13"/>
  <c r="J1087" i="13"/>
  <c r="J1088" i="13"/>
  <c r="J1089" i="13"/>
  <c r="J1090" i="13"/>
  <c r="J1091" i="13"/>
  <c r="J1092" i="13"/>
  <c r="J1093" i="13"/>
  <c r="J1094" i="13"/>
  <c r="J1097" i="13"/>
  <c r="I833" i="13"/>
  <c r="J833" i="13" s="1"/>
  <c r="I511" i="13"/>
  <c r="J456" i="13"/>
  <c r="I381" i="13"/>
  <c r="S23" i="13"/>
  <c r="S25" i="13"/>
  <c r="S28" i="13"/>
  <c r="S30" i="13"/>
  <c r="J513" i="13"/>
  <c r="N513" i="13" s="1"/>
  <c r="J514" i="13"/>
  <c r="J516" i="13"/>
  <c r="J518" i="13"/>
  <c r="J520" i="13"/>
  <c r="J521" i="13"/>
  <c r="J522" i="13"/>
  <c r="J523" i="13"/>
  <c r="J524" i="13"/>
  <c r="J525" i="13"/>
  <c r="J527" i="13"/>
  <c r="J528" i="13"/>
  <c r="J530" i="13"/>
  <c r="J531" i="13"/>
  <c r="J532" i="13"/>
  <c r="J533" i="13"/>
  <c r="J534" i="13"/>
  <c r="J536" i="13"/>
  <c r="J538" i="13"/>
  <c r="J539" i="13"/>
  <c r="J540" i="13"/>
  <c r="J541" i="13"/>
  <c r="J543" i="13"/>
  <c r="J545" i="13"/>
  <c r="J546" i="13"/>
  <c r="J547" i="13"/>
  <c r="J549" i="13"/>
  <c r="J550" i="13"/>
  <c r="J551" i="13"/>
  <c r="J552" i="13"/>
  <c r="J553" i="13"/>
  <c r="J554" i="13"/>
  <c r="J555" i="13"/>
  <c r="J556" i="13"/>
  <c r="J557" i="13"/>
  <c r="J558" i="13"/>
  <c r="J559" i="13"/>
  <c r="J560" i="13"/>
  <c r="J561" i="13"/>
  <c r="J562" i="13"/>
  <c r="J563" i="13"/>
  <c r="J564" i="13"/>
  <c r="J566" i="13"/>
  <c r="J568" i="13"/>
  <c r="J569" i="13"/>
  <c r="J570" i="13"/>
  <c r="J572" i="13"/>
  <c r="J573" i="13"/>
  <c r="J574" i="13"/>
  <c r="J575" i="13"/>
  <c r="J576" i="13"/>
  <c r="J577" i="13"/>
  <c r="J578" i="13"/>
  <c r="J579" i="13"/>
  <c r="J580" i="13"/>
  <c r="J581" i="13"/>
  <c r="J584" i="13"/>
  <c r="J489" i="13"/>
  <c r="N489" i="13" s="1"/>
  <c r="J491" i="13"/>
  <c r="J492" i="13"/>
  <c r="J493" i="13"/>
  <c r="J494" i="13"/>
  <c r="J497" i="13"/>
  <c r="J498" i="13"/>
  <c r="J499" i="13"/>
  <c r="J500" i="13"/>
  <c r="J501" i="13"/>
  <c r="J504" i="13"/>
  <c r="J505" i="13"/>
  <c r="J506" i="13"/>
  <c r="J508" i="13"/>
  <c r="J589" i="13"/>
  <c r="N589" i="13" s="1"/>
  <c r="J590" i="13"/>
  <c r="J592" i="13"/>
  <c r="J593" i="13"/>
  <c r="J594" i="13"/>
  <c r="J596" i="13"/>
  <c r="J597" i="13"/>
  <c r="J598" i="13"/>
  <c r="J599" i="13"/>
  <c r="J600" i="13"/>
  <c r="J601" i="13"/>
  <c r="J602" i="13"/>
  <c r="J604" i="13"/>
  <c r="J605" i="13"/>
  <c r="J606" i="13"/>
  <c r="J608" i="13"/>
  <c r="J609" i="13"/>
  <c r="J611" i="13"/>
  <c r="J613" i="13"/>
  <c r="Y362" i="13"/>
  <c r="Y459" i="13"/>
  <c r="N456" i="13"/>
  <c r="Z459" i="13"/>
  <c r="Y460" i="13"/>
  <c r="Z460" i="13"/>
  <c r="Y462" i="13"/>
  <c r="Z462" i="13"/>
  <c r="Y463" i="13"/>
  <c r="Z463" i="13"/>
  <c r="Y464" i="13"/>
  <c r="Z464" i="13"/>
  <c r="Y466" i="13"/>
  <c r="Z466" i="13"/>
  <c r="Y467" i="13"/>
  <c r="Z467" i="13"/>
  <c r="Y468" i="13"/>
  <c r="Z468" i="13"/>
  <c r="Y469" i="13"/>
  <c r="Z469" i="13"/>
  <c r="Y470" i="13"/>
  <c r="Z470" i="13"/>
  <c r="Y471" i="13"/>
  <c r="Z471" i="13"/>
  <c r="Y472" i="13"/>
  <c r="Z472" i="13"/>
  <c r="Y474" i="13"/>
  <c r="Z474" i="13"/>
  <c r="Y475" i="13"/>
  <c r="Z475" i="13"/>
  <c r="Y476" i="13"/>
  <c r="Z476" i="13"/>
  <c r="Y478" i="13"/>
  <c r="Z478" i="13"/>
  <c r="Y479" i="13"/>
  <c r="Z479" i="13"/>
  <c r="Y481" i="13"/>
  <c r="Z481" i="13"/>
  <c r="Y483" i="13"/>
  <c r="Z483" i="13"/>
  <c r="J383" i="13"/>
  <c r="N383" i="13" s="1"/>
  <c r="J384" i="13"/>
  <c r="J386" i="13"/>
  <c r="J388" i="13"/>
  <c r="J390" i="13"/>
  <c r="J391" i="13"/>
  <c r="J392" i="13"/>
  <c r="J393" i="13"/>
  <c r="J394" i="13"/>
  <c r="J395" i="13"/>
  <c r="J397" i="13"/>
  <c r="J398" i="13"/>
  <c r="J400" i="13"/>
  <c r="J401" i="13"/>
  <c r="J402" i="13"/>
  <c r="J403" i="13"/>
  <c r="J404" i="13"/>
  <c r="J406" i="13"/>
  <c r="J408" i="13"/>
  <c r="J409" i="13"/>
  <c r="J410" i="13"/>
  <c r="J411" i="13"/>
  <c r="J413" i="13"/>
  <c r="J415" i="13"/>
  <c r="J416" i="13"/>
  <c r="J417" i="13"/>
  <c r="J419" i="13"/>
  <c r="J420" i="13"/>
  <c r="J421" i="13"/>
  <c r="J422" i="13"/>
  <c r="J423" i="13"/>
  <c r="J424" i="13"/>
  <c r="J425" i="13"/>
  <c r="J426" i="13"/>
  <c r="J427" i="13"/>
  <c r="J428" i="13"/>
  <c r="J429" i="13"/>
  <c r="J430" i="13"/>
  <c r="J431" i="13"/>
  <c r="J432" i="13"/>
  <c r="J433" i="13"/>
  <c r="J434" i="13"/>
  <c r="J436" i="13"/>
  <c r="J438" i="13"/>
  <c r="J439" i="13"/>
  <c r="J440" i="13"/>
  <c r="J442" i="13"/>
  <c r="J443" i="13"/>
  <c r="J444" i="13"/>
  <c r="J445" i="13"/>
  <c r="J446" i="13"/>
  <c r="J447" i="13"/>
  <c r="J448" i="13"/>
  <c r="J449" i="13"/>
  <c r="J450" i="13"/>
  <c r="J451" i="13"/>
  <c r="J454" i="13"/>
  <c r="J363" i="13"/>
  <c r="J364" i="13"/>
  <c r="J367" i="13"/>
  <c r="J368" i="13"/>
  <c r="J369" i="13"/>
  <c r="J370" i="13"/>
  <c r="J372" i="13"/>
  <c r="J374" i="13"/>
  <c r="J375" i="13"/>
  <c r="J376" i="13"/>
  <c r="J378" i="13"/>
  <c r="S35" i="13"/>
  <c r="S36" i="13"/>
  <c r="S45" i="13"/>
  <c r="S47" i="13"/>
  <c r="S725" i="13"/>
  <c r="O704" i="13"/>
  <c r="X725" i="13"/>
  <c r="T704" i="13"/>
  <c r="K617" i="13"/>
  <c r="K615" i="13" s="1"/>
  <c r="S620" i="13"/>
  <c r="X620" i="13"/>
  <c r="X625" i="13"/>
  <c r="V617" i="13"/>
  <c r="V615" i="13" s="1"/>
  <c r="K729" i="13"/>
  <c r="Q729" i="13"/>
  <c r="W729" i="13"/>
  <c r="S624" i="13"/>
  <c r="X624" i="13"/>
  <c r="U617" i="13"/>
  <c r="U615" i="13" s="1"/>
  <c r="X731" i="13"/>
  <c r="O617" i="13"/>
  <c r="O615" i="13" s="1"/>
  <c r="S730" i="13"/>
  <c r="X730" i="13"/>
  <c r="T729" i="13"/>
  <c r="I725" i="13"/>
  <c r="M617" i="13"/>
  <c r="M615" i="13" s="1"/>
  <c r="S621" i="13"/>
  <c r="S626" i="13"/>
  <c r="R617" i="13"/>
  <c r="R615" i="13" s="1"/>
  <c r="X621" i="13"/>
  <c r="X626" i="13"/>
  <c r="M729" i="13"/>
  <c r="P704" i="13"/>
  <c r="R729" i="13"/>
  <c r="U704" i="13"/>
  <c r="V729" i="13"/>
  <c r="X98" i="11"/>
  <c r="S96" i="11"/>
  <c r="I726" i="13"/>
  <c r="J726" i="13" s="1"/>
  <c r="N726" i="13" s="1"/>
  <c r="O731" i="13"/>
  <c r="I624" i="13"/>
  <c r="J624" i="13" s="1"/>
  <c r="N624" i="13" s="1"/>
  <c r="R704" i="13"/>
  <c r="W704" i="13"/>
  <c r="I622" i="13"/>
  <c r="J622" i="13" s="1"/>
  <c r="X34" i="11"/>
  <c r="X95" i="11"/>
  <c r="X94" i="11"/>
  <c r="I626" i="13"/>
  <c r="I620" i="13"/>
  <c r="J620" i="13" s="1"/>
  <c r="I625" i="13"/>
  <c r="J625" i="13" s="1"/>
  <c r="N625" i="13" s="1"/>
  <c r="J173" i="11"/>
  <c r="N173" i="11" s="1"/>
  <c r="J143" i="11"/>
  <c r="J140" i="11"/>
  <c r="N140" i="11" s="1"/>
  <c r="J129" i="11"/>
  <c r="N129" i="11" s="1"/>
  <c r="J130" i="11"/>
  <c r="N130" i="11" s="1"/>
  <c r="J123" i="11"/>
  <c r="N123" i="11" s="1"/>
  <c r="J124" i="11"/>
  <c r="N124" i="11" s="1"/>
  <c r="J119" i="11"/>
  <c r="N119" i="11" s="1"/>
  <c r="J114" i="11"/>
  <c r="N114" i="11" s="1"/>
  <c r="J115" i="11"/>
  <c r="N115" i="11" s="1"/>
  <c r="X99" i="11"/>
  <c r="V102" i="11"/>
  <c r="V101" i="11" s="1"/>
  <c r="U102" i="11"/>
  <c r="U101" i="11" s="1"/>
  <c r="T102" i="11"/>
  <c r="R102" i="11"/>
  <c r="R101" i="11" s="1"/>
  <c r="Q102" i="11"/>
  <c r="S98" i="11"/>
  <c r="P102" i="11"/>
  <c r="O102" i="11"/>
  <c r="O101" i="11" s="1"/>
  <c r="S95" i="11"/>
  <c r="M102" i="11"/>
  <c r="K102" i="11"/>
  <c r="K101" i="11" s="1"/>
  <c r="G102" i="11"/>
  <c r="J98" i="11"/>
  <c r="N98" i="11" s="1"/>
  <c r="J94" i="11"/>
  <c r="J95" i="11"/>
  <c r="N95" i="11" s="1"/>
  <c r="J96" i="11"/>
  <c r="N96" i="11" s="1"/>
  <c r="BX151" i="9"/>
  <c r="BP152" i="9"/>
  <c r="BP151" i="9"/>
  <c r="BS151" i="9" s="1"/>
  <c r="S37" i="11"/>
  <c r="X38" i="11"/>
  <c r="BX148" i="9"/>
  <c r="BX147" i="9"/>
  <c r="BP148" i="9"/>
  <c r="BS148" i="9" s="1"/>
  <c r="BP147" i="9"/>
  <c r="X43" i="11"/>
  <c r="X75" i="11"/>
  <c r="X79" i="11"/>
  <c r="S74" i="11"/>
  <c r="S78" i="11"/>
  <c r="S77" i="11"/>
  <c r="S75" i="11"/>
  <c r="S81" i="11"/>
  <c r="X74" i="11"/>
  <c r="X78" i="11"/>
  <c r="X83" i="11"/>
  <c r="X77" i="11"/>
  <c r="X82" i="11"/>
  <c r="X81" i="11"/>
  <c r="X25" i="11"/>
  <c r="S43" i="11"/>
  <c r="S42" i="11"/>
  <c r="S25" i="11"/>
  <c r="S26" i="11"/>
  <c r="S79" i="11"/>
  <c r="S83" i="11"/>
  <c r="J81" i="11"/>
  <c r="N81" i="11" s="1"/>
  <c r="J82" i="11"/>
  <c r="N82" i="11" s="1"/>
  <c r="J83" i="11"/>
  <c r="N83" i="11" s="1"/>
  <c r="Y83" i="11" s="1"/>
  <c r="J77" i="11"/>
  <c r="N77" i="11" s="1"/>
  <c r="J78" i="11"/>
  <c r="N78" i="11" s="1"/>
  <c r="J79" i="11"/>
  <c r="N79" i="11" s="1"/>
  <c r="J75" i="11"/>
  <c r="N75" i="11" s="1"/>
  <c r="J74" i="11"/>
  <c r="N74" i="11" s="1"/>
  <c r="J64" i="11"/>
  <c r="J53" i="11"/>
  <c r="N53" i="11" s="1"/>
  <c r="X39" i="11"/>
  <c r="S35" i="11"/>
  <c r="N41" i="11"/>
  <c r="Y41" i="11" s="1"/>
  <c r="J37" i="11"/>
  <c r="N37" i="11" s="1"/>
  <c r="Y37" i="11" s="1"/>
  <c r="J33" i="11"/>
  <c r="N33" i="11" s="1"/>
  <c r="J42" i="11"/>
  <c r="N42" i="11" s="1"/>
  <c r="J43" i="11"/>
  <c r="N43" i="11" s="1"/>
  <c r="J38" i="11"/>
  <c r="N38" i="11" s="1"/>
  <c r="J39" i="11"/>
  <c r="N39" i="11" s="1"/>
  <c r="J34" i="11"/>
  <c r="N34" i="11" s="1"/>
  <c r="J35" i="11"/>
  <c r="N35" i="11" s="1"/>
  <c r="X27" i="11"/>
  <c r="X26" i="11"/>
  <c r="S27" i="11"/>
  <c r="J26" i="11"/>
  <c r="J27" i="11"/>
  <c r="N27" i="11" s="1"/>
  <c r="AB196" i="13"/>
  <c r="AB868" i="13"/>
  <c r="U1128" i="13"/>
  <c r="V1128" i="13"/>
  <c r="S39" i="13"/>
  <c r="T736" i="13"/>
  <c r="S1024" i="13"/>
  <c r="S49" i="13"/>
  <c r="AB709" i="13"/>
  <c r="AB713" i="13"/>
  <c r="W736" i="13"/>
  <c r="W1128" i="13"/>
  <c r="R1128" i="13"/>
  <c r="M1128" i="13"/>
  <c r="S817" i="13"/>
  <c r="T1128" i="13"/>
  <c r="O1128" i="13"/>
  <c r="H1128" i="13"/>
  <c r="I786" i="13"/>
  <c r="J786" i="13" s="1"/>
  <c r="I791" i="13"/>
  <c r="J791" i="13" s="1"/>
  <c r="I800" i="13"/>
  <c r="J800" i="13" s="1"/>
  <c r="AB852" i="13"/>
  <c r="X916" i="13"/>
  <c r="AB927" i="13"/>
  <c r="AB931" i="13"/>
  <c r="AB936" i="13"/>
  <c r="P1128" i="13"/>
  <c r="K1128" i="13"/>
  <c r="R21" i="7"/>
  <c r="R20" i="7"/>
  <c r="O38" i="7"/>
  <c r="L41" i="7"/>
  <c r="O43" i="7"/>
  <c r="R43" i="7" s="1"/>
  <c r="S52" i="13"/>
  <c r="I739" i="13"/>
  <c r="J739" i="13" s="1"/>
  <c r="O736" i="13"/>
  <c r="M736" i="13"/>
  <c r="R736" i="13"/>
  <c r="R734" i="13" s="1"/>
  <c r="R733" i="13" s="1"/>
  <c r="L736" i="13"/>
  <c r="AB843" i="13"/>
  <c r="AB850" i="13"/>
  <c r="AB854" i="13"/>
  <c r="AB860" i="13"/>
  <c r="AB864" i="13"/>
  <c r="AB870" i="13"/>
  <c r="AB957" i="13"/>
  <c r="S1130" i="13"/>
  <c r="M811" i="13"/>
  <c r="W811" i="13"/>
  <c r="S916" i="13"/>
  <c r="AB934" i="13"/>
  <c r="I1024" i="13"/>
  <c r="I1130" i="13"/>
  <c r="AB857" i="13"/>
  <c r="AB862" i="13"/>
  <c r="AB975" i="13"/>
  <c r="X1024" i="13"/>
  <c r="X1023" i="13" s="1"/>
  <c r="H736" i="13"/>
  <c r="I781" i="13"/>
  <c r="J781" i="13" s="1"/>
  <c r="S788" i="13"/>
  <c r="I806" i="13"/>
  <c r="J806" i="13" s="1"/>
  <c r="H811" i="13"/>
  <c r="K811" i="13"/>
  <c r="P811" i="13"/>
  <c r="U811" i="13"/>
  <c r="S815" i="13"/>
  <c r="S821" i="13"/>
  <c r="X821" i="13"/>
  <c r="I822" i="13"/>
  <c r="J822" i="13" s="1"/>
  <c r="I826" i="13"/>
  <c r="J826" i="13" s="1"/>
  <c r="N826" i="13" s="1"/>
  <c r="L840" i="13"/>
  <c r="Q840" i="13"/>
  <c r="U840" i="13"/>
  <c r="M1023" i="13"/>
  <c r="M946" i="13" s="1"/>
  <c r="M945" i="13" s="1"/>
  <c r="R1023" i="13"/>
  <c r="R946" i="13" s="1"/>
  <c r="W1023" i="13"/>
  <c r="W946" i="13" s="1"/>
  <c r="W945" i="13" s="1"/>
  <c r="AB711" i="13"/>
  <c r="AB715" i="13"/>
  <c r="I738" i="13"/>
  <c r="S793" i="13"/>
  <c r="S797" i="13"/>
  <c r="S800" i="13"/>
  <c r="S804" i="13"/>
  <c r="X804" i="13"/>
  <c r="O811" i="13"/>
  <c r="S819" i="13"/>
  <c r="S827" i="13"/>
  <c r="I829" i="13"/>
  <c r="J829" i="13" s="1"/>
  <c r="N829" i="13" s="1"/>
  <c r="AB876" i="13"/>
  <c r="AB881" i="13"/>
  <c r="K840" i="13"/>
  <c r="P840" i="13"/>
  <c r="T840" i="13"/>
  <c r="AB950" i="13"/>
  <c r="L1023" i="13"/>
  <c r="L946" i="13" s="1"/>
  <c r="Q1023" i="13"/>
  <c r="Q946" i="13" s="1"/>
  <c r="V1023" i="13"/>
  <c r="V946" i="13" s="1"/>
  <c r="Q736" i="13"/>
  <c r="V736" i="13"/>
  <c r="S741" i="13"/>
  <c r="S747" i="13"/>
  <c r="X747" i="13"/>
  <c r="S752" i="13"/>
  <c r="X752" i="13"/>
  <c r="S757" i="13"/>
  <c r="X757" i="13"/>
  <c r="S763" i="13"/>
  <c r="X763" i="13"/>
  <c r="S768" i="13"/>
  <c r="X768" i="13"/>
  <c r="S774" i="13"/>
  <c r="X774" i="13"/>
  <c r="I782" i="13"/>
  <c r="J782" i="13" s="1"/>
  <c r="S838" i="13"/>
  <c r="AB855" i="13"/>
  <c r="O840" i="13"/>
  <c r="W840" i="13"/>
  <c r="AB939" i="13"/>
  <c r="K1023" i="13"/>
  <c r="K946" i="13" s="1"/>
  <c r="P1023" i="13"/>
  <c r="P946" i="13" s="1"/>
  <c r="U1023" i="13"/>
  <c r="U946" i="13" s="1"/>
  <c r="I831" i="13"/>
  <c r="J831" i="13" s="1"/>
  <c r="H840" i="13"/>
  <c r="M840" i="13"/>
  <c r="R840" i="13"/>
  <c r="V840" i="13"/>
  <c r="AB980" i="13"/>
  <c r="AB986" i="13"/>
  <c r="AB990" i="13"/>
  <c r="AB994" i="13"/>
  <c r="AB998" i="13"/>
  <c r="AB1003" i="13"/>
  <c r="H1023" i="13"/>
  <c r="H946" i="13" s="1"/>
  <c r="O1023" i="13"/>
  <c r="O946" i="13" s="1"/>
  <c r="T1023" i="13"/>
  <c r="T946" i="13" s="1"/>
  <c r="X819" i="13"/>
  <c r="X827" i="13"/>
  <c r="X838" i="13"/>
  <c r="S739" i="13"/>
  <c r="X739" i="13"/>
  <c r="S746" i="13"/>
  <c r="S750" i="13"/>
  <c r="S761" i="13"/>
  <c r="X766" i="13"/>
  <c r="S772" i="13"/>
  <c r="X772" i="13"/>
  <c r="S777" i="13"/>
  <c r="X777" i="13"/>
  <c r="I778" i="13"/>
  <c r="J778" i="13" s="1"/>
  <c r="S787" i="13"/>
  <c r="S791" i="13"/>
  <c r="S814" i="13"/>
  <c r="X814" i="13"/>
  <c r="S818" i="13"/>
  <c r="I838" i="13"/>
  <c r="J838" i="13" s="1"/>
  <c r="AB976" i="13"/>
  <c r="AB240" i="13"/>
  <c r="S53" i="13"/>
  <c r="S54" i="13"/>
  <c r="S56" i="13"/>
  <c r="AB724" i="13"/>
  <c r="S755" i="13"/>
  <c r="X755" i="13"/>
  <c r="S765" i="13"/>
  <c r="X765" i="13"/>
  <c r="S780" i="13"/>
  <c r="X780" i="13"/>
  <c r="S783" i="13"/>
  <c r="X783" i="13"/>
  <c r="S786" i="13"/>
  <c r="X786" i="13"/>
  <c r="S795" i="13"/>
  <c r="X795" i="13"/>
  <c r="S799" i="13"/>
  <c r="X799" i="13"/>
  <c r="AB848" i="13"/>
  <c r="AB863" i="13"/>
  <c r="AB869" i="13"/>
  <c r="AB943" i="13"/>
  <c r="S743" i="13"/>
  <c r="X743" i="13"/>
  <c r="S748" i="13"/>
  <c r="S753" i="13"/>
  <c r="S775" i="13"/>
  <c r="S782" i="13"/>
  <c r="S789" i="13"/>
  <c r="S794" i="13"/>
  <c r="S798" i="13"/>
  <c r="S801" i="13"/>
  <c r="AB885" i="13"/>
  <c r="AB923" i="13"/>
  <c r="S745" i="13"/>
  <c r="S759" i="13"/>
  <c r="S771" i="13"/>
  <c r="X771" i="13"/>
  <c r="S776" i="13"/>
  <c r="X798" i="13"/>
  <c r="X801" i="13"/>
  <c r="S805" i="13"/>
  <c r="S770" i="13"/>
  <c r="S779" i="13"/>
  <c r="X782" i="13"/>
  <c r="X794" i="13"/>
  <c r="X797" i="13"/>
  <c r="AB889" i="13"/>
  <c r="AB893" i="13"/>
  <c r="AB899" i="13"/>
  <c r="AB1012" i="13"/>
  <c r="AB1016" i="13"/>
  <c r="AA15" i="13"/>
  <c r="AA1234" i="13" s="1"/>
  <c r="X785" i="13"/>
  <c r="I815" i="13"/>
  <c r="J815" i="13" s="1"/>
  <c r="I823" i="13"/>
  <c r="J823" i="13" s="1"/>
  <c r="AB877" i="13"/>
  <c r="AB1013" i="13"/>
  <c r="X746" i="13"/>
  <c r="X750" i="13"/>
  <c r="S756" i="13"/>
  <c r="X761" i="13"/>
  <c r="S784" i="13"/>
  <c r="S802" i="13"/>
  <c r="X802" i="13"/>
  <c r="AB891" i="13"/>
  <c r="AB896" i="13"/>
  <c r="I30" i="13"/>
  <c r="J30" i="13" s="1"/>
  <c r="I45" i="13"/>
  <c r="J45" i="13" s="1"/>
  <c r="I52" i="13"/>
  <c r="J52" i="13" s="1"/>
  <c r="N52" i="13" s="1"/>
  <c r="I56" i="13"/>
  <c r="J56" i="13" s="1"/>
  <c r="I62" i="13"/>
  <c r="J62" i="13" s="1"/>
  <c r="N62" i="13" s="1"/>
  <c r="I101" i="13"/>
  <c r="J101" i="13" s="1"/>
  <c r="N101" i="13" s="1"/>
  <c r="I105" i="13"/>
  <c r="J105" i="13" s="1"/>
  <c r="I109" i="13"/>
  <c r="J109" i="13" s="1"/>
  <c r="I129" i="13"/>
  <c r="J129" i="13" s="1"/>
  <c r="I133" i="13"/>
  <c r="J133" i="13" s="1"/>
  <c r="X741" i="13"/>
  <c r="I743" i="13"/>
  <c r="J743" i="13" s="1"/>
  <c r="I748" i="13"/>
  <c r="J748" i="13" s="1"/>
  <c r="I753" i="13"/>
  <c r="J753" i="13" s="1"/>
  <c r="I764" i="13"/>
  <c r="J764" i="13" s="1"/>
  <c r="N764" i="13" s="1"/>
  <c r="I770" i="13"/>
  <c r="J770" i="13" s="1"/>
  <c r="I775" i="13"/>
  <c r="J775" i="13" s="1"/>
  <c r="S778" i="13"/>
  <c r="X778" i="13"/>
  <c r="I779" i="13"/>
  <c r="J779" i="13" s="1"/>
  <c r="X788" i="13"/>
  <c r="I789" i="13"/>
  <c r="J789" i="13" s="1"/>
  <c r="X793" i="13"/>
  <c r="I794" i="13"/>
  <c r="J794" i="13" s="1"/>
  <c r="I797" i="13"/>
  <c r="J797" i="13" s="1"/>
  <c r="S803" i="13"/>
  <c r="X803" i="13"/>
  <c r="I804" i="13"/>
  <c r="J804" i="13" s="1"/>
  <c r="X817" i="13"/>
  <c r="AB883" i="13"/>
  <c r="AB887" i="13"/>
  <c r="AB905" i="13"/>
  <c r="AB909" i="13"/>
  <c r="AB920" i="13"/>
  <c r="AB926" i="13"/>
  <c r="AB930" i="13"/>
  <c r="AB935" i="13"/>
  <c r="AB941" i="13"/>
  <c r="L703" i="13"/>
  <c r="I741" i="13"/>
  <c r="J741" i="13" s="1"/>
  <c r="I747" i="13"/>
  <c r="J747" i="13" s="1"/>
  <c r="I752" i="13"/>
  <c r="J752" i="13" s="1"/>
  <c r="X756" i="13"/>
  <c r="I757" i="13"/>
  <c r="J757" i="13" s="1"/>
  <c r="I763" i="13"/>
  <c r="J763" i="13" s="1"/>
  <c r="I768" i="13"/>
  <c r="J768" i="13" s="1"/>
  <c r="I774" i="13"/>
  <c r="J774" i="13" s="1"/>
  <c r="S781" i="13"/>
  <c r="X781" i="13"/>
  <c r="X784" i="13"/>
  <c r="I785" i="13"/>
  <c r="J785" i="13" s="1"/>
  <c r="X787" i="13"/>
  <c r="I788" i="13"/>
  <c r="J788" i="13" s="1"/>
  <c r="X791" i="13"/>
  <c r="I793" i="13"/>
  <c r="J793" i="13" s="1"/>
  <c r="I803" i="13"/>
  <c r="J803" i="13" s="1"/>
  <c r="S806" i="13"/>
  <c r="X806" i="13"/>
  <c r="I814" i="13"/>
  <c r="J814" i="13" s="1"/>
  <c r="N814" i="13" s="1"/>
  <c r="I821" i="13"/>
  <c r="J821" i="13" s="1"/>
  <c r="S822" i="13"/>
  <c r="X822" i="13"/>
  <c r="S825" i="13"/>
  <c r="X825" i="13"/>
  <c r="S833" i="13"/>
  <c r="X833" i="13"/>
  <c r="I834" i="13"/>
  <c r="J834" i="13" s="1"/>
  <c r="AB853" i="13"/>
  <c r="AB858" i="13"/>
  <c r="AB875" i="13"/>
  <c r="AB880" i="13"/>
  <c r="AB884" i="13"/>
  <c r="AB888" i="13"/>
  <c r="AB955" i="13"/>
  <c r="AB960" i="13"/>
  <c r="AB965" i="13"/>
  <c r="AB970" i="13"/>
  <c r="AB982" i="13"/>
  <c r="AB987" i="13"/>
  <c r="AB991" i="13"/>
  <c r="AB995" i="13"/>
  <c r="AB999" i="13"/>
  <c r="AB1005" i="13"/>
  <c r="AB1009" i="13"/>
  <c r="S738" i="13"/>
  <c r="X738" i="13"/>
  <c r="X745" i="13"/>
  <c r="I746" i="13"/>
  <c r="J746" i="13" s="1"/>
  <c r="S749" i="13"/>
  <c r="X749" i="13"/>
  <c r="I750" i="13"/>
  <c r="J750" i="13" s="1"/>
  <c r="I756" i="13"/>
  <c r="J756" i="13" s="1"/>
  <c r="X759" i="13"/>
  <c r="I761" i="13"/>
  <c r="J761" i="13" s="1"/>
  <c r="I766" i="13"/>
  <c r="J766" i="13" s="1"/>
  <c r="I772" i="13"/>
  <c r="J772" i="13" s="1"/>
  <c r="X776" i="13"/>
  <c r="I777" i="13"/>
  <c r="J777" i="13" s="1"/>
  <c r="I784" i="13"/>
  <c r="J784" i="13" s="1"/>
  <c r="I787" i="13"/>
  <c r="J787" i="13" s="1"/>
  <c r="I799" i="13"/>
  <c r="J799" i="13" s="1"/>
  <c r="I802" i="13"/>
  <c r="J802" i="13" s="1"/>
  <c r="X805" i="13"/>
  <c r="X818" i="13"/>
  <c r="I819" i="13"/>
  <c r="J819" i="13" s="1"/>
  <c r="S824" i="13"/>
  <c r="X824" i="13"/>
  <c r="I825" i="13"/>
  <c r="J825" i="13" s="1"/>
  <c r="S826" i="13"/>
  <c r="X826" i="13"/>
  <c r="S830" i="13"/>
  <c r="X830" i="13"/>
  <c r="AB903" i="13"/>
  <c r="AB907" i="13"/>
  <c r="AB911" i="13"/>
  <c r="AB928" i="13"/>
  <c r="AB932" i="13"/>
  <c r="AB938" i="13"/>
  <c r="H703" i="13"/>
  <c r="I745" i="13"/>
  <c r="J745" i="13" s="1"/>
  <c r="X748" i="13"/>
  <c r="I749" i="13"/>
  <c r="J749" i="13" s="1"/>
  <c r="X753" i="13"/>
  <c r="I755" i="13"/>
  <c r="J755" i="13" s="1"/>
  <c r="S758" i="13"/>
  <c r="X758" i="13"/>
  <c r="I759" i="13"/>
  <c r="J759" i="13" s="1"/>
  <c r="S764" i="13"/>
  <c r="X764" i="13"/>
  <c r="I765" i="13"/>
  <c r="J765" i="13" s="1"/>
  <c r="X770" i="13"/>
  <c r="I771" i="13"/>
  <c r="J771" i="13" s="1"/>
  <c r="X775" i="13"/>
  <c r="I776" i="13"/>
  <c r="J776" i="13" s="1"/>
  <c r="X779" i="13"/>
  <c r="I780" i="13"/>
  <c r="J780" i="13" s="1"/>
  <c r="I783" i="13"/>
  <c r="J783" i="13" s="1"/>
  <c r="X789" i="13"/>
  <c r="I795" i="13"/>
  <c r="J795" i="13" s="1"/>
  <c r="I798" i="13"/>
  <c r="J798" i="13" s="1"/>
  <c r="X800" i="13"/>
  <c r="I801" i="13"/>
  <c r="J801" i="13" s="1"/>
  <c r="I805" i="13"/>
  <c r="J805" i="13" s="1"/>
  <c r="X815" i="13"/>
  <c r="S823" i="13"/>
  <c r="X823" i="13"/>
  <c r="I824" i="13"/>
  <c r="J824" i="13" s="1"/>
  <c r="S829" i="13"/>
  <c r="X829" i="13"/>
  <c r="I830" i="13"/>
  <c r="J830" i="13" s="1"/>
  <c r="S831" i="13"/>
  <c r="X831" i="13"/>
  <c r="S836" i="13"/>
  <c r="X836" i="13"/>
  <c r="AB844" i="13"/>
  <c r="AB866" i="13"/>
  <c r="AB882" i="13"/>
  <c r="AB919" i="13"/>
  <c r="AB924" i="13"/>
  <c r="J738" i="13"/>
  <c r="N738" i="13" s="1"/>
  <c r="J891" i="13"/>
  <c r="J896" i="13"/>
  <c r="J905" i="13"/>
  <c r="J909" i="13"/>
  <c r="J950" i="13"/>
  <c r="J957" i="13"/>
  <c r="J961" i="13"/>
  <c r="J967" i="13"/>
  <c r="J971" i="13"/>
  <c r="J977" i="13"/>
  <c r="J983" i="13"/>
  <c r="J988" i="13"/>
  <c r="J992" i="13"/>
  <c r="J996" i="13"/>
  <c r="J1000" i="13"/>
  <c r="J1006" i="13"/>
  <c r="J1010" i="13"/>
  <c r="J1014" i="13"/>
  <c r="J1018" i="13"/>
  <c r="S841" i="13"/>
  <c r="S840" i="13" s="1"/>
  <c r="AB892" i="13"/>
  <c r="AB898" i="13"/>
  <c r="AB902" i="13"/>
  <c r="AB906" i="13"/>
  <c r="AB910" i="13"/>
  <c r="AB951" i="13"/>
  <c r="AB958" i="13"/>
  <c r="AB962" i="13"/>
  <c r="AB968" i="13"/>
  <c r="AB973" i="13"/>
  <c r="AB978" i="13"/>
  <c r="AB984" i="13"/>
  <c r="AB989" i="13"/>
  <c r="AB993" i="13"/>
  <c r="AB997" i="13"/>
  <c r="AB1001" i="13"/>
  <c r="AB1007" i="13"/>
  <c r="AB1011" i="13"/>
  <c r="AB1015" i="13"/>
  <c r="AB1021" i="13"/>
  <c r="J892" i="13"/>
  <c r="J898" i="13"/>
  <c r="J902" i="13"/>
  <c r="J906" i="13"/>
  <c r="J910" i="13"/>
  <c r="J951" i="13"/>
  <c r="J958" i="13"/>
  <c r="J962" i="13"/>
  <c r="J968" i="13"/>
  <c r="J973" i="13"/>
  <c r="J978" i="13"/>
  <c r="J984" i="13"/>
  <c r="J989" i="13"/>
  <c r="J993" i="13"/>
  <c r="J997" i="13"/>
  <c r="J1001" i="13"/>
  <c r="J1007" i="13"/>
  <c r="J1011" i="13"/>
  <c r="J1015" i="13"/>
  <c r="J1021" i="13"/>
  <c r="J843" i="13"/>
  <c r="N843" i="13" s="1"/>
  <c r="J844" i="13"/>
  <c r="J846" i="13"/>
  <c r="J848" i="13"/>
  <c r="J850" i="13"/>
  <c r="J851" i="13"/>
  <c r="J852" i="13"/>
  <c r="J853" i="13"/>
  <c r="J854" i="13"/>
  <c r="J855" i="13"/>
  <c r="J857" i="13"/>
  <c r="J858" i="13"/>
  <c r="J860" i="13"/>
  <c r="J861" i="13"/>
  <c r="J862" i="13"/>
  <c r="J863" i="13"/>
  <c r="J864" i="13"/>
  <c r="J866" i="13"/>
  <c r="J868" i="13"/>
  <c r="J869" i="13"/>
  <c r="J870" i="13"/>
  <c r="J871" i="13"/>
  <c r="J873" i="13"/>
  <c r="J875" i="13"/>
  <c r="J876" i="13"/>
  <c r="J877" i="13"/>
  <c r="J879" i="13"/>
  <c r="J880" i="13"/>
  <c r="J881" i="13"/>
  <c r="J882" i="13"/>
  <c r="J883" i="13"/>
  <c r="J884" i="13"/>
  <c r="J885" i="13"/>
  <c r="J886" i="13"/>
  <c r="J887" i="13"/>
  <c r="J888" i="13"/>
  <c r="J893" i="13"/>
  <c r="J899" i="13"/>
  <c r="J903" i="13"/>
  <c r="J907" i="13"/>
  <c r="J911" i="13"/>
  <c r="J953" i="13"/>
  <c r="J959" i="13"/>
  <c r="J964" i="13"/>
  <c r="J969" i="13"/>
  <c r="J975" i="13"/>
  <c r="J980" i="13"/>
  <c r="J986" i="13"/>
  <c r="J990" i="13"/>
  <c r="J994" i="13"/>
  <c r="J998" i="13"/>
  <c r="J1003" i="13"/>
  <c r="J1012" i="13"/>
  <c r="J1016" i="13"/>
  <c r="J890" i="13"/>
  <c r="J894" i="13"/>
  <c r="J900" i="13"/>
  <c r="J904" i="13"/>
  <c r="J908" i="13"/>
  <c r="J914" i="13"/>
  <c r="J955" i="13"/>
  <c r="J960" i="13"/>
  <c r="J965" i="13"/>
  <c r="J970" i="13"/>
  <c r="J976" i="13"/>
  <c r="J982" i="13"/>
  <c r="J987" i="13"/>
  <c r="J991" i="13"/>
  <c r="J995" i="13"/>
  <c r="J999" i="13"/>
  <c r="J1005" i="13"/>
  <c r="J1009" i="13"/>
  <c r="J1013" i="13"/>
  <c r="J1017" i="13"/>
  <c r="Y889" i="13"/>
  <c r="AB961" i="13"/>
  <c r="AB967" i="13"/>
  <c r="AB971" i="13"/>
  <c r="AB977" i="13"/>
  <c r="AB983" i="13"/>
  <c r="AB988" i="13"/>
  <c r="AB992" i="13"/>
  <c r="AB996" i="13"/>
  <c r="AB1000" i="13"/>
  <c r="AB1006" i="13"/>
  <c r="AB1010" i="13"/>
  <c r="AB1014" i="13"/>
  <c r="AB1018" i="13"/>
  <c r="J919" i="13"/>
  <c r="N919" i="13" s="1"/>
  <c r="J920" i="13"/>
  <c r="J922" i="13"/>
  <c r="J923" i="13"/>
  <c r="J924" i="13"/>
  <c r="J926" i="13"/>
  <c r="J927" i="13"/>
  <c r="J928" i="13"/>
  <c r="J929" i="13"/>
  <c r="J930" i="13"/>
  <c r="J931" i="13"/>
  <c r="J932" i="13"/>
  <c r="J934" i="13"/>
  <c r="J935" i="13"/>
  <c r="J936" i="13"/>
  <c r="J938" i="13"/>
  <c r="J939" i="13"/>
  <c r="J941" i="13"/>
  <c r="J943" i="13"/>
  <c r="I24" i="13"/>
  <c r="J24" i="13" s="1"/>
  <c r="N24" i="13" s="1"/>
  <c r="AB710" i="13"/>
  <c r="AB714" i="13"/>
  <c r="AB216" i="13"/>
  <c r="AB220" i="13"/>
  <c r="AB224" i="13"/>
  <c r="I83" i="13"/>
  <c r="J83" i="13" s="1"/>
  <c r="I87" i="13"/>
  <c r="J87" i="13" s="1"/>
  <c r="I91" i="13"/>
  <c r="J91" i="13" s="1"/>
  <c r="I95" i="13"/>
  <c r="J95" i="13" s="1"/>
  <c r="I124" i="13"/>
  <c r="J124" i="13" s="1"/>
  <c r="I139" i="13"/>
  <c r="J139" i="13" s="1"/>
  <c r="AB707" i="13"/>
  <c r="AB712" i="13"/>
  <c r="AB716" i="13"/>
  <c r="AB718" i="13"/>
  <c r="AB719" i="13"/>
  <c r="AB720" i="13"/>
  <c r="AB722" i="13"/>
  <c r="J731" i="13"/>
  <c r="N731" i="13" s="1"/>
  <c r="J724" i="13"/>
  <c r="Y722" i="13"/>
  <c r="Z722" i="13"/>
  <c r="Y718" i="13"/>
  <c r="Z718" i="13"/>
  <c r="Y719" i="13"/>
  <c r="Z719" i="13"/>
  <c r="Y720" i="13"/>
  <c r="Z720" i="13"/>
  <c r="J709" i="13"/>
  <c r="J710" i="13"/>
  <c r="J711" i="13"/>
  <c r="J712" i="13"/>
  <c r="J713" i="13"/>
  <c r="J714" i="13"/>
  <c r="J715" i="13"/>
  <c r="J716" i="13"/>
  <c r="J707" i="13"/>
  <c r="N707" i="13" s="1"/>
  <c r="AB230" i="13"/>
  <c r="AB238" i="13"/>
  <c r="AB258" i="13"/>
  <c r="AB286" i="13"/>
  <c r="AB292" i="13"/>
  <c r="AB297" i="13"/>
  <c r="AB302" i="13"/>
  <c r="AB308" i="13"/>
  <c r="I246" i="13"/>
  <c r="AB159" i="13"/>
  <c r="AB662" i="13"/>
  <c r="AB667" i="13"/>
  <c r="AB671" i="13"/>
  <c r="AB675" i="13"/>
  <c r="AB679" i="13"/>
  <c r="AB685" i="13"/>
  <c r="AB689" i="13"/>
  <c r="AB693" i="13"/>
  <c r="AB697" i="13"/>
  <c r="AB244" i="13"/>
  <c r="AB234" i="13"/>
  <c r="AB260" i="13"/>
  <c r="AB633" i="13"/>
  <c r="AB639" i="13"/>
  <c r="AB644" i="13"/>
  <c r="AB649" i="13"/>
  <c r="AB655" i="13"/>
  <c r="AB660" i="13"/>
  <c r="AB666" i="13"/>
  <c r="AB670" i="13"/>
  <c r="AB674" i="13"/>
  <c r="AB678" i="13"/>
  <c r="AB683" i="13"/>
  <c r="AB692" i="13"/>
  <c r="AB696" i="13"/>
  <c r="X627" i="13"/>
  <c r="L117" i="13"/>
  <c r="M117" i="13"/>
  <c r="S627" i="13"/>
  <c r="AB249" i="13"/>
  <c r="AB288" i="13"/>
  <c r="AB293" i="13"/>
  <c r="AB298" i="13"/>
  <c r="AB303" i="13"/>
  <c r="Z308" i="13"/>
  <c r="AB309" i="13"/>
  <c r="AB332" i="13"/>
  <c r="AB338" i="13"/>
  <c r="AB342" i="13"/>
  <c r="AB346" i="13"/>
  <c r="AB350" i="13"/>
  <c r="I627" i="13"/>
  <c r="AB269" i="13"/>
  <c r="AB256" i="13"/>
  <c r="AB630" i="13"/>
  <c r="AB637" i="13"/>
  <c r="AB641" i="13"/>
  <c r="AB647" i="13"/>
  <c r="AB651" i="13"/>
  <c r="AB657" i="13"/>
  <c r="AB663" i="13"/>
  <c r="AB668" i="13"/>
  <c r="AB672" i="13"/>
  <c r="AB676" i="13"/>
  <c r="AB680" i="13"/>
  <c r="AB686" i="13"/>
  <c r="AB690" i="13"/>
  <c r="AB694" i="13"/>
  <c r="AB698" i="13"/>
  <c r="AB631" i="13"/>
  <c r="AB638" i="13"/>
  <c r="AB642" i="13"/>
  <c r="AB648" i="13"/>
  <c r="AB653" i="13"/>
  <c r="AB658" i="13"/>
  <c r="AB664" i="13"/>
  <c r="AB669" i="13"/>
  <c r="AB673" i="13"/>
  <c r="AB677" i="13"/>
  <c r="AB681" i="13"/>
  <c r="AB687" i="13"/>
  <c r="AB691" i="13"/>
  <c r="AB695" i="13"/>
  <c r="AB701" i="13"/>
  <c r="J630" i="13"/>
  <c r="N630" i="13" s="1"/>
  <c r="J631" i="13"/>
  <c r="J633" i="13"/>
  <c r="J635" i="13"/>
  <c r="J637" i="13"/>
  <c r="J638" i="13"/>
  <c r="J639" i="13"/>
  <c r="J640" i="13"/>
  <c r="J641" i="13"/>
  <c r="J642" i="13"/>
  <c r="J644" i="13"/>
  <c r="J645" i="13"/>
  <c r="J647" i="13"/>
  <c r="J648" i="13"/>
  <c r="J649" i="13"/>
  <c r="J650" i="13"/>
  <c r="J651" i="13"/>
  <c r="J653" i="13"/>
  <c r="J655" i="13"/>
  <c r="J656" i="13"/>
  <c r="J657" i="13"/>
  <c r="J658" i="13"/>
  <c r="J660" i="13"/>
  <c r="J662" i="13"/>
  <c r="J663" i="13"/>
  <c r="J664" i="13"/>
  <c r="J666" i="13"/>
  <c r="J667" i="13"/>
  <c r="J668" i="13"/>
  <c r="J669" i="13"/>
  <c r="J670" i="13"/>
  <c r="J671" i="13"/>
  <c r="J672" i="13"/>
  <c r="J673" i="13"/>
  <c r="J674" i="13"/>
  <c r="J675" i="13"/>
  <c r="J676" i="13"/>
  <c r="J677" i="13"/>
  <c r="J678" i="13"/>
  <c r="J679" i="13"/>
  <c r="J680" i="13"/>
  <c r="J681" i="13"/>
  <c r="J683" i="13"/>
  <c r="J685" i="13"/>
  <c r="J686" i="13"/>
  <c r="J687" i="13"/>
  <c r="J689" i="13"/>
  <c r="J690" i="13"/>
  <c r="J691" i="13"/>
  <c r="J692" i="13"/>
  <c r="J693" i="13"/>
  <c r="J694" i="13"/>
  <c r="J695" i="13"/>
  <c r="J696" i="13"/>
  <c r="J697" i="13"/>
  <c r="J698" i="13"/>
  <c r="J701" i="13"/>
  <c r="X171" i="13"/>
  <c r="AB265" i="13"/>
  <c r="AB271" i="13"/>
  <c r="AB329" i="13"/>
  <c r="AB317" i="13"/>
  <c r="K117" i="13"/>
  <c r="AB331" i="13"/>
  <c r="AB336" i="13"/>
  <c r="H117" i="13"/>
  <c r="AB152" i="13"/>
  <c r="AB203" i="13"/>
  <c r="AB209" i="13"/>
  <c r="AB213" i="13"/>
  <c r="AB217" i="13"/>
  <c r="AB254" i="13"/>
  <c r="I36" i="13"/>
  <c r="J36" i="13" s="1"/>
  <c r="N36" i="13" s="1"/>
  <c r="J44" i="13"/>
  <c r="N44" i="13" s="1"/>
  <c r="J58" i="13"/>
  <c r="N58" i="13" s="1"/>
  <c r="J59" i="13"/>
  <c r="N59" i="13" s="1"/>
  <c r="J65" i="13"/>
  <c r="N65" i="13" s="1"/>
  <c r="J72" i="13"/>
  <c r="N72" i="13" s="1"/>
  <c r="J80" i="13"/>
  <c r="J23" i="13"/>
  <c r="N23" i="13" s="1"/>
  <c r="J25" i="13"/>
  <c r="N25" i="13" s="1"/>
  <c r="J29" i="13"/>
  <c r="N29" i="13" s="1"/>
  <c r="J35" i="13"/>
  <c r="N35" i="13" s="1"/>
  <c r="J37" i="13"/>
  <c r="N37" i="13" s="1"/>
  <c r="J39" i="13"/>
  <c r="N39" i="13" s="1"/>
  <c r="J121" i="13"/>
  <c r="AB182" i="13"/>
  <c r="AB221" i="13"/>
  <c r="AB226" i="13"/>
  <c r="AB322" i="13"/>
  <c r="AB326" i="13"/>
  <c r="AB330" i="13"/>
  <c r="AB262" i="13"/>
  <c r="AB187" i="13"/>
  <c r="AB235" i="13"/>
  <c r="AB178" i="13"/>
  <c r="AB188" i="13"/>
  <c r="AB228" i="13"/>
  <c r="AB232" i="13"/>
  <c r="K276" i="13"/>
  <c r="K275" i="13" s="1"/>
  <c r="AB149" i="13"/>
  <c r="AB154" i="13"/>
  <c r="L146" i="13"/>
  <c r="Q146" i="13"/>
  <c r="V146" i="13"/>
  <c r="AB180" i="13"/>
  <c r="AB184" i="13"/>
  <c r="AB190" i="13"/>
  <c r="AB194" i="13"/>
  <c r="AB206" i="13"/>
  <c r="AB211" i="13"/>
  <c r="AB215" i="13"/>
  <c r="AB229" i="13"/>
  <c r="AB233" i="13"/>
  <c r="AB237" i="13"/>
  <c r="AB241" i="13"/>
  <c r="AB252" i="13"/>
  <c r="AB257" i="13"/>
  <c r="AB261" i="13"/>
  <c r="AB266" i="13"/>
  <c r="AB291" i="13"/>
  <c r="AB295" i="13"/>
  <c r="AB301" i="13"/>
  <c r="AB306" i="13"/>
  <c r="Z317" i="13"/>
  <c r="AB319" i="13"/>
  <c r="AB323" i="13"/>
  <c r="AB327" i="13"/>
  <c r="Z332" i="13"/>
  <c r="AB333" i="13"/>
  <c r="AB339" i="13"/>
  <c r="AB343" i="13"/>
  <c r="AB347" i="13"/>
  <c r="AB351" i="13"/>
  <c r="I171" i="13"/>
  <c r="X246" i="13"/>
  <c r="AB253" i="13"/>
  <c r="AB268" i="13"/>
  <c r="AB313" i="13"/>
  <c r="H146" i="13"/>
  <c r="O146" i="13"/>
  <c r="T146" i="13"/>
  <c r="AB239" i="13"/>
  <c r="AB259" i="13"/>
  <c r="AB264" i="13"/>
  <c r="AB321" i="13"/>
  <c r="AB160" i="13"/>
  <c r="AB173" i="13"/>
  <c r="I281" i="13"/>
  <c r="I277" i="13" s="1"/>
  <c r="X281" i="13"/>
  <c r="X277" i="13" s="1"/>
  <c r="AB158" i="13"/>
  <c r="AB176" i="13"/>
  <c r="AB193" i="13"/>
  <c r="J249" i="13"/>
  <c r="AB153" i="13"/>
  <c r="AB183" i="13"/>
  <c r="S281" i="13"/>
  <c r="S277" i="13" s="1"/>
  <c r="AB284" i="13"/>
  <c r="AB315" i="13"/>
  <c r="AB345" i="13"/>
  <c r="AB349" i="13"/>
  <c r="AB166" i="13"/>
  <c r="AB207" i="13"/>
  <c r="J284" i="13"/>
  <c r="AB157" i="13"/>
  <c r="AB174" i="13"/>
  <c r="AB164" i="13"/>
  <c r="AB192" i="13"/>
  <c r="AB199" i="13"/>
  <c r="AB205" i="13"/>
  <c r="AB210" i="13"/>
  <c r="AB273" i="13"/>
  <c r="AB290" i="13"/>
  <c r="AB294" i="13"/>
  <c r="AB300" i="13"/>
  <c r="AB304" i="13"/>
  <c r="AB311" i="13"/>
  <c r="Y317" i="13"/>
  <c r="AB320" i="13"/>
  <c r="AB324" i="13"/>
  <c r="AB328" i="13"/>
  <c r="Y332" i="13"/>
  <c r="AB334" i="13"/>
  <c r="AB340" i="13"/>
  <c r="AB344" i="13"/>
  <c r="AB348" i="13"/>
  <c r="AB354" i="13"/>
  <c r="Y331" i="13"/>
  <c r="Z331" i="13"/>
  <c r="Y308" i="13"/>
  <c r="Y315" i="13"/>
  <c r="AB283" i="13"/>
  <c r="J283" i="13"/>
  <c r="N283" i="13" s="1"/>
  <c r="J286" i="13"/>
  <c r="J288" i="13"/>
  <c r="J290" i="13"/>
  <c r="J291" i="13"/>
  <c r="J292" i="13"/>
  <c r="J293" i="13"/>
  <c r="J294" i="13"/>
  <c r="J295" i="13"/>
  <c r="J297" i="13"/>
  <c r="J298" i="13"/>
  <c r="J300" i="13"/>
  <c r="J301" i="13"/>
  <c r="J302" i="13"/>
  <c r="J303" i="13"/>
  <c r="J304" i="13"/>
  <c r="J306" i="13"/>
  <c r="J309" i="13"/>
  <c r="J310" i="13"/>
  <c r="J311" i="13"/>
  <c r="J313" i="13"/>
  <c r="J316" i="13"/>
  <c r="J319" i="13"/>
  <c r="J320" i="13"/>
  <c r="J321" i="13"/>
  <c r="J322" i="13"/>
  <c r="J323" i="13"/>
  <c r="J324" i="13"/>
  <c r="J325" i="13"/>
  <c r="J326" i="13"/>
  <c r="J327" i="13"/>
  <c r="J328" i="13"/>
  <c r="J329" i="13"/>
  <c r="J330" i="13"/>
  <c r="J333" i="13"/>
  <c r="J334" i="13"/>
  <c r="J336" i="13"/>
  <c r="J338" i="13"/>
  <c r="J339" i="13"/>
  <c r="J340" i="13"/>
  <c r="J342" i="13"/>
  <c r="J343" i="13"/>
  <c r="J344" i="13"/>
  <c r="J345" i="13"/>
  <c r="J346" i="13"/>
  <c r="J347" i="13"/>
  <c r="J348" i="13"/>
  <c r="J349" i="13"/>
  <c r="J350" i="13"/>
  <c r="J351" i="13"/>
  <c r="J354" i="13"/>
  <c r="AB198" i="13"/>
  <c r="AB219" i="13"/>
  <c r="AB223" i="13"/>
  <c r="S246" i="13"/>
  <c r="AB200" i="13"/>
  <c r="AB214" i="13"/>
  <c r="AB218" i="13"/>
  <c r="AB222" i="13"/>
  <c r="S171" i="13"/>
  <c r="J273" i="13"/>
  <c r="Y271" i="13"/>
  <c r="Z271" i="13"/>
  <c r="Y268" i="13"/>
  <c r="Z268" i="13"/>
  <c r="Y269" i="13"/>
  <c r="Z269" i="13"/>
  <c r="Y264" i="13"/>
  <c r="Z264" i="13"/>
  <c r="Y265" i="13"/>
  <c r="Z265" i="13"/>
  <c r="Y266" i="13"/>
  <c r="Z266" i="13"/>
  <c r="Y256" i="13"/>
  <c r="Z256" i="13"/>
  <c r="Y257" i="13"/>
  <c r="Z257" i="13"/>
  <c r="Y258" i="13"/>
  <c r="Z258" i="13"/>
  <c r="Y259" i="13"/>
  <c r="Z259" i="13"/>
  <c r="Y260" i="13"/>
  <c r="Z260" i="13"/>
  <c r="Y261" i="13"/>
  <c r="Z261" i="13"/>
  <c r="Y262" i="13"/>
  <c r="Z262" i="13"/>
  <c r="Y252" i="13"/>
  <c r="Z252" i="13"/>
  <c r="Y253" i="13"/>
  <c r="Z253" i="13"/>
  <c r="Y254" i="13"/>
  <c r="Z254" i="13"/>
  <c r="Y250" i="13"/>
  <c r="Z250" i="13"/>
  <c r="Y232" i="13"/>
  <c r="Z232" i="13"/>
  <c r="Y233" i="13"/>
  <c r="Z233" i="13"/>
  <c r="Y234" i="13"/>
  <c r="Z234" i="13"/>
  <c r="Y235" i="13"/>
  <c r="Z235" i="13"/>
  <c r="Y236" i="13"/>
  <c r="Z236" i="13"/>
  <c r="Y237" i="13"/>
  <c r="Z237" i="13"/>
  <c r="Y238" i="13"/>
  <c r="Z238" i="13"/>
  <c r="Y239" i="13"/>
  <c r="Z239" i="13"/>
  <c r="Y240" i="13"/>
  <c r="Z240" i="13"/>
  <c r="Y241" i="13"/>
  <c r="Z241" i="13"/>
  <c r="Y244" i="13"/>
  <c r="Z244" i="13"/>
  <c r="Y228" i="13"/>
  <c r="Z228" i="13"/>
  <c r="Y229" i="13"/>
  <c r="Z229" i="13"/>
  <c r="Y230" i="13"/>
  <c r="Z230" i="13"/>
  <c r="J209" i="13"/>
  <c r="J210" i="13"/>
  <c r="J211" i="13"/>
  <c r="J212" i="13"/>
  <c r="J213" i="13"/>
  <c r="J214" i="13"/>
  <c r="J215" i="13"/>
  <c r="J216" i="13"/>
  <c r="J217" i="13"/>
  <c r="J218" i="13"/>
  <c r="J219" i="13"/>
  <c r="J220" i="13"/>
  <c r="J221" i="13"/>
  <c r="J222" i="13"/>
  <c r="J223" i="13"/>
  <c r="J224" i="13"/>
  <c r="J226" i="13"/>
  <c r="Y203" i="13"/>
  <c r="Z203" i="13"/>
  <c r="Y205" i="13"/>
  <c r="Z205" i="13"/>
  <c r="Y206" i="13"/>
  <c r="Z206" i="13"/>
  <c r="Y207" i="13"/>
  <c r="Z207" i="13"/>
  <c r="Z200" i="13"/>
  <c r="Z201" i="13"/>
  <c r="Y190" i="13"/>
  <c r="Z190" i="13"/>
  <c r="Y191" i="13"/>
  <c r="Z191" i="13"/>
  <c r="Y192" i="13"/>
  <c r="Z192" i="13"/>
  <c r="Y193" i="13"/>
  <c r="Z193" i="13"/>
  <c r="Y194" i="13"/>
  <c r="Z194" i="13"/>
  <c r="J187" i="13"/>
  <c r="J188" i="13"/>
  <c r="Y180" i="13"/>
  <c r="Z180" i="13"/>
  <c r="Y181" i="13"/>
  <c r="Z181" i="13"/>
  <c r="Y182" i="13"/>
  <c r="Z182" i="13"/>
  <c r="Y183" i="13"/>
  <c r="Z183" i="13"/>
  <c r="Y184" i="13"/>
  <c r="Z184" i="13"/>
  <c r="Y185" i="13"/>
  <c r="Z185" i="13"/>
  <c r="Y176" i="13"/>
  <c r="Z176" i="13"/>
  <c r="Y178" i="13"/>
  <c r="Z178" i="13"/>
  <c r="J173" i="13"/>
  <c r="N173" i="13" s="1"/>
  <c r="J174" i="13"/>
  <c r="Y168" i="13"/>
  <c r="Z168" i="13"/>
  <c r="Y164" i="13"/>
  <c r="Z164" i="13"/>
  <c r="Y165" i="13"/>
  <c r="Z165" i="13"/>
  <c r="Y166" i="13"/>
  <c r="Z166" i="13"/>
  <c r="Y151" i="13"/>
  <c r="Z151" i="13"/>
  <c r="Y152" i="13"/>
  <c r="Z152" i="13"/>
  <c r="Y153" i="13"/>
  <c r="Z153" i="13"/>
  <c r="Y154" i="13"/>
  <c r="Z154" i="13"/>
  <c r="Y157" i="13"/>
  <c r="Z157" i="13"/>
  <c r="Y158" i="13"/>
  <c r="Z158" i="13"/>
  <c r="Y159" i="13"/>
  <c r="Z159" i="13"/>
  <c r="Y160" i="13"/>
  <c r="Z160" i="13"/>
  <c r="Y162" i="13"/>
  <c r="Z162" i="13"/>
  <c r="J621" i="13"/>
  <c r="N621" i="13" s="1"/>
  <c r="J626" i="13"/>
  <c r="L159" i="11"/>
  <c r="L158" i="11" s="1"/>
  <c r="L156" i="11"/>
  <c r="H166" i="11"/>
  <c r="L155" i="11"/>
  <c r="L166" i="11"/>
  <c r="H156" i="11"/>
  <c r="L132" i="11"/>
  <c r="I113" i="11"/>
  <c r="I121" i="11"/>
  <c r="I72" i="11"/>
  <c r="I88" i="11" s="1"/>
  <c r="I87" i="11" s="1"/>
  <c r="L111" i="11"/>
  <c r="L66" i="11"/>
  <c r="I24" i="11"/>
  <c r="I31" i="11"/>
  <c r="L17" i="11"/>
  <c r="W155" i="9"/>
  <c r="Z157" i="9"/>
  <c r="BP156" i="9"/>
  <c r="C44" i="1"/>
  <c r="BQ167" i="9"/>
  <c r="BQ166" i="9" s="1"/>
  <c r="BZ167" i="9"/>
  <c r="BZ166" i="9" s="1"/>
  <c r="J35" i="1"/>
  <c r="BX167" i="9"/>
  <c r="BX166" i="9" s="1"/>
  <c r="X166" i="9"/>
  <c r="BN167" i="9"/>
  <c r="BN166" i="9" s="1"/>
  <c r="W166" i="9"/>
  <c r="BK166" i="9"/>
  <c r="BP167" i="9"/>
  <c r="E19" i="1"/>
  <c r="J19" i="1"/>
  <c r="L30" i="1"/>
  <c r="H19" i="1"/>
  <c r="L27" i="1"/>
  <c r="L29" i="1"/>
  <c r="L31" i="1"/>
  <c r="F19" i="1"/>
  <c r="L41" i="1"/>
  <c r="G26" i="1"/>
  <c r="L43" i="1"/>
  <c r="BW75" i="9"/>
  <c r="BL281" i="9"/>
  <c r="BL130" i="9"/>
  <c r="BM93" i="9"/>
  <c r="BM92" i="9" s="1"/>
  <c r="BN26" i="9"/>
  <c r="BK289" i="9"/>
  <c r="BK288" i="9" s="1"/>
  <c r="BK283" i="9"/>
  <c r="BK281" i="9" s="1"/>
  <c r="BK279" i="9"/>
  <c r="BK275" i="9"/>
  <c r="BK272" i="9" s="1"/>
  <c r="BK263" i="9"/>
  <c r="BK255" i="9"/>
  <c r="BK252" i="9"/>
  <c r="BK251" i="9" s="1"/>
  <c r="BK246" i="9"/>
  <c r="BK245" i="9" s="1"/>
  <c r="BK240" i="9"/>
  <c r="BK238" i="9"/>
  <c r="BK233" i="9"/>
  <c r="BK229" i="9"/>
  <c r="BK227" i="9"/>
  <c r="BK220" i="9"/>
  <c r="BK211" i="9"/>
  <c r="BK210" i="9" s="1"/>
  <c r="BK203" i="9"/>
  <c r="BK195" i="9"/>
  <c r="BK191" i="9"/>
  <c r="BK188" i="9"/>
  <c r="BK185" i="9"/>
  <c r="BK177" i="9"/>
  <c r="BK175" i="9"/>
  <c r="BK170" i="9"/>
  <c r="BK169" i="9" s="1"/>
  <c r="BK143" i="9"/>
  <c r="BK138" i="9"/>
  <c r="BK137" i="9" s="1"/>
  <c r="BK132" i="9"/>
  <c r="BK130" i="9"/>
  <c r="BK128" i="9"/>
  <c r="BK124" i="9"/>
  <c r="BK121" i="9" s="1"/>
  <c r="BK112" i="9"/>
  <c r="BK104" i="9"/>
  <c r="BK101" i="9"/>
  <c r="BK100" i="9" s="1"/>
  <c r="BK95" i="9"/>
  <c r="BK94" i="9" s="1"/>
  <c r="BK89" i="9"/>
  <c r="BK87" i="9"/>
  <c r="M79" i="1" s="1"/>
  <c r="P79" i="1" s="1"/>
  <c r="BK82" i="9"/>
  <c r="BK78" i="9"/>
  <c r="BK76" i="9"/>
  <c r="BK69" i="9"/>
  <c r="BK60" i="9"/>
  <c r="BK59" i="9" s="1"/>
  <c r="BK52" i="9"/>
  <c r="BK44" i="9"/>
  <c r="BK40" i="9"/>
  <c r="BK37" i="9"/>
  <c r="BK34" i="9"/>
  <c r="BK26" i="9"/>
  <c r="BK22" i="9"/>
  <c r="BL17" i="9"/>
  <c r="BL16" i="9" s="1"/>
  <c r="CA273" i="9"/>
  <c r="BI242" i="9"/>
  <c r="W147" i="11" s="1"/>
  <c r="BZ224" i="9"/>
  <c r="CA224" i="9" s="1"/>
  <c r="BY249" i="9"/>
  <c r="BZ250" i="9"/>
  <c r="BZ160" i="9"/>
  <c r="BZ20" i="9"/>
  <c r="BZ28" i="9"/>
  <c r="BZ46" i="9"/>
  <c r="BZ50" i="9"/>
  <c r="BZ63" i="9"/>
  <c r="BZ65" i="9"/>
  <c r="BZ67" i="9"/>
  <c r="BZ72" i="9"/>
  <c r="BZ79" i="9"/>
  <c r="BZ98" i="9"/>
  <c r="BZ107" i="9"/>
  <c r="BZ114" i="9"/>
  <c r="BZ116" i="9"/>
  <c r="BZ118" i="9"/>
  <c r="BZ139" i="9"/>
  <c r="BZ142" i="9"/>
  <c r="BX172" i="9"/>
  <c r="BZ180" i="9"/>
  <c r="BY187" i="9"/>
  <c r="BY185" i="9" s="1"/>
  <c r="BY200" i="9"/>
  <c r="BZ239" i="9"/>
  <c r="BZ238" i="9" s="1"/>
  <c r="BZ241" i="9"/>
  <c r="BZ240" i="9" s="1"/>
  <c r="BZ254" i="9"/>
  <c r="BZ252" i="9" s="1"/>
  <c r="BZ251" i="9" s="1"/>
  <c r="BX267" i="9"/>
  <c r="BZ282" i="9"/>
  <c r="BZ286" i="9"/>
  <c r="BZ293" i="9"/>
  <c r="BZ165" i="9"/>
  <c r="CA165" i="9" s="1"/>
  <c r="BZ194" i="9"/>
  <c r="BZ202" i="9"/>
  <c r="BX219" i="9"/>
  <c r="BZ237" i="9"/>
  <c r="BY295" i="9"/>
  <c r="BY294" i="9" s="1"/>
  <c r="BZ45" i="9"/>
  <c r="BZ56" i="9"/>
  <c r="BZ62" i="9"/>
  <c r="BZ68" i="9"/>
  <c r="BX70" i="9"/>
  <c r="BZ73" i="9"/>
  <c r="BZ80" i="9"/>
  <c r="BZ84" i="9"/>
  <c r="BZ86" i="9"/>
  <c r="BZ103" i="9"/>
  <c r="BZ106" i="9"/>
  <c r="BZ110" i="9"/>
  <c r="BZ115" i="9"/>
  <c r="BZ117" i="9"/>
  <c r="BZ119" i="9"/>
  <c r="BZ127" i="9"/>
  <c r="BZ134" i="9"/>
  <c r="BZ140" i="9"/>
  <c r="BZ172" i="9"/>
  <c r="BZ214" i="9"/>
  <c r="BZ218" i="9"/>
  <c r="BZ223" i="9"/>
  <c r="BZ159" i="9"/>
  <c r="BZ158" i="9" s="1"/>
  <c r="BF33" i="9"/>
  <c r="BA91" i="9"/>
  <c r="BX23" i="9"/>
  <c r="BX22" i="9" s="1"/>
  <c r="BX28" i="9"/>
  <c r="BX43" i="9"/>
  <c r="BX45" i="9"/>
  <c r="BX46" i="9"/>
  <c r="BX49" i="9"/>
  <c r="BX50" i="9"/>
  <c r="BX51" i="9"/>
  <c r="BX55" i="9"/>
  <c r="BX61" i="9"/>
  <c r="BX63" i="9"/>
  <c r="BX64" i="9"/>
  <c r="BX65" i="9"/>
  <c r="BX80" i="9"/>
  <c r="BX85" i="9"/>
  <c r="BX86" i="9"/>
  <c r="BX99" i="9"/>
  <c r="BX103" i="9"/>
  <c r="BX108" i="9"/>
  <c r="BX109" i="9"/>
  <c r="BX110" i="9"/>
  <c r="BX113" i="9"/>
  <c r="BX115" i="9"/>
  <c r="BX116" i="9"/>
  <c r="BX119" i="9"/>
  <c r="BX140" i="9"/>
  <c r="BX237" i="9"/>
  <c r="BY268" i="9"/>
  <c r="BZ274" i="9"/>
  <c r="BZ198" i="9"/>
  <c r="BX215" i="9"/>
  <c r="BX236" i="9"/>
  <c r="BX248" i="9"/>
  <c r="BZ285" i="9"/>
  <c r="BX199" i="9"/>
  <c r="BY204" i="9"/>
  <c r="BZ207" i="9"/>
  <c r="BX223" i="9"/>
  <c r="BX247" i="9"/>
  <c r="BY258" i="9"/>
  <c r="BY23" i="9"/>
  <c r="BY22" i="9" s="1"/>
  <c r="BY29" i="9"/>
  <c r="BY36" i="9"/>
  <c r="BY42" i="9"/>
  <c r="BY50" i="9"/>
  <c r="BY51" i="9"/>
  <c r="BY54" i="9"/>
  <c r="BY55" i="9"/>
  <c r="BY56" i="9"/>
  <c r="CA56" i="9" s="1"/>
  <c r="BY64" i="9"/>
  <c r="BY68" i="9"/>
  <c r="BY73" i="9"/>
  <c r="BY74" i="9"/>
  <c r="CA74" i="9" s="1"/>
  <c r="BY84" i="9"/>
  <c r="BY98" i="9"/>
  <c r="BY99" i="9"/>
  <c r="BY103" i="9"/>
  <c r="CA103" i="9" s="1"/>
  <c r="BY108" i="9"/>
  <c r="BY111" i="9"/>
  <c r="BY136" i="9"/>
  <c r="BY290" i="9"/>
  <c r="BX160" i="9"/>
  <c r="T147" i="11"/>
  <c r="BY46" i="9"/>
  <c r="BY63" i="9"/>
  <c r="BY67" i="9"/>
  <c r="BZ71" i="9"/>
  <c r="BY72" i="9"/>
  <c r="BY106" i="9"/>
  <c r="BZ109" i="9"/>
  <c r="BY115" i="9"/>
  <c r="CA115" i="9" s="1"/>
  <c r="BY140" i="9"/>
  <c r="BY236" i="9"/>
  <c r="BY284" i="9"/>
  <c r="BZ164" i="9"/>
  <c r="BY39" i="9"/>
  <c r="BZ43" i="9"/>
  <c r="BZ48" i="9"/>
  <c r="BY49" i="9"/>
  <c r="BY62" i="9"/>
  <c r="BY66" i="9"/>
  <c r="BZ74" i="9"/>
  <c r="BY105" i="9"/>
  <c r="BY114" i="9"/>
  <c r="BY218" i="9"/>
  <c r="BY223" i="9"/>
  <c r="BX225" i="9"/>
  <c r="BX231" i="9"/>
  <c r="BY248" i="9"/>
  <c r="BY257" i="9"/>
  <c r="BZ265" i="9"/>
  <c r="BY293" i="9"/>
  <c r="BY164" i="9"/>
  <c r="BY162" i="9" s="1"/>
  <c r="BZ42" i="9"/>
  <c r="BZ51" i="9"/>
  <c r="BY65" i="9"/>
  <c r="BY86" i="9"/>
  <c r="BY97" i="9"/>
  <c r="BZ111" i="9"/>
  <c r="BY117" i="9"/>
  <c r="BZ199" i="9"/>
  <c r="BX207" i="9"/>
  <c r="BY212" i="9"/>
  <c r="BZ213" i="9"/>
  <c r="BX216" i="9"/>
  <c r="CA216" i="9" s="1"/>
  <c r="BZ219" i="9"/>
  <c r="BZ258" i="9"/>
  <c r="BX259" i="9"/>
  <c r="CA259" i="9" s="1"/>
  <c r="BZ260" i="9"/>
  <c r="BY267" i="9"/>
  <c r="BY159" i="9"/>
  <c r="BZ18" i="9"/>
  <c r="BY19" i="9"/>
  <c r="BY47" i="9"/>
  <c r="BY80" i="9"/>
  <c r="BY85" i="9"/>
  <c r="CA85" i="9" s="1"/>
  <c r="BZ99" i="9"/>
  <c r="BY107" i="9"/>
  <c r="BY116" i="9"/>
  <c r="BY199" i="9"/>
  <c r="BZ200" i="9"/>
  <c r="BY215" i="9"/>
  <c r="BX287" i="9"/>
  <c r="BR109" i="9"/>
  <c r="BR118" i="9"/>
  <c r="BR205" i="9"/>
  <c r="BQ223" i="9"/>
  <c r="BR237" i="9"/>
  <c r="BR202" i="9"/>
  <c r="BR234" i="9"/>
  <c r="BR163" i="9"/>
  <c r="BR99" i="9"/>
  <c r="BR164" i="9"/>
  <c r="BR165" i="9"/>
  <c r="BR172" i="9"/>
  <c r="BQ23" i="9"/>
  <c r="BQ22" i="9" s="1"/>
  <c r="BQ48" i="9"/>
  <c r="BQ51" i="9"/>
  <c r="BQ65" i="9"/>
  <c r="BQ68" i="9"/>
  <c r="BQ71" i="9"/>
  <c r="BQ72" i="9"/>
  <c r="BQ80" i="9"/>
  <c r="BQ84" i="9"/>
  <c r="BP99" i="9"/>
  <c r="BP103" i="9"/>
  <c r="BP108" i="9"/>
  <c r="BP109" i="9"/>
  <c r="BS109" i="9" s="1"/>
  <c r="BP116" i="9"/>
  <c r="BP136" i="9"/>
  <c r="BP140" i="9"/>
  <c r="BR199" i="9"/>
  <c r="BY260" i="9"/>
  <c r="CA260" i="9" s="1"/>
  <c r="BQ286" i="9"/>
  <c r="AS17" i="9"/>
  <c r="BP23" i="9"/>
  <c r="BP22" i="9" s="1"/>
  <c r="BP36" i="9"/>
  <c r="BP43" i="9"/>
  <c r="BP45" i="9"/>
  <c r="BP49" i="9"/>
  <c r="BP224" i="9"/>
  <c r="BS224" i="9" s="1"/>
  <c r="BQ230" i="9"/>
  <c r="BP236" i="9"/>
  <c r="BP256" i="9"/>
  <c r="BQ259" i="9"/>
  <c r="BR86" i="9"/>
  <c r="BR197" i="9"/>
  <c r="BP199" i="9"/>
  <c r="BR268" i="9"/>
  <c r="BR21" i="9"/>
  <c r="BR29" i="9"/>
  <c r="BR36" i="9"/>
  <c r="BR42" i="9"/>
  <c r="BR45" i="9"/>
  <c r="BR47" i="9"/>
  <c r="BR50" i="9"/>
  <c r="BR56" i="9"/>
  <c r="BR71" i="9"/>
  <c r="BR73" i="9"/>
  <c r="BQ135" i="9"/>
  <c r="BP180" i="9"/>
  <c r="BQ214" i="9"/>
  <c r="BR217" i="9"/>
  <c r="BQ218" i="9"/>
  <c r="BP225" i="9"/>
  <c r="BP241" i="9"/>
  <c r="BP240" i="9" s="1"/>
  <c r="BQ261" i="9"/>
  <c r="BQ265" i="9"/>
  <c r="O147" i="11"/>
  <c r="AD15" i="9"/>
  <c r="AD14" i="9" s="1"/>
  <c r="BQ20" i="9"/>
  <c r="BP21" i="9"/>
  <c r="BQ110" i="9"/>
  <c r="BQ140" i="9"/>
  <c r="BQ198" i="9"/>
  <c r="BQ241" i="9"/>
  <c r="BQ240" i="9" s="1"/>
  <c r="BQ247" i="9"/>
  <c r="BQ250" i="9"/>
  <c r="BQ258" i="9"/>
  <c r="BQ260" i="9"/>
  <c r="BQ285" i="9"/>
  <c r="BQ46" i="9"/>
  <c r="BP47" i="9"/>
  <c r="BR62" i="9"/>
  <c r="BR97" i="9"/>
  <c r="BQ98" i="9"/>
  <c r="BQ114" i="9"/>
  <c r="BR136" i="9"/>
  <c r="BQ186" i="9"/>
  <c r="BQ212" i="9"/>
  <c r="BR230" i="9"/>
  <c r="BR229" i="9" s="1"/>
  <c r="BR259" i="9"/>
  <c r="BR261" i="9"/>
  <c r="BQ18" i="9"/>
  <c r="BR43" i="9"/>
  <c r="BQ49" i="9"/>
  <c r="BQ66" i="9"/>
  <c r="BR116" i="9"/>
  <c r="BY142" i="9"/>
  <c r="BQ194" i="9"/>
  <c r="BP212" i="9"/>
  <c r="BX213" i="9"/>
  <c r="BZ262" i="9"/>
  <c r="BQ270" i="9"/>
  <c r="BX276" i="9"/>
  <c r="BX284" i="9"/>
  <c r="BY158" i="9"/>
  <c r="BQ74" i="9"/>
  <c r="BQ85" i="9"/>
  <c r="BR106" i="9"/>
  <c r="BR214" i="9"/>
  <c r="BP217" i="9"/>
  <c r="BX161" i="9"/>
  <c r="CA161" i="9" s="1"/>
  <c r="V209" i="9"/>
  <c r="S242" i="9"/>
  <c r="S181" i="9" s="1"/>
  <c r="S168" i="9" s="1"/>
  <c r="V93" i="9"/>
  <c r="V92" i="9" s="1"/>
  <c r="Z90" i="9"/>
  <c r="Z89" i="9" s="1"/>
  <c r="R32" i="9"/>
  <c r="P181" i="9"/>
  <c r="P168" i="9" s="1"/>
  <c r="Z213" i="9"/>
  <c r="W255" i="9"/>
  <c r="N209" i="9"/>
  <c r="N208" i="9" s="1"/>
  <c r="Z54" i="9"/>
  <c r="Z206" i="9"/>
  <c r="Z267" i="9"/>
  <c r="Z247" i="9"/>
  <c r="Z262" i="9"/>
  <c r="Z39" i="9"/>
  <c r="Z215" i="9"/>
  <c r="G63" i="11"/>
  <c r="I63" i="11" s="1"/>
  <c r="J63" i="11" s="1"/>
  <c r="Z62" i="9"/>
  <c r="Z111" i="9"/>
  <c r="Z172" i="9"/>
  <c r="Y184" i="9"/>
  <c r="Z257" i="9"/>
  <c r="Z159" i="9"/>
  <c r="Z164" i="9"/>
  <c r="Z48" i="9"/>
  <c r="Z84" i="9"/>
  <c r="Z106" i="9"/>
  <c r="J191" i="9"/>
  <c r="Z202" i="9"/>
  <c r="J220" i="9"/>
  <c r="Z222" i="9"/>
  <c r="Z249" i="9"/>
  <c r="Z269" i="9"/>
  <c r="Z23" i="9"/>
  <c r="Z22" i="9" s="1"/>
  <c r="Z73" i="9"/>
  <c r="Z79" i="9"/>
  <c r="Z105" i="9"/>
  <c r="Z118" i="9"/>
  <c r="J185" i="9"/>
  <c r="J184" i="9" s="1"/>
  <c r="Z224" i="9"/>
  <c r="Z258" i="9"/>
  <c r="Z160" i="9"/>
  <c r="Z161" i="9"/>
  <c r="Z163" i="9"/>
  <c r="Z41" i="9"/>
  <c r="Z97" i="9"/>
  <c r="Z117" i="9"/>
  <c r="Z199" i="9"/>
  <c r="J233" i="9"/>
  <c r="J226" i="9" s="1"/>
  <c r="BS165" i="9"/>
  <c r="BX163" i="9"/>
  <c r="Z165" i="9"/>
  <c r="BP163" i="9"/>
  <c r="W162" i="9"/>
  <c r="BP161" i="9"/>
  <c r="BS161" i="9" s="1"/>
  <c r="BX159" i="9"/>
  <c r="BP159" i="9"/>
  <c r="BX18" i="9"/>
  <c r="Z27" i="9"/>
  <c r="W26" i="9"/>
  <c r="BY27" i="9"/>
  <c r="BQ35" i="9"/>
  <c r="X34" i="9"/>
  <c r="BZ35" i="9"/>
  <c r="BX38" i="9"/>
  <c r="BX48" i="9"/>
  <c r="BR49" i="9"/>
  <c r="Z49" i="9"/>
  <c r="BX53" i="9"/>
  <c r="K37" i="1"/>
  <c r="L48" i="1"/>
  <c r="L50" i="1"/>
  <c r="BZ23" i="9"/>
  <c r="BZ22" i="9" s="1"/>
  <c r="BX27" i="9"/>
  <c r="BY35" i="9"/>
  <c r="BY34" i="9" s="1"/>
  <c r="BR38" i="9"/>
  <c r="Y37" i="9"/>
  <c r="BQ45" i="9"/>
  <c r="BS45" i="9" s="1"/>
  <c r="X44" i="9"/>
  <c r="Z45" i="9"/>
  <c r="BZ49" i="9"/>
  <c r="K70" i="1"/>
  <c r="X22" i="9"/>
  <c r="BR18" i="9"/>
  <c r="BQ19" i="9"/>
  <c r="BZ19" i="9"/>
  <c r="Z20" i="9"/>
  <c r="BY20" i="9"/>
  <c r="BX21" i="9"/>
  <c r="BR28" i="9"/>
  <c r="BQ29" i="9"/>
  <c r="BZ29" i="9"/>
  <c r="Z35" i="9"/>
  <c r="BX36" i="9"/>
  <c r="BQ39" i="9"/>
  <c r="BZ39" i="9"/>
  <c r="CA68" i="9"/>
  <c r="BX20" i="9"/>
  <c r="BX35" i="9"/>
  <c r="BQ38" i="9"/>
  <c r="X37" i="9"/>
  <c r="BZ38" i="9"/>
  <c r="BX41" i="9"/>
  <c r="BQ43" i="9"/>
  <c r="Z43" i="9"/>
  <c r="BY45" i="9"/>
  <c r="K59" i="1"/>
  <c r="G60" i="1"/>
  <c r="AQ17" i="9"/>
  <c r="AQ16" i="9" s="1"/>
  <c r="Z19" i="9"/>
  <c r="Y26" i="9"/>
  <c r="Z29" i="9"/>
  <c r="BX19" i="9"/>
  <c r="BY43" i="9"/>
  <c r="CA43" i="9" s="1"/>
  <c r="BP53" i="9"/>
  <c r="W52" i="9"/>
  <c r="Z53" i="9"/>
  <c r="L21" i="1"/>
  <c r="Y17" i="9"/>
  <c r="Y16" i="9" s="1"/>
  <c r="BP18" i="9"/>
  <c r="BY18" i="9"/>
  <c r="BR20" i="9"/>
  <c r="BQ21" i="9"/>
  <c r="BZ21" i="9"/>
  <c r="BY28" i="9"/>
  <c r="BX29" i="9"/>
  <c r="BZ36" i="9"/>
  <c r="BZ47" i="9"/>
  <c r="BY48" i="9"/>
  <c r="CA48" i="9" s="1"/>
  <c r="Z61" i="9"/>
  <c r="W60" i="9"/>
  <c r="W59" i="9" s="1"/>
  <c r="BQ70" i="9"/>
  <c r="X69" i="9"/>
  <c r="BQ77" i="9"/>
  <c r="BQ76" i="9" s="1"/>
  <c r="X76" i="9"/>
  <c r="BP79" i="9"/>
  <c r="W78" i="9"/>
  <c r="BP90" i="9"/>
  <c r="BP89" i="9" s="1"/>
  <c r="W89" i="9"/>
  <c r="BQ88" i="9"/>
  <c r="BQ87" i="9" s="1"/>
  <c r="X87" i="9"/>
  <c r="E79" i="1" s="1"/>
  <c r="Z102" i="9"/>
  <c r="W101" i="9"/>
  <c r="W100" i="9" s="1"/>
  <c r="BR113" i="9"/>
  <c r="Y112" i="9"/>
  <c r="Z129" i="9"/>
  <c r="Z128" i="9" s="1"/>
  <c r="W128" i="9"/>
  <c r="BR139" i="9"/>
  <c r="BR138" i="9" s="1"/>
  <c r="BR137" i="9" s="1"/>
  <c r="Y138" i="9"/>
  <c r="Y137" i="9" s="1"/>
  <c r="BQ144" i="9"/>
  <c r="BQ143" i="9" s="1"/>
  <c r="X143" i="9"/>
  <c r="BQ27" i="9"/>
  <c r="BP28" i="9"/>
  <c r="BR35" i="9"/>
  <c r="BR34" i="9" s="1"/>
  <c r="BQ36" i="9"/>
  <c r="BP38" i="9"/>
  <c r="BR41" i="9"/>
  <c r="BQ42" i="9"/>
  <c r="Z46" i="9"/>
  <c r="BR48" i="9"/>
  <c r="BQ50" i="9"/>
  <c r="Z51" i="9"/>
  <c r="BR55" i="9"/>
  <c r="BQ56" i="9"/>
  <c r="BR63" i="9"/>
  <c r="BQ64" i="9"/>
  <c r="Z66" i="9"/>
  <c r="BR68" i="9"/>
  <c r="Z72" i="9"/>
  <c r="BR74" i="9"/>
  <c r="Z80" i="9"/>
  <c r="BR85" i="9"/>
  <c r="BQ86" i="9"/>
  <c r="BP96" i="9"/>
  <c r="BR98" i="9"/>
  <c r="BQ99" i="9"/>
  <c r="Z103" i="9"/>
  <c r="BR107" i="9"/>
  <c r="BQ108" i="9"/>
  <c r="Z110" i="9"/>
  <c r="Z115" i="9"/>
  <c r="Z116" i="9"/>
  <c r="BY144" i="9"/>
  <c r="BY143" i="9" s="1"/>
  <c r="BZ41" i="9"/>
  <c r="BY71" i="9"/>
  <c r="CA71" i="9" s="1"/>
  <c r="BY77" i="9"/>
  <c r="BY76" i="9" s="1"/>
  <c r="CA81" i="9"/>
  <c r="BY83" i="9"/>
  <c r="BY88" i="9"/>
  <c r="BY87" i="9" s="1"/>
  <c r="BZ90" i="9"/>
  <c r="BZ89" i="9" s="1"/>
  <c r="BX97" i="9"/>
  <c r="BY109" i="9"/>
  <c r="CA109" i="9" s="1"/>
  <c r="BX117" i="9"/>
  <c r="BX129" i="9"/>
  <c r="BX128" i="9" s="1"/>
  <c r="BY139" i="9"/>
  <c r="BX142" i="9"/>
  <c r="BX138" i="9" s="1"/>
  <c r="BX137" i="9" s="1"/>
  <c r="J52" i="9"/>
  <c r="J60" i="9"/>
  <c r="J59" i="9" s="1"/>
  <c r="J112" i="9"/>
  <c r="X26" i="9"/>
  <c r="BR53" i="9"/>
  <c r="Y52" i="9"/>
  <c r="Z70" i="9"/>
  <c r="W69" i="9"/>
  <c r="BP77" i="9"/>
  <c r="BP76" i="9" s="1"/>
  <c r="W76" i="9"/>
  <c r="BR83" i="9"/>
  <c r="Y82" i="9"/>
  <c r="Z88" i="9"/>
  <c r="Z87" i="9" s="1"/>
  <c r="W87" i="9"/>
  <c r="D79" i="1" s="1"/>
  <c r="BR105" i="9"/>
  <c r="Y104" i="9"/>
  <c r="BQ113" i="9"/>
  <c r="X112" i="9"/>
  <c r="BQ139" i="9"/>
  <c r="X138" i="9"/>
  <c r="X137" i="9" s="1"/>
  <c r="BP144" i="9"/>
  <c r="W143" i="9"/>
  <c r="BX144" i="9"/>
  <c r="BR39" i="9"/>
  <c r="BQ41" i="9"/>
  <c r="Z42" i="9"/>
  <c r="Z50" i="9"/>
  <c r="BR54" i="9"/>
  <c r="Z55" i="9"/>
  <c r="Z56" i="9"/>
  <c r="BQ63" i="9"/>
  <c r="Z64" i="9"/>
  <c r="Z65" i="9"/>
  <c r="Z71" i="9"/>
  <c r="Z86" i="9"/>
  <c r="Z109" i="9"/>
  <c r="Z114" i="9"/>
  <c r="BR117" i="9"/>
  <c r="BQ118" i="9"/>
  <c r="Z119" i="9"/>
  <c r="BZ27" i="9"/>
  <c r="BX39" i="9"/>
  <c r="BY41" i="9"/>
  <c r="BX54" i="9"/>
  <c r="BX62" i="9"/>
  <c r="BX66" i="9"/>
  <c r="BY79" i="9"/>
  <c r="BY78" i="9" s="1"/>
  <c r="BX83" i="9"/>
  <c r="BX82" i="9" s="1"/>
  <c r="BX88" i="9"/>
  <c r="BX87" i="9" s="1"/>
  <c r="BY90" i="9"/>
  <c r="BY89" i="9" s="1"/>
  <c r="BZ96" i="9"/>
  <c r="BX98" i="9"/>
  <c r="BZ102" i="9"/>
  <c r="BZ101" i="9" s="1"/>
  <c r="BZ100" i="9" s="1"/>
  <c r="BX105" i="9"/>
  <c r="BY110" i="9"/>
  <c r="BX114" i="9"/>
  <c r="BX118" i="9"/>
  <c r="Y34" i="9"/>
  <c r="Y40" i="9"/>
  <c r="Y44" i="9"/>
  <c r="BQ53" i="9"/>
  <c r="X52" i="9"/>
  <c r="BR61" i="9"/>
  <c r="Y60" i="9"/>
  <c r="Y59" i="9" s="1"/>
  <c r="BR79" i="9"/>
  <c r="Y78" i="9"/>
  <c r="BQ83" i="9"/>
  <c r="X82" i="9"/>
  <c r="BR90" i="9"/>
  <c r="BR89" i="9" s="1"/>
  <c r="Y89" i="9"/>
  <c r="BR96" i="9"/>
  <c r="Y95" i="9"/>
  <c r="Y94" i="9" s="1"/>
  <c r="BR102" i="9"/>
  <c r="Y101" i="9"/>
  <c r="Y100" i="9" s="1"/>
  <c r="BQ105" i="9"/>
  <c r="X104" i="9"/>
  <c r="Z113" i="9"/>
  <c r="W112" i="9"/>
  <c r="BR129" i="9"/>
  <c r="BR128" i="9" s="1"/>
  <c r="Y128" i="9"/>
  <c r="Z139" i="9"/>
  <c r="W138" i="9"/>
  <c r="W137" i="9" s="1"/>
  <c r="BR46" i="9"/>
  <c r="BQ47" i="9"/>
  <c r="BR51" i="9"/>
  <c r="BQ54" i="9"/>
  <c r="BP55" i="9"/>
  <c r="BQ62" i="9"/>
  <c r="BP63" i="9"/>
  <c r="BR66" i="9"/>
  <c r="Z67" i="9"/>
  <c r="Z68" i="9"/>
  <c r="BR72" i="9"/>
  <c r="BQ73" i="9"/>
  <c r="Z74" i="9"/>
  <c r="BR80" i="9"/>
  <c r="BP85" i="9"/>
  <c r="BQ97" i="9"/>
  <c r="Z98" i="9"/>
  <c r="BQ106" i="9"/>
  <c r="Z107" i="9"/>
  <c r="BR110" i="9"/>
  <c r="BQ111" i="9"/>
  <c r="BR115" i="9"/>
  <c r="BQ117" i="9"/>
  <c r="BR123" i="9"/>
  <c r="BQ125" i="9"/>
  <c r="BY126" i="9"/>
  <c r="BX127" i="9"/>
  <c r="BQ131" i="9"/>
  <c r="BP133" i="9"/>
  <c r="BR135" i="9"/>
  <c r="BQ136" i="9"/>
  <c r="BS136" i="9" s="1"/>
  <c r="BZ136" i="9"/>
  <c r="Z140" i="9"/>
  <c r="Z142" i="9"/>
  <c r="Z144" i="9"/>
  <c r="Z143" i="9" s="1"/>
  <c r="BZ53" i="9"/>
  <c r="BZ61" i="9"/>
  <c r="BZ70" i="9"/>
  <c r="BX72" i="9"/>
  <c r="BX79" i="9"/>
  <c r="BX78" i="9" s="1"/>
  <c r="BX90" i="9"/>
  <c r="BX89" i="9" s="1"/>
  <c r="BY96" i="9"/>
  <c r="BY102" i="9"/>
  <c r="BY101" i="9" s="1"/>
  <c r="BY100" i="9" s="1"/>
  <c r="BX106" i="9"/>
  <c r="BZ113" i="9"/>
  <c r="BZ129" i="9"/>
  <c r="BZ128" i="9" s="1"/>
  <c r="J138" i="9"/>
  <c r="J137" i="9" s="1"/>
  <c r="X40" i="9"/>
  <c r="BQ61" i="9"/>
  <c r="X60" i="9"/>
  <c r="X59" i="9" s="1"/>
  <c r="BR70" i="9"/>
  <c r="Y69" i="9"/>
  <c r="BR77" i="9"/>
  <c r="BR76" i="9" s="1"/>
  <c r="Y76" i="9"/>
  <c r="BQ79" i="9"/>
  <c r="BQ78" i="9" s="1"/>
  <c r="X78" i="9"/>
  <c r="Z83" i="9"/>
  <c r="W82" i="9"/>
  <c r="BQ90" i="9"/>
  <c r="BQ89" i="9" s="1"/>
  <c r="X89" i="9"/>
  <c r="BR88" i="9"/>
  <c r="BR87" i="9" s="1"/>
  <c r="Y87" i="9"/>
  <c r="F79" i="1" s="1"/>
  <c r="BQ96" i="9"/>
  <c r="X95" i="9"/>
  <c r="X94" i="9" s="1"/>
  <c r="BQ102" i="9"/>
  <c r="BQ101" i="9" s="1"/>
  <c r="BQ100" i="9" s="1"/>
  <c r="X101" i="9"/>
  <c r="X100" i="9" s="1"/>
  <c r="BP105" i="9"/>
  <c r="W104" i="9"/>
  <c r="BQ129" i="9"/>
  <c r="BQ128" i="9" s="1"/>
  <c r="X128" i="9"/>
  <c r="BR144" i="9"/>
  <c r="BR143" i="9" s="1"/>
  <c r="Y143" i="9"/>
  <c r="J78" i="1"/>
  <c r="BZ144" i="9"/>
  <c r="BZ143" i="9" s="1"/>
  <c r="BY38" i="9"/>
  <c r="BX42" i="9"/>
  <c r="BX47" i="9"/>
  <c r="CA47" i="9" s="1"/>
  <c r="BY53" i="9"/>
  <c r="BY61" i="9"/>
  <c r="BY70" i="9"/>
  <c r="BX73" i="9"/>
  <c r="BZ77" i="9"/>
  <c r="BZ76" i="9" s="1"/>
  <c r="BZ83" i="9"/>
  <c r="BZ82" i="9" s="1"/>
  <c r="BZ88" i="9"/>
  <c r="BZ87" i="9" s="1"/>
  <c r="BX96" i="9"/>
  <c r="BX102" i="9"/>
  <c r="BZ105" i="9"/>
  <c r="BX107" i="9"/>
  <c r="BX111" i="9"/>
  <c r="CA111" i="9" s="1"/>
  <c r="BY113" i="9"/>
  <c r="BY129" i="9"/>
  <c r="BY128" i="9" s="1"/>
  <c r="BQ176" i="9"/>
  <c r="BQ175" i="9" s="1"/>
  <c r="X175" i="9"/>
  <c r="BR180" i="9"/>
  <c r="BS180" i="9" s="1"/>
  <c r="Z180" i="9"/>
  <c r="Y177" i="9"/>
  <c r="BP193" i="9"/>
  <c r="W191" i="9"/>
  <c r="BX196" i="9"/>
  <c r="BX201" i="9"/>
  <c r="BY173" i="9"/>
  <c r="BP197" i="9"/>
  <c r="W195" i="9"/>
  <c r="BQ207" i="9"/>
  <c r="Z207" i="9"/>
  <c r="BX205" i="9"/>
  <c r="BP187" i="9"/>
  <c r="BS187" i="9" s="1"/>
  <c r="Z187" i="9"/>
  <c r="BP189" i="9"/>
  <c r="W188" i="9"/>
  <c r="BY207" i="9"/>
  <c r="BZ179" i="9"/>
  <c r="BX187" i="9"/>
  <c r="BZ190" i="9"/>
  <c r="BX192" i="9"/>
  <c r="BY196" i="9"/>
  <c r="Z179" i="9"/>
  <c r="BY180" i="9"/>
  <c r="Z190" i="9"/>
  <c r="BY190" i="9"/>
  <c r="Z194" i="9"/>
  <c r="Y195" i="9"/>
  <c r="Y183" i="9" s="1"/>
  <c r="Z198" i="9"/>
  <c r="BY198" i="9"/>
  <c r="BP200" i="9"/>
  <c r="Z201" i="9"/>
  <c r="BZ201" i="9"/>
  <c r="Z205" i="9"/>
  <c r="BZ205" i="9"/>
  <c r="BR206" i="9"/>
  <c r="X211" i="9"/>
  <c r="X210" i="9" s="1"/>
  <c r="BR212" i="9"/>
  <c r="J170" i="9"/>
  <c r="J169" i="9" s="1"/>
  <c r="Z171" i="9"/>
  <c r="BY171" i="9"/>
  <c r="BX174" i="9"/>
  <c r="Z176" i="9"/>
  <c r="Z175" i="9" s="1"/>
  <c r="BX178" i="9"/>
  <c r="BO183" i="9"/>
  <c r="BO182" i="9" s="1"/>
  <c r="BZ186" i="9"/>
  <c r="BZ185" i="9" s="1"/>
  <c r="BQ196" i="9"/>
  <c r="BX204" i="9"/>
  <c r="BP205" i="9"/>
  <c r="BQ206" i="9"/>
  <c r="BZ206" i="9"/>
  <c r="BR213" i="9"/>
  <c r="BQ215" i="9"/>
  <c r="BZ215" i="9"/>
  <c r="CA172" i="9"/>
  <c r="BQ173" i="9"/>
  <c r="BZ173" i="9"/>
  <c r="BQ174" i="9"/>
  <c r="BZ174" i="9"/>
  <c r="BZ176" i="9"/>
  <c r="BZ175" i="9" s="1"/>
  <c r="X177" i="9"/>
  <c r="BZ178" i="9"/>
  <c r="BR179" i="9"/>
  <c r="Z189" i="9"/>
  <c r="BZ189" i="9"/>
  <c r="BR190" i="9"/>
  <c r="BR188" i="9" s="1"/>
  <c r="BP192" i="9"/>
  <c r="Z193" i="9"/>
  <c r="BZ193" i="9"/>
  <c r="BR194" i="9"/>
  <c r="BP196" i="9"/>
  <c r="Z197" i="9"/>
  <c r="BZ197" i="9"/>
  <c r="BR198" i="9"/>
  <c r="BR200" i="9"/>
  <c r="BY202" i="9"/>
  <c r="Y203" i="9"/>
  <c r="BY206" i="9"/>
  <c r="BR216" i="9"/>
  <c r="BX212" i="9"/>
  <c r="Z214" i="9"/>
  <c r="BY214" i="9"/>
  <c r="BR215" i="9"/>
  <c r="Z216" i="9"/>
  <c r="Z217" i="9"/>
  <c r="BZ217" i="9"/>
  <c r="BR218" i="9"/>
  <c r="Z219" i="9"/>
  <c r="BY219" i="9"/>
  <c r="Y220" i="9"/>
  <c r="Y209" i="9" s="1"/>
  <c r="F83" i="1" s="1"/>
  <c r="F81" i="1" s="1"/>
  <c r="BP221" i="9"/>
  <c r="BQ222" i="9"/>
  <c r="BZ222" i="9"/>
  <c r="BR223" i="9"/>
  <c r="Z225" i="9"/>
  <c r="X227" i="9"/>
  <c r="BX228" i="9"/>
  <c r="BX227" i="9" s="1"/>
  <c r="X229" i="9"/>
  <c r="BQ231" i="9"/>
  <c r="BQ229" i="9" s="1"/>
  <c r="BZ231" i="9"/>
  <c r="BZ229" i="9" s="1"/>
  <c r="Y233" i="9"/>
  <c r="Z234" i="9"/>
  <c r="BQ235" i="9"/>
  <c r="BZ235" i="9"/>
  <c r="CA235" i="9" s="1"/>
  <c r="BR236" i="9"/>
  <c r="BQ239" i="9"/>
  <c r="BQ238" i="9" s="1"/>
  <c r="BR248" i="9"/>
  <c r="BR249" i="9"/>
  <c r="Z254" i="9"/>
  <c r="BY254" i="9"/>
  <c r="X255" i="9"/>
  <c r="BQ257" i="9"/>
  <c r="BZ257" i="9"/>
  <c r="BR258" i="9"/>
  <c r="Z259" i="9"/>
  <c r="BP260" i="9"/>
  <c r="BS260" i="9" s="1"/>
  <c r="Z261" i="9"/>
  <c r="BY261" i="9"/>
  <c r="BQ262" i="9"/>
  <c r="Y263" i="9"/>
  <c r="BR265" i="9"/>
  <c r="BX265" i="9"/>
  <c r="BQ268" i="9"/>
  <c r="BZ268" i="9"/>
  <c r="BQ269" i="9"/>
  <c r="BZ269" i="9"/>
  <c r="BR270" i="9"/>
  <c r="W272" i="9"/>
  <c r="W271" i="9" s="1"/>
  <c r="BY274" i="9"/>
  <c r="BY276" i="9"/>
  <c r="BY275" i="9" s="1"/>
  <c r="Z278" i="9"/>
  <c r="BY278" i="9"/>
  <c r="BR280" i="9"/>
  <c r="BR279" i="9" s="1"/>
  <c r="BR282" i="9"/>
  <c r="BQ284" i="9"/>
  <c r="BQ283" i="9" s="1"/>
  <c r="BZ284" i="9"/>
  <c r="BR285" i="9"/>
  <c r="Z286" i="9"/>
  <c r="BY286" i="9"/>
  <c r="CA286" i="9" s="1"/>
  <c r="BR287" i="9"/>
  <c r="Y289" i="9"/>
  <c r="Y288" i="9" s="1"/>
  <c r="Z290" i="9"/>
  <c r="BQ291" i="9"/>
  <c r="BQ289" i="9" s="1"/>
  <c r="BQ288" i="9" s="1"/>
  <c r="BZ291" i="9"/>
  <c r="BZ289" i="9" s="1"/>
  <c r="BZ288" i="9" s="1"/>
  <c r="W294" i="9"/>
  <c r="BY231" i="9"/>
  <c r="BY229" i="9" s="1"/>
  <c r="BZ236" i="9"/>
  <c r="Z237" i="9"/>
  <c r="BP239" i="9"/>
  <c r="BP238" i="9" s="1"/>
  <c r="BY239" i="9"/>
  <c r="BY238" i="9" s="1"/>
  <c r="Z241" i="9"/>
  <c r="Z240" i="9" s="1"/>
  <c r="BQ248" i="9"/>
  <c r="BZ248" i="9"/>
  <c r="BQ249" i="9"/>
  <c r="BZ249" i="9"/>
  <c r="BR250" i="9"/>
  <c r="BR253" i="9"/>
  <c r="BR252" i="9" s="1"/>
  <c r="BR251" i="9" s="1"/>
  <c r="BX253" i="9"/>
  <c r="BR276" i="9"/>
  <c r="BR277" i="9"/>
  <c r="BX277" i="9"/>
  <c r="BX275" i="9" s="1"/>
  <c r="Y283" i="9"/>
  <c r="Y281" i="9" s="1"/>
  <c r="X289" i="9"/>
  <c r="X288" i="9" s="1"/>
  <c r="Z291" i="9"/>
  <c r="BX295" i="9"/>
  <c r="BX294" i="9" s="1"/>
  <c r="Z218" i="9"/>
  <c r="W220" i="9"/>
  <c r="BY221" i="9"/>
  <c r="BY220" i="9" s="1"/>
  <c r="Z223" i="9"/>
  <c r="BY234" i="9"/>
  <c r="BO244" i="9"/>
  <c r="BO243" i="9" s="1"/>
  <c r="BO242" i="9" s="1"/>
  <c r="BY256" i="9"/>
  <c r="BX261" i="9"/>
  <c r="Z265" i="9"/>
  <c r="BY265" i="9"/>
  <c r="Z270" i="9"/>
  <c r="BY270" i="9"/>
  <c r="BR274" i="9"/>
  <c r="BZ277" i="9"/>
  <c r="BZ275" i="9" s="1"/>
  <c r="BR278" i="9"/>
  <c r="BP280" i="9"/>
  <c r="BP279" i="9" s="1"/>
  <c r="BP282" i="9"/>
  <c r="BY282" i="9"/>
  <c r="Z285" i="9"/>
  <c r="BY285" i="9"/>
  <c r="BR286" i="9"/>
  <c r="Z287" i="9"/>
  <c r="BY287" i="9"/>
  <c r="W289" i="9"/>
  <c r="W288" i="9" s="1"/>
  <c r="BR290" i="9"/>
  <c r="Z293" i="9"/>
  <c r="BQ295" i="9"/>
  <c r="BQ294" i="9" s="1"/>
  <c r="BZ295" i="9"/>
  <c r="BZ294" i="9" s="1"/>
  <c r="BX222" i="9"/>
  <c r="CA225" i="9"/>
  <c r="Y227" i="9"/>
  <c r="Y229" i="9"/>
  <c r="Z230" i="9"/>
  <c r="Z229" i="9" s="1"/>
  <c r="W238" i="9"/>
  <c r="D84" i="1" s="1"/>
  <c r="BZ247" i="9"/>
  <c r="Z250" i="9"/>
  <c r="Z253" i="9"/>
  <c r="Z252" i="9" s="1"/>
  <c r="Z251" i="9" s="1"/>
  <c r="BX257" i="9"/>
  <c r="CA257" i="9" s="1"/>
  <c r="BY264" i="9"/>
  <c r="Z266" i="9"/>
  <c r="BX269" i="9"/>
  <c r="BX291" i="9"/>
  <c r="J69" i="9"/>
  <c r="J58" i="9" s="1"/>
  <c r="C155" i="16" s="1"/>
  <c r="BR125" i="9"/>
  <c r="BR124" i="9" s="1"/>
  <c r="BQ126" i="9"/>
  <c r="BZ126" i="9"/>
  <c r="BP127" i="9"/>
  <c r="BY127" i="9"/>
  <c r="BR131" i="9"/>
  <c r="BQ133" i="9"/>
  <c r="BS133" i="9" s="1"/>
  <c r="BY134" i="9"/>
  <c r="J26" i="9"/>
  <c r="J95" i="9"/>
  <c r="J94" i="9" s="1"/>
  <c r="J101" i="9"/>
  <c r="J100" i="9" s="1"/>
  <c r="CA90" i="9"/>
  <c r="CA89" i="9" s="1"/>
  <c r="J40" i="9"/>
  <c r="BQ123" i="9"/>
  <c r="BR127" i="9"/>
  <c r="J37" i="9"/>
  <c r="J104" i="9"/>
  <c r="J124" i="9"/>
  <c r="J121" i="9" s="1"/>
  <c r="J120" i="9" s="1"/>
  <c r="Z125" i="9"/>
  <c r="Z131" i="9"/>
  <c r="BZ123" i="9"/>
  <c r="BX126" i="9"/>
  <c r="BX133" i="9"/>
  <c r="J44" i="9"/>
  <c r="W132" i="9"/>
  <c r="W130" i="9" s="1"/>
  <c r="Z123" i="9"/>
  <c r="BQ127" i="9"/>
  <c r="BQ134" i="9"/>
  <c r="Z135" i="9"/>
  <c r="Z136" i="9"/>
  <c r="BY123" i="9"/>
  <c r="BZ125" i="9"/>
  <c r="BZ131" i="9"/>
  <c r="BX134" i="9"/>
  <c r="Z134" i="9"/>
  <c r="BX123" i="9"/>
  <c r="BY125" i="9"/>
  <c r="BY131" i="9"/>
  <c r="BZ133" i="9"/>
  <c r="BX135" i="9"/>
  <c r="CA135" i="9" s="1"/>
  <c r="CA141" i="9"/>
  <c r="Y124" i="9"/>
  <c r="Y121" i="9" s="1"/>
  <c r="Y132" i="9"/>
  <c r="Y130" i="9" s="1"/>
  <c r="Z126" i="9"/>
  <c r="BX125" i="9"/>
  <c r="BX131" i="9"/>
  <c r="BY133" i="9"/>
  <c r="BY132" i="9" s="1"/>
  <c r="J17" i="9"/>
  <c r="J16" i="9" s="1"/>
  <c r="X124" i="9"/>
  <c r="X121" i="9" s="1"/>
  <c r="X132" i="9"/>
  <c r="X130" i="9" s="1"/>
  <c r="BX175" i="9"/>
  <c r="BX220" i="9"/>
  <c r="Z174" i="9"/>
  <c r="Y175" i="9"/>
  <c r="W177" i="9"/>
  <c r="Z178" i="9"/>
  <c r="BR185" i="9"/>
  <c r="Y170" i="9"/>
  <c r="BX171" i="9"/>
  <c r="Z173" i="9"/>
  <c r="BY178" i="9"/>
  <c r="BX179" i="9"/>
  <c r="CA200" i="9"/>
  <c r="BP227" i="9"/>
  <c r="BP171" i="9"/>
  <c r="BQ178" i="9"/>
  <c r="BP179" i="9"/>
  <c r="W170" i="9"/>
  <c r="CA237" i="9"/>
  <c r="BX186" i="9"/>
  <c r="BY189" i="9"/>
  <c r="BX190" i="9"/>
  <c r="Z192" i="9"/>
  <c r="BZ192" i="9"/>
  <c r="BY193" i="9"/>
  <c r="BY191" i="9" s="1"/>
  <c r="BX194" i="9"/>
  <c r="CA194" i="9" s="1"/>
  <c r="Z196" i="9"/>
  <c r="BZ196" i="9"/>
  <c r="BY197" i="9"/>
  <c r="BX198" i="9"/>
  <c r="CA198" i="9" s="1"/>
  <c r="Z200" i="9"/>
  <c r="BY201" i="9"/>
  <c r="BX202" i="9"/>
  <c r="Z204" i="9"/>
  <c r="BZ204" i="9"/>
  <c r="BY205" i="9"/>
  <c r="BX206" i="9"/>
  <c r="Z212" i="9"/>
  <c r="Z211" i="9" s="1"/>
  <c r="BZ212" i="9"/>
  <c r="BY213" i="9"/>
  <c r="BX214" i="9"/>
  <c r="BP215" i="9"/>
  <c r="BY217" i="9"/>
  <c r="BX218" i="9"/>
  <c r="BP219" i="9"/>
  <c r="BR221" i="9"/>
  <c r="BP223" i="9"/>
  <c r="BR225" i="9"/>
  <c r="Z228" i="9"/>
  <c r="Z227" i="9" s="1"/>
  <c r="BX230" i="9"/>
  <c r="BP231" i="9"/>
  <c r="BX234" i="9"/>
  <c r="Z236" i="9"/>
  <c r="X238" i="9"/>
  <c r="E84" i="1" s="1"/>
  <c r="BX238" i="9"/>
  <c r="BP186" i="9"/>
  <c r="BQ189" i="9"/>
  <c r="BP190" i="9"/>
  <c r="BR192" i="9"/>
  <c r="BQ193" i="9"/>
  <c r="BP194" i="9"/>
  <c r="BR196" i="9"/>
  <c r="BQ197" i="9"/>
  <c r="BP198" i="9"/>
  <c r="BQ201" i="9"/>
  <c r="BP202" i="9"/>
  <c r="BS202" i="9" s="1"/>
  <c r="BR204" i="9"/>
  <c r="BQ205" i="9"/>
  <c r="BP206" i="9"/>
  <c r="BQ213" i="9"/>
  <c r="BP214" i="9"/>
  <c r="BQ217" i="9"/>
  <c r="BP218" i="9"/>
  <c r="BP222" i="9"/>
  <c r="BS222" i="9" s="1"/>
  <c r="BP230" i="9"/>
  <c r="BP234" i="9"/>
  <c r="Z235" i="9"/>
  <c r="Z239" i="9"/>
  <c r="Z238" i="9" s="1"/>
  <c r="W185" i="9"/>
  <c r="X188" i="9"/>
  <c r="X184" i="9" s="1"/>
  <c r="CA269" i="9"/>
  <c r="CA287" i="9"/>
  <c r="X191" i="9"/>
  <c r="X195" i="9"/>
  <c r="X203" i="9"/>
  <c r="G52" i="1" s="1"/>
  <c r="L52" i="1" s="1"/>
  <c r="Z248" i="9"/>
  <c r="BX250" i="9"/>
  <c r="BY253" i="9"/>
  <c r="BX254" i="9"/>
  <c r="Z256" i="9"/>
  <c r="BZ256" i="9"/>
  <c r="BX258" i="9"/>
  <c r="Z260" i="9"/>
  <c r="BX262" i="9"/>
  <c r="Z264" i="9"/>
  <c r="BZ264" i="9"/>
  <c r="BX266" i="9"/>
  <c r="CA266" i="9" s="1"/>
  <c r="Z268" i="9"/>
  <c r="BX270" i="9"/>
  <c r="BX274" i="9"/>
  <c r="Z276" i="9"/>
  <c r="BX278" i="9"/>
  <c r="Z280" i="9"/>
  <c r="Z279" i="9" s="1"/>
  <c r="BQ282" i="9"/>
  <c r="BX282" i="9"/>
  <c r="Z284" i="9"/>
  <c r="BP287" i="9"/>
  <c r="BX290" i="9"/>
  <c r="BP291" i="9"/>
  <c r="X294" i="9"/>
  <c r="BP295" i="9"/>
  <c r="BP250" i="9"/>
  <c r="BQ253" i="9"/>
  <c r="BQ252" i="9" s="1"/>
  <c r="BQ251" i="9" s="1"/>
  <c r="BP254" i="9"/>
  <c r="BR256" i="9"/>
  <c r="BP258" i="9"/>
  <c r="BP262" i="9"/>
  <c r="BS262" i="9" s="1"/>
  <c r="BR264" i="9"/>
  <c r="BP266" i="9"/>
  <c r="BS266" i="9" s="1"/>
  <c r="BP270" i="9"/>
  <c r="BP274" i="9"/>
  <c r="BP278" i="9"/>
  <c r="BY280" i="9"/>
  <c r="BY279" i="9" s="1"/>
  <c r="BX285" i="9"/>
  <c r="BP286" i="9"/>
  <c r="BS286" i="9" s="1"/>
  <c r="BP290" i="9"/>
  <c r="BR247" i="9"/>
  <c r="BP249" i="9"/>
  <c r="BP253" i="9"/>
  <c r="BQ256" i="9"/>
  <c r="BP257" i="9"/>
  <c r="BP261" i="9"/>
  <c r="BQ264" i="9"/>
  <c r="BP265" i="9"/>
  <c r="BP269" i="9"/>
  <c r="Z274" i="9"/>
  <c r="BQ276" i="9"/>
  <c r="BP277" i="9"/>
  <c r="BQ280" i="9"/>
  <c r="BQ279" i="9" s="1"/>
  <c r="BP285" i="9"/>
  <c r="BS285" i="9" s="1"/>
  <c r="W252" i="9"/>
  <c r="W251" i="9" s="1"/>
  <c r="BX279" i="9"/>
  <c r="W95" i="9"/>
  <c r="W94" i="9" s="1"/>
  <c r="W44" i="9"/>
  <c r="W37" i="9"/>
  <c r="J34" i="9"/>
  <c r="J33" i="9" s="1"/>
  <c r="Z36" i="9"/>
  <c r="W40" i="9"/>
  <c r="W34" i="9"/>
  <c r="W33" i="9" s="1"/>
  <c r="BP142" i="9"/>
  <c r="BP139" i="9"/>
  <c r="Z133" i="9"/>
  <c r="BP135" i="9"/>
  <c r="BP134" i="9"/>
  <c r="BP131" i="9"/>
  <c r="BP129" i="9"/>
  <c r="BP126" i="9"/>
  <c r="Z127" i="9"/>
  <c r="BP125" i="9"/>
  <c r="BP123" i="9"/>
  <c r="BP115" i="9"/>
  <c r="BP119" i="9"/>
  <c r="BS119" i="9" s="1"/>
  <c r="BP114" i="9"/>
  <c r="BP118" i="9"/>
  <c r="BP113" i="9"/>
  <c r="BP117" i="9"/>
  <c r="BP107" i="9"/>
  <c r="Z108" i="9"/>
  <c r="BP111" i="9"/>
  <c r="BP106" i="9"/>
  <c r="BP110" i="9"/>
  <c r="BP102" i="9"/>
  <c r="Z96" i="9"/>
  <c r="BP98" i="9"/>
  <c r="Z99" i="9"/>
  <c r="BP97" i="9"/>
  <c r="BP88" i="9"/>
  <c r="BP86" i="9"/>
  <c r="Z85" i="9"/>
  <c r="BP83" i="9"/>
  <c r="Z77" i="9"/>
  <c r="Z76" i="9" s="1"/>
  <c r="BP80" i="9"/>
  <c r="BP70" i="9"/>
  <c r="BP74" i="9"/>
  <c r="BP73" i="9"/>
  <c r="BP72" i="9"/>
  <c r="BP64" i="9"/>
  <c r="BQ67" i="9"/>
  <c r="BP68" i="9"/>
  <c r="BP66" i="9"/>
  <c r="BP62" i="9"/>
  <c r="Z63" i="9"/>
  <c r="BP61" i="9"/>
  <c r="BQ55" i="9"/>
  <c r="BP56" i="9"/>
  <c r="BP54" i="9"/>
  <c r="BP51" i="9"/>
  <c r="BS51" i="9" s="1"/>
  <c r="BP46" i="9"/>
  <c r="Z47" i="9"/>
  <c r="BP50" i="9"/>
  <c r="BP48" i="9"/>
  <c r="BP42" i="9"/>
  <c r="BP41" i="9"/>
  <c r="BP39" i="9"/>
  <c r="Z38" i="9"/>
  <c r="Z37" i="9" s="1"/>
  <c r="BP35" i="9"/>
  <c r="BR27" i="9"/>
  <c r="BQ28" i="9"/>
  <c r="BP29" i="9"/>
  <c r="BP27" i="9"/>
  <c r="Z28" i="9"/>
  <c r="BR23" i="9"/>
  <c r="BR22" i="9" s="1"/>
  <c r="Z18" i="9"/>
  <c r="BP20" i="9"/>
  <c r="Z21" i="9"/>
  <c r="BP19" i="9"/>
  <c r="L18" i="1"/>
  <c r="K61" i="1"/>
  <c r="G62" i="1"/>
  <c r="K65" i="1"/>
  <c r="G66" i="1"/>
  <c r="L66" i="1" s="1"/>
  <c r="K69" i="1"/>
  <c r="L22" i="1"/>
  <c r="L24" i="1"/>
  <c r="L38" i="1"/>
  <c r="L40" i="1"/>
  <c r="L42" i="1"/>
  <c r="L49" i="1"/>
  <c r="L51" i="1"/>
  <c r="C19" i="1"/>
  <c r="K20" i="1"/>
  <c r="K60" i="1"/>
  <c r="L60" i="1" s="1"/>
  <c r="G61" i="1"/>
  <c r="K64" i="1"/>
  <c r="G65" i="1"/>
  <c r="K68" i="1"/>
  <c r="L68" i="1" s="1"/>
  <c r="G69" i="1"/>
  <c r="L69" i="1" s="1"/>
  <c r="K72" i="1"/>
  <c r="O16" i="7"/>
  <c r="R16" i="7" s="1"/>
  <c r="N25" i="7"/>
  <c r="R22" i="7"/>
  <c r="K39" i="7"/>
  <c r="N38" i="7"/>
  <c r="R37" i="7"/>
  <c r="J15" i="7"/>
  <c r="Q25" i="7"/>
  <c r="R18" i="7"/>
  <c r="J38" i="7"/>
  <c r="Q38" i="7"/>
  <c r="R29" i="7"/>
  <c r="R31" i="7"/>
  <c r="H39" i="7"/>
  <c r="H41" i="7" s="1"/>
  <c r="P25" i="7"/>
  <c r="J16" i="7"/>
  <c r="R23" i="7"/>
  <c r="P38" i="7"/>
  <c r="L39" i="7"/>
  <c r="G20" i="1"/>
  <c r="L62" i="1"/>
  <c r="L23" i="1"/>
  <c r="G37" i="1"/>
  <c r="L28" i="1"/>
  <c r="L39" i="1"/>
  <c r="G64" i="1"/>
  <c r="L64" i="1" s="1"/>
  <c r="G72" i="1"/>
  <c r="L72" i="1" s="1"/>
  <c r="K26" i="1"/>
  <c r="G70" i="1"/>
  <c r="L25" i="1"/>
  <c r="G71" i="1"/>
  <c r="L71" i="1" s="1"/>
  <c r="L59" i="1"/>
  <c r="L63" i="1"/>
  <c r="L67" i="1"/>
  <c r="L61" i="1"/>
  <c r="Q42" i="7"/>
  <c r="Q41" i="7" s="1"/>
  <c r="I41" i="7"/>
  <c r="P42" i="7"/>
  <c r="P41" i="7" s="1"/>
  <c r="G41" i="7"/>
  <c r="O42" i="7"/>
  <c r="J42" i="7"/>
  <c r="O45" i="7"/>
  <c r="R45" i="7" s="1"/>
  <c r="J45" i="7"/>
  <c r="R28" i="7"/>
  <c r="R15" i="7"/>
  <c r="G25" i="7"/>
  <c r="G39" i="7" s="1"/>
  <c r="O44" i="7"/>
  <c r="R44" i="7" s="1"/>
  <c r="CA39" i="9" l="1"/>
  <c r="BW32" i="9"/>
  <c r="BW31" i="9" s="1"/>
  <c r="K16" i="13"/>
  <c r="L70" i="1"/>
  <c r="CA247" i="9"/>
  <c r="R75" i="9"/>
  <c r="BB244" i="9"/>
  <c r="N75" i="9"/>
  <c r="BM75" i="9"/>
  <c r="BJ183" i="9"/>
  <c r="BJ182" i="9" s="1"/>
  <c r="V32" i="9"/>
  <c r="V31" i="9" s="1"/>
  <c r="BO91" i="9"/>
  <c r="CA55" i="9"/>
  <c r="BZ69" i="9"/>
  <c r="CA219" i="9"/>
  <c r="BM244" i="9"/>
  <c r="BM243" i="9" s="1"/>
  <c r="BW209" i="9"/>
  <c r="U242" i="9"/>
  <c r="M147" i="11" s="1"/>
  <c r="M144" i="11" s="1"/>
  <c r="M160" i="11" s="1"/>
  <c r="R92" i="9"/>
  <c r="BH208" i="9"/>
  <c r="W142" i="11" s="1"/>
  <c r="BG91" i="9"/>
  <c r="W62" i="11" s="1"/>
  <c r="AB152" i="15"/>
  <c r="AB74" i="11"/>
  <c r="J99" i="11"/>
  <c r="N99" i="11" s="1"/>
  <c r="Z99" i="11" s="1"/>
  <c r="I57" i="11"/>
  <c r="J57" i="11" s="1"/>
  <c r="W111" i="11"/>
  <c r="BS140" i="9"/>
  <c r="X173" i="11"/>
  <c r="AB173" i="11" s="1"/>
  <c r="K19" i="11"/>
  <c r="K17" i="11" s="1"/>
  <c r="M60" i="11"/>
  <c r="BS36" i="9"/>
  <c r="BS172" i="9"/>
  <c r="BS50" i="9"/>
  <c r="BY52" i="9"/>
  <c r="BR132" i="9"/>
  <c r="BX52" i="9"/>
  <c r="BZ40" i="9"/>
  <c r="BX26" i="9"/>
  <c r="W154" i="9"/>
  <c r="J183" i="9"/>
  <c r="J182" i="9" s="1"/>
  <c r="V208" i="9"/>
  <c r="CA199" i="9"/>
  <c r="CA65" i="9"/>
  <c r="BY289" i="9"/>
  <c r="BY288" i="9" s="1"/>
  <c r="CA231" i="9"/>
  <c r="CA140" i="9"/>
  <c r="S1023" i="13"/>
  <c r="Y153" i="9"/>
  <c r="Z146" i="9"/>
  <c r="Z145" i="9" s="1"/>
  <c r="Y244" i="9"/>
  <c r="BM58" i="9"/>
  <c r="BM57" i="9" s="1"/>
  <c r="O78" i="1" s="1"/>
  <c r="BN40" i="9"/>
  <c r="BW92" i="9"/>
  <c r="BW91" i="9" s="1"/>
  <c r="M91" i="9"/>
  <c r="K64" i="11" s="1"/>
  <c r="K60" i="11" s="1"/>
  <c r="N242" i="9"/>
  <c r="BS236" i="9"/>
  <c r="AB1099" i="13"/>
  <c r="AB104" i="13"/>
  <c r="AB28" i="13"/>
  <c r="V154" i="9"/>
  <c r="V153" i="9" s="1"/>
  <c r="L242" i="9"/>
  <c r="K146" i="11" s="1"/>
  <c r="K144" i="11" s="1"/>
  <c r="Y199" i="13"/>
  <c r="BF75" i="9"/>
  <c r="Y243" i="9"/>
  <c r="Y242" i="9" s="1"/>
  <c r="BN220" i="9"/>
  <c r="BR145" i="9"/>
  <c r="BN78" i="9"/>
  <c r="BN101" i="9"/>
  <c r="BN100" i="9" s="1"/>
  <c r="BT242" i="9"/>
  <c r="BT181" i="9" s="1"/>
  <c r="BT168" i="9" s="1"/>
  <c r="BT57" i="9"/>
  <c r="P91" i="9"/>
  <c r="P30" i="9" s="1"/>
  <c r="P15" i="9" s="1"/>
  <c r="P14" i="9" s="1"/>
  <c r="P296" i="9" s="1"/>
  <c r="Q91" i="9"/>
  <c r="Q30" i="9" s="1"/>
  <c r="Q15" i="9" s="1"/>
  <c r="Q14" i="9" s="1"/>
  <c r="BI208" i="9"/>
  <c r="BA181" i="9"/>
  <c r="BA168" i="9" s="1"/>
  <c r="J75" i="9"/>
  <c r="BN255" i="9"/>
  <c r="CA207" i="9"/>
  <c r="N183" i="9"/>
  <c r="N182" i="9" s="1"/>
  <c r="BQ188" i="9"/>
  <c r="CA202" i="9"/>
  <c r="W169" i="9"/>
  <c r="BY40" i="9"/>
  <c r="BY233" i="9"/>
  <c r="CA187" i="9"/>
  <c r="CA173" i="9"/>
  <c r="L37" i="1"/>
  <c r="BP34" i="9"/>
  <c r="Z34" i="9"/>
  <c r="BS287" i="9"/>
  <c r="CA250" i="9"/>
  <c r="CA241" i="9"/>
  <c r="CA240" i="9" s="1"/>
  <c r="CA248" i="9"/>
  <c r="BR283" i="9"/>
  <c r="BR281" i="9" s="1"/>
  <c r="CA215" i="9"/>
  <c r="BZ52" i="9"/>
  <c r="Z78" i="9"/>
  <c r="BS21" i="9"/>
  <c r="BQ185" i="9"/>
  <c r="BQ184" i="9" s="1"/>
  <c r="CA67" i="9"/>
  <c r="CA119" i="9"/>
  <c r="BZ138" i="9"/>
  <c r="BZ137" i="9" s="1"/>
  <c r="CA50" i="9"/>
  <c r="AB827" i="13"/>
  <c r="AB39" i="13"/>
  <c r="J145" i="9"/>
  <c r="BF184" i="9"/>
  <c r="BF183" i="9" s="1"/>
  <c r="BF182" i="9" s="1"/>
  <c r="V244" i="9"/>
  <c r="V243" i="9" s="1"/>
  <c r="V242" i="9" s="1"/>
  <c r="AZ242" i="9"/>
  <c r="U146" i="11" s="1"/>
  <c r="U144" i="11" s="1"/>
  <c r="BS207" i="9"/>
  <c r="BS84" i="9"/>
  <c r="L105" i="11"/>
  <c r="BS103" i="9"/>
  <c r="BS164" i="9"/>
  <c r="I840" i="13"/>
  <c r="Q181" i="9"/>
  <c r="Q168" i="9" s="1"/>
  <c r="BZ162" i="9"/>
  <c r="BU242" i="9"/>
  <c r="AA146" i="11" s="1"/>
  <c r="AA144" i="11" s="1"/>
  <c r="N33" i="9"/>
  <c r="N32" i="9" s="1"/>
  <c r="N31" i="9" s="1"/>
  <c r="BN229" i="9"/>
  <c r="BG208" i="9"/>
  <c r="R154" i="9"/>
  <c r="R153" i="9" s="1"/>
  <c r="K170" i="11"/>
  <c r="K167" i="11" s="1"/>
  <c r="P275" i="13"/>
  <c r="U57" i="9"/>
  <c r="M59" i="11" s="1"/>
  <c r="M69" i="11" s="1"/>
  <c r="M107" i="11" s="1"/>
  <c r="K168" i="11"/>
  <c r="R111" i="11"/>
  <c r="AB156" i="15"/>
  <c r="H68" i="11"/>
  <c r="H46" i="11"/>
  <c r="M19" i="11"/>
  <c r="O111" i="11"/>
  <c r="AA19" i="11"/>
  <c r="AA17" i="11" s="1"/>
  <c r="W50" i="11"/>
  <c r="AB81" i="13"/>
  <c r="BJ243" i="9"/>
  <c r="BJ242" i="9" s="1"/>
  <c r="N361" i="13"/>
  <c r="Z361" i="13" s="1"/>
  <c r="AB121" i="13"/>
  <c r="AB136" i="13"/>
  <c r="M275" i="13"/>
  <c r="AB137" i="13"/>
  <c r="AB127" i="13"/>
  <c r="Q945" i="13"/>
  <c r="AB624" i="13"/>
  <c r="AB125" i="13"/>
  <c r="Y196" i="13"/>
  <c r="T703" i="13"/>
  <c r="R275" i="13"/>
  <c r="K19" i="1"/>
  <c r="L19" i="1" s="1"/>
  <c r="L20" i="1"/>
  <c r="L26" i="1"/>
  <c r="G19" i="1"/>
  <c r="Z620" i="13"/>
  <c r="N620" i="13"/>
  <c r="Y620" i="13" s="1"/>
  <c r="N298" i="13"/>
  <c r="Z298" i="13" s="1"/>
  <c r="N368" i="13"/>
  <c r="Y368" i="13" s="1"/>
  <c r="N439" i="13"/>
  <c r="Z439" i="13" s="1"/>
  <c r="N504" i="13"/>
  <c r="Y504" i="13" s="1"/>
  <c r="N498" i="13"/>
  <c r="Z498" i="13" s="1"/>
  <c r="N622" i="13"/>
  <c r="Z622" i="13" s="1"/>
  <c r="N187" i="13"/>
  <c r="Z187" i="13" s="1"/>
  <c r="N369" i="13"/>
  <c r="Z369" i="13" s="1"/>
  <c r="N440" i="13"/>
  <c r="Z440" i="13" s="1"/>
  <c r="Z406" i="13"/>
  <c r="N406" i="13"/>
  <c r="N395" i="13"/>
  <c r="Z395" i="13" s="1"/>
  <c r="N505" i="13"/>
  <c r="Z505" i="13" s="1"/>
  <c r="N493" i="13"/>
  <c r="Z493" i="13" s="1"/>
  <c r="N530" i="13"/>
  <c r="Y530" i="13" s="1"/>
  <c r="N520" i="13"/>
  <c r="Z520" i="13" s="1"/>
  <c r="N188" i="13"/>
  <c r="Z188" i="13" s="1"/>
  <c r="N376" i="13"/>
  <c r="Z376" i="13" s="1"/>
  <c r="N370" i="13"/>
  <c r="Z370" i="13" s="1"/>
  <c r="N364" i="13"/>
  <c r="Z364" i="13" s="1"/>
  <c r="N402" i="13"/>
  <c r="Z402" i="13" s="1"/>
  <c r="N397" i="13"/>
  <c r="Z397" i="13" s="1"/>
  <c r="N506" i="13"/>
  <c r="Z506" i="13" s="1"/>
  <c r="N500" i="13"/>
  <c r="Z500" i="13" s="1"/>
  <c r="N494" i="13"/>
  <c r="Y494" i="13" s="1"/>
  <c r="N570" i="13"/>
  <c r="Z570" i="13" s="1"/>
  <c r="N531" i="13"/>
  <c r="Z531" i="13" s="1"/>
  <c r="N521" i="13"/>
  <c r="Z521" i="13" s="1"/>
  <c r="AB586" i="13"/>
  <c r="N374" i="13"/>
  <c r="Z374" i="13" s="1"/>
  <c r="N416" i="13"/>
  <c r="Z416" i="13" s="1"/>
  <c r="N404" i="13"/>
  <c r="Z404" i="13" s="1"/>
  <c r="N400" i="13"/>
  <c r="Z400" i="13" s="1"/>
  <c r="N390" i="13"/>
  <c r="Z390" i="13" s="1"/>
  <c r="N492" i="13"/>
  <c r="Z492" i="13" s="1"/>
  <c r="Z568" i="13"/>
  <c r="N568" i="13"/>
  <c r="N550" i="13"/>
  <c r="Z550" i="13" s="1"/>
  <c r="N545" i="13"/>
  <c r="Z545" i="13" s="1"/>
  <c r="N533" i="13"/>
  <c r="Z533" i="13" s="1"/>
  <c r="N528" i="13"/>
  <c r="Z528" i="13" s="1"/>
  <c r="J147" i="13"/>
  <c r="N149" i="13"/>
  <c r="N147" i="13" s="1"/>
  <c r="N375" i="13"/>
  <c r="Z375" i="13" s="1"/>
  <c r="N363" i="13"/>
  <c r="Z363" i="13" s="1"/>
  <c r="N417" i="13"/>
  <c r="Z417" i="13" s="1"/>
  <c r="N401" i="13"/>
  <c r="Z401" i="13" s="1"/>
  <c r="N499" i="13"/>
  <c r="Z499" i="13" s="1"/>
  <c r="N569" i="13"/>
  <c r="Z569" i="13" s="1"/>
  <c r="Z555" i="13"/>
  <c r="N555" i="13"/>
  <c r="N534" i="13"/>
  <c r="Z534" i="13" s="1"/>
  <c r="N524" i="13"/>
  <c r="Z524" i="13" s="1"/>
  <c r="N297" i="13"/>
  <c r="Z297" i="13" s="1"/>
  <c r="N286" i="13"/>
  <c r="Z286" i="13" s="1"/>
  <c r="N378" i="13"/>
  <c r="Z378" i="13" s="1"/>
  <c r="N372" i="13"/>
  <c r="Z372" i="13" s="1"/>
  <c r="N367" i="13"/>
  <c r="Z367" i="13" s="1"/>
  <c r="N438" i="13"/>
  <c r="Y438" i="13" s="1"/>
  <c r="N415" i="13"/>
  <c r="Z415" i="13" s="1"/>
  <c r="N403" i="13"/>
  <c r="Z403" i="13" s="1"/>
  <c r="N398" i="13"/>
  <c r="Z398" i="13" s="1"/>
  <c r="Z393" i="13"/>
  <c r="N393" i="13"/>
  <c r="N508" i="13"/>
  <c r="Z508" i="13" s="1"/>
  <c r="N501" i="13"/>
  <c r="Z501" i="13" s="1"/>
  <c r="N497" i="13"/>
  <c r="Z497" i="13" s="1"/>
  <c r="N491" i="13"/>
  <c r="Z491" i="13" s="1"/>
  <c r="N561" i="13"/>
  <c r="Z561" i="13" s="1"/>
  <c r="N532" i="13"/>
  <c r="Z532" i="13" s="1"/>
  <c r="N527" i="13"/>
  <c r="Z527" i="13" s="1"/>
  <c r="Z39" i="13"/>
  <c r="L945" i="13"/>
  <c r="X840" i="13"/>
  <c r="S257" i="15"/>
  <c r="BH57" i="9"/>
  <c r="W58" i="11" s="1"/>
  <c r="BJ154" i="9"/>
  <c r="BJ153" i="9" s="1"/>
  <c r="BJ32" i="9"/>
  <c r="BJ31" i="9" s="1"/>
  <c r="BJ58" i="9"/>
  <c r="W170" i="11"/>
  <c r="W167" i="11" s="1"/>
  <c r="AB29" i="13"/>
  <c r="BH91" i="9"/>
  <c r="W63" i="11" s="1"/>
  <c r="K43" i="15"/>
  <c r="AB153" i="15"/>
  <c r="AB30" i="13"/>
  <c r="AB31" i="13"/>
  <c r="AB77" i="13"/>
  <c r="O16" i="13"/>
  <c r="AB124" i="13"/>
  <c r="W16" i="13"/>
  <c r="N31" i="13"/>
  <c r="Y31" i="13" s="1"/>
  <c r="N30" i="13"/>
  <c r="Z30" i="13" s="1"/>
  <c r="O19" i="15"/>
  <c r="O17" i="15" s="1"/>
  <c r="N28" i="13"/>
  <c r="Z28" i="13" s="1"/>
  <c r="AB25" i="13"/>
  <c r="T50" i="16"/>
  <c r="R45" i="16"/>
  <c r="Z35" i="13"/>
  <c r="BF154" i="9"/>
  <c r="BF153" i="9" s="1"/>
  <c r="AB88" i="13"/>
  <c r="AB90" i="13"/>
  <c r="AB135" i="13"/>
  <c r="AB133" i="13"/>
  <c r="AB120" i="13"/>
  <c r="AB142" i="13"/>
  <c r="AB132" i="13"/>
  <c r="AB456" i="13"/>
  <c r="AB131" i="13"/>
  <c r="AB36" i="13"/>
  <c r="BF93" i="9"/>
  <c r="CA108" i="9"/>
  <c r="R60" i="11"/>
  <c r="R160" i="11" s="1"/>
  <c r="W19" i="11"/>
  <c r="W17" i="11" s="1"/>
  <c r="AB98" i="11"/>
  <c r="P84" i="1"/>
  <c r="U151" i="11"/>
  <c r="AB61" i="13"/>
  <c r="AB129" i="13"/>
  <c r="AB92" i="13"/>
  <c r="V50" i="11"/>
  <c r="N546" i="13"/>
  <c r="Z546" i="13" s="1"/>
  <c r="BC91" i="9"/>
  <c r="V62" i="11" s="1"/>
  <c r="V67" i="11" s="1"/>
  <c r="BX104" i="9"/>
  <c r="AB158" i="15"/>
  <c r="BD57" i="9"/>
  <c r="V58" i="11" s="1"/>
  <c r="V16" i="13"/>
  <c r="V19" i="11"/>
  <c r="V17" i="11" s="1"/>
  <c r="AB70" i="13"/>
  <c r="BF209" i="9"/>
  <c r="BF208" i="9" s="1"/>
  <c r="BD242" i="9"/>
  <c r="V146" i="11" s="1"/>
  <c r="N210" i="13"/>
  <c r="Z210" i="13" s="1"/>
  <c r="N215" i="13"/>
  <c r="Y215" i="13" s="1"/>
  <c r="N221" i="13"/>
  <c r="Y221" i="13" s="1"/>
  <c r="V136" i="11"/>
  <c r="CA116" i="9"/>
  <c r="BS111" i="9"/>
  <c r="CA267" i="9"/>
  <c r="AB745" i="13"/>
  <c r="N174" i="13"/>
  <c r="Y174" i="13" s="1"/>
  <c r="Y198" i="13"/>
  <c r="N209" i="13"/>
  <c r="Z209" i="13" s="1"/>
  <c r="N214" i="13"/>
  <c r="Y214" i="13" s="1"/>
  <c r="N212" i="13"/>
  <c r="Y212" i="13" s="1"/>
  <c r="N213" i="13"/>
  <c r="Y213" i="13" s="1"/>
  <c r="N211" i="13"/>
  <c r="Z211" i="13" s="1"/>
  <c r="N219" i="13"/>
  <c r="Y219" i="13" s="1"/>
  <c r="N220" i="13"/>
  <c r="Z220" i="13" s="1"/>
  <c r="N216" i="13"/>
  <c r="Y216" i="13" s="1"/>
  <c r="N217" i="13"/>
  <c r="Z217" i="13" s="1"/>
  <c r="N218" i="13"/>
  <c r="Z218" i="13" s="1"/>
  <c r="N226" i="13"/>
  <c r="Z226" i="13" s="1"/>
  <c r="N222" i="13"/>
  <c r="Z222" i="13" s="1"/>
  <c r="N224" i="13"/>
  <c r="Y224" i="13" s="1"/>
  <c r="N223" i="13"/>
  <c r="Z223" i="13" s="1"/>
  <c r="N249" i="13"/>
  <c r="Z249" i="13" s="1"/>
  <c r="AB123" i="13"/>
  <c r="AB130" i="13"/>
  <c r="N273" i="13"/>
  <c r="N288" i="13"/>
  <c r="Z288" i="13" s="1"/>
  <c r="N306" i="13"/>
  <c r="Y306" i="13" s="1"/>
  <c r="N384" i="13"/>
  <c r="Z384" i="13" s="1"/>
  <c r="N386" i="13"/>
  <c r="Y386" i="13" s="1"/>
  <c r="N388" i="13"/>
  <c r="Z388" i="13" s="1"/>
  <c r="N392" i="13"/>
  <c r="Y392" i="13" s="1"/>
  <c r="N525" i="13"/>
  <c r="Z525" i="13" s="1"/>
  <c r="N549" i="13"/>
  <c r="Z549" i="13" s="1"/>
  <c r="AB49" i="13"/>
  <c r="N408" i="13"/>
  <c r="Y408" i="13" s="1"/>
  <c r="N410" i="13"/>
  <c r="Z410" i="13" s="1"/>
  <c r="N409" i="13"/>
  <c r="Y409" i="13" s="1"/>
  <c r="N411" i="13"/>
  <c r="Z411" i="13" s="1"/>
  <c r="N413" i="13"/>
  <c r="Y413" i="13" s="1"/>
  <c r="N514" i="13"/>
  <c r="Y514" i="13" s="1"/>
  <c r="AB45" i="13"/>
  <c r="N516" i="13"/>
  <c r="Y516" i="13" s="1"/>
  <c r="N518" i="13"/>
  <c r="Z518" i="13" s="1"/>
  <c r="N523" i="13"/>
  <c r="Y523" i="13" s="1"/>
  <c r="N522" i="13"/>
  <c r="Z522" i="13" s="1"/>
  <c r="AB53" i="13"/>
  <c r="N536" i="13"/>
  <c r="Y536" i="13" s="1"/>
  <c r="N539" i="13"/>
  <c r="Y539" i="13" s="1"/>
  <c r="N538" i="13"/>
  <c r="Z538" i="13" s="1"/>
  <c r="N540" i="13"/>
  <c r="Z540" i="13" s="1"/>
  <c r="N541" i="13"/>
  <c r="Z541" i="13" s="1"/>
  <c r="N543" i="13"/>
  <c r="Y543" i="13" s="1"/>
  <c r="N547" i="13"/>
  <c r="Z547" i="13" s="1"/>
  <c r="N551" i="13"/>
  <c r="Y551" i="13" s="1"/>
  <c r="N554" i="13"/>
  <c r="Z554" i="13" s="1"/>
  <c r="N552" i="13"/>
  <c r="Z552" i="13" s="1"/>
  <c r="N553" i="13"/>
  <c r="Y553" i="13" s="1"/>
  <c r="N558" i="13"/>
  <c r="Z558" i="13" s="1"/>
  <c r="N559" i="13"/>
  <c r="Z559" i="13" s="1"/>
  <c r="N560" i="13"/>
  <c r="Z560" i="13" s="1"/>
  <c r="N556" i="13"/>
  <c r="Z556" i="13" s="1"/>
  <c r="N557" i="13"/>
  <c r="Y557" i="13" s="1"/>
  <c r="N563" i="13"/>
  <c r="Z563" i="13" s="1"/>
  <c r="N564" i="13"/>
  <c r="Z564" i="13" s="1"/>
  <c r="N562" i="13"/>
  <c r="Y562" i="13" s="1"/>
  <c r="N566" i="13"/>
  <c r="Z566" i="13" s="1"/>
  <c r="H275" i="13"/>
  <c r="O275" i="13"/>
  <c r="H945" i="13"/>
  <c r="Y826" i="13"/>
  <c r="AB72" i="13"/>
  <c r="BF92" i="9"/>
  <c r="BF91" i="9" s="1"/>
  <c r="BF58" i="9"/>
  <c r="BF57" i="9" s="1"/>
  <c r="AB44" i="13"/>
  <c r="Q266" i="15"/>
  <c r="Q265" i="15" s="1"/>
  <c r="V266" i="15"/>
  <c r="V265" i="15" s="1"/>
  <c r="V170" i="11"/>
  <c r="V167" i="11" s="1"/>
  <c r="AB784" i="13"/>
  <c r="BB209" i="9"/>
  <c r="BB208" i="9" s="1"/>
  <c r="BL209" i="9"/>
  <c r="BL208" i="9" s="1"/>
  <c r="R180" i="16" s="1"/>
  <c r="U167" i="11"/>
  <c r="X1128" i="13"/>
  <c r="AB106" i="13"/>
  <c r="AB67" i="13"/>
  <c r="BB58" i="9"/>
  <c r="R242" i="9"/>
  <c r="M28" i="11"/>
  <c r="N29" i="11"/>
  <c r="V91" i="9"/>
  <c r="V30" i="9" s="1"/>
  <c r="V15" i="9" s="1"/>
  <c r="V14" i="9" s="1"/>
  <c r="CA217" i="9"/>
  <c r="BZ203" i="9"/>
  <c r="Z191" i="9"/>
  <c r="BY226" i="9"/>
  <c r="CA176" i="9"/>
  <c r="CA175" i="9" s="1"/>
  <c r="BS216" i="9"/>
  <c r="BZ104" i="9"/>
  <c r="BY37" i="9"/>
  <c r="BY33" i="9" s="1"/>
  <c r="BR101" i="9"/>
  <c r="BR100" i="9" s="1"/>
  <c r="CA142" i="9"/>
  <c r="BK244" i="9"/>
  <c r="BK243" i="9" s="1"/>
  <c r="BZ150" i="9"/>
  <c r="BZ145" i="9" s="1"/>
  <c r="R183" i="9"/>
  <c r="R182" i="9" s="1"/>
  <c r="BS80" i="9"/>
  <c r="BS118" i="9"/>
  <c r="BS254" i="9"/>
  <c r="CA262" i="9"/>
  <c r="W184" i="9"/>
  <c r="W183" i="9" s="1"/>
  <c r="W182" i="9" s="1"/>
  <c r="BS225" i="9"/>
  <c r="Y120" i="9"/>
  <c r="BZ272" i="9"/>
  <c r="BZ271" i="9" s="1"/>
  <c r="W209" i="9"/>
  <c r="D83" i="1" s="1"/>
  <c r="D81" i="1" s="1"/>
  <c r="CA236" i="9"/>
  <c r="BY170" i="9"/>
  <c r="BY169" i="9" s="1"/>
  <c r="CA42" i="9"/>
  <c r="BX75" i="9"/>
  <c r="CA136" i="9"/>
  <c r="Y33" i="9"/>
  <c r="CA66" i="9"/>
  <c r="N57" i="9"/>
  <c r="R31" i="9"/>
  <c r="BR162" i="9"/>
  <c r="BR154" i="9" s="1"/>
  <c r="BR153" i="9" s="1"/>
  <c r="CA64" i="9"/>
  <c r="BF32" i="9"/>
  <c r="BF31" i="9" s="1"/>
  <c r="BW208" i="9"/>
  <c r="BS156" i="9"/>
  <c r="BS155" i="9" s="1"/>
  <c r="CA148" i="9"/>
  <c r="BN52" i="9"/>
  <c r="BN132" i="9"/>
  <c r="BN130" i="9" s="1"/>
  <c r="BM184" i="9"/>
  <c r="BM183" i="9" s="1"/>
  <c r="BM182" i="9" s="1"/>
  <c r="M74" i="1"/>
  <c r="BN69" i="9"/>
  <c r="BW183" i="9"/>
  <c r="BW182" i="9" s="1"/>
  <c r="BJ75" i="9"/>
  <c r="BN246" i="9"/>
  <c r="BN245" i="9" s="1"/>
  <c r="R58" i="9"/>
  <c r="R57" i="9" s="1"/>
  <c r="L208" i="9"/>
  <c r="K142" i="11" s="1"/>
  <c r="N142" i="11" s="1"/>
  <c r="Y142" i="11" s="1"/>
  <c r="BN263" i="9"/>
  <c r="BO57" i="9"/>
  <c r="BO30" i="9" s="1"/>
  <c r="BO15" i="9" s="1"/>
  <c r="BO14" i="9" s="1"/>
  <c r="M67" i="11"/>
  <c r="M105" i="11" s="1"/>
  <c r="BN185" i="9"/>
  <c r="BN184" i="9" s="1"/>
  <c r="BN183" i="9" s="1"/>
  <c r="BN182" i="9" s="1"/>
  <c r="BG181" i="9"/>
  <c r="BG168" i="9" s="1"/>
  <c r="BN33" i="9"/>
  <c r="W244" i="9"/>
  <c r="W243" i="9" s="1"/>
  <c r="W242" i="9" s="1"/>
  <c r="BS190" i="9"/>
  <c r="BS223" i="9"/>
  <c r="BZ211" i="9"/>
  <c r="BZ210" i="9" s="1"/>
  <c r="BS235" i="9"/>
  <c r="BS173" i="9"/>
  <c r="CA72" i="9"/>
  <c r="M181" i="9"/>
  <c r="M168" i="9" s="1"/>
  <c r="BY154" i="9"/>
  <c r="BY153" i="9" s="1"/>
  <c r="BK184" i="9"/>
  <c r="BK183" i="9" s="1"/>
  <c r="BK182" i="9" s="1"/>
  <c r="BN155" i="9"/>
  <c r="BN44" i="9"/>
  <c r="BB75" i="9"/>
  <c r="BS115" i="9"/>
  <c r="BS126" i="9"/>
  <c r="BS142" i="9"/>
  <c r="J32" i="9"/>
  <c r="J31" i="9" s="1"/>
  <c r="BS198" i="9"/>
  <c r="BS219" i="9"/>
  <c r="X120" i="9"/>
  <c r="BS248" i="9"/>
  <c r="CA268" i="9"/>
  <c r="BZ220" i="9"/>
  <c r="CA73" i="9"/>
  <c r="BZ60" i="9"/>
  <c r="BZ59" i="9" s="1"/>
  <c r="BZ58" i="9" s="1"/>
  <c r="CA110" i="9"/>
  <c r="BQ138" i="9"/>
  <c r="BQ137" i="9" s="1"/>
  <c r="BQ26" i="9"/>
  <c r="K181" i="9"/>
  <c r="K168" i="9" s="1"/>
  <c r="BR170" i="9"/>
  <c r="BR169" i="9" s="1"/>
  <c r="G50" i="11"/>
  <c r="I50" i="11" s="1"/>
  <c r="J50" i="11" s="1"/>
  <c r="N50" i="11" s="1"/>
  <c r="Y50" i="11" s="1"/>
  <c r="Z220" i="9"/>
  <c r="BY150" i="9"/>
  <c r="BY145" i="9" s="1"/>
  <c r="BV91" i="9"/>
  <c r="AA64" i="11" s="1"/>
  <c r="AA69" i="11" s="1"/>
  <c r="AA107" i="11" s="1"/>
  <c r="AA156" i="11" s="1"/>
  <c r="BN211" i="9"/>
  <c r="BN210" i="9" s="1"/>
  <c r="BN209" i="9" s="1"/>
  <c r="N83" i="1" s="1"/>
  <c r="N81" i="1" s="1"/>
  <c r="BJ93" i="9"/>
  <c r="BJ92" i="9" s="1"/>
  <c r="BJ91" i="9" s="1"/>
  <c r="BN275" i="9"/>
  <c r="BN272" i="9" s="1"/>
  <c r="BN271" i="9" s="1"/>
  <c r="X59" i="11"/>
  <c r="AB59" i="11" s="1"/>
  <c r="S30" i="9"/>
  <c r="S15" i="9" s="1"/>
  <c r="S14" i="9" s="1"/>
  <c r="S296" i="9" s="1"/>
  <c r="X22" i="11"/>
  <c r="BN170" i="9"/>
  <c r="BN169" i="9" s="1"/>
  <c r="AB54" i="11"/>
  <c r="Z29" i="13"/>
  <c r="AB65" i="13"/>
  <c r="T30" i="9"/>
  <c r="T15" i="9" s="1"/>
  <c r="T14" i="9" s="1"/>
  <c r="M68" i="11"/>
  <c r="M106" i="11" s="1"/>
  <c r="C134" i="16"/>
  <c r="Z155" i="9"/>
  <c r="Z36" i="13"/>
  <c r="I704" i="13"/>
  <c r="N31" i="15"/>
  <c r="Z31" i="15" s="1"/>
  <c r="K236" i="15"/>
  <c r="AB37" i="13"/>
  <c r="AB20" i="13"/>
  <c r="AB58" i="13"/>
  <c r="AB47" i="13"/>
  <c r="BB243" i="9"/>
  <c r="BB242" i="9" s="1"/>
  <c r="BL244" i="9"/>
  <c r="BL243" i="9" s="1"/>
  <c r="BL242" i="9" s="1"/>
  <c r="AB93" i="13"/>
  <c r="AB74" i="13"/>
  <c r="AB86" i="13"/>
  <c r="T945" i="13"/>
  <c r="K945" i="13"/>
  <c r="AB35" i="13"/>
  <c r="AB101" i="13"/>
  <c r="N444" i="13"/>
  <c r="Y444" i="13" s="1"/>
  <c r="N445" i="13"/>
  <c r="Z445" i="13" s="1"/>
  <c r="AB108" i="13"/>
  <c r="N446" i="13"/>
  <c r="Z446" i="13" s="1"/>
  <c r="N442" i="13"/>
  <c r="Z442" i="13" s="1"/>
  <c r="N443" i="13"/>
  <c r="Y443" i="13" s="1"/>
  <c r="AB24" i="13"/>
  <c r="AB54" i="13"/>
  <c r="AB51" i="13"/>
  <c r="AB105" i="13"/>
  <c r="AB99" i="13"/>
  <c r="AB84" i="13"/>
  <c r="AB91" i="13"/>
  <c r="AB95" i="13"/>
  <c r="AB80" i="13"/>
  <c r="CA99" i="9"/>
  <c r="N26" i="11"/>
  <c r="Z26" i="11" s="1"/>
  <c r="M24" i="11"/>
  <c r="BB183" i="9"/>
  <c r="BB182" i="9" s="1"/>
  <c r="CA98" i="9"/>
  <c r="Z49" i="13"/>
  <c r="X16" i="9"/>
  <c r="Z47" i="13"/>
  <c r="BS98" i="9"/>
  <c r="CA258" i="9"/>
  <c r="BB154" i="9"/>
  <c r="BB153" i="9" s="1"/>
  <c r="Z53" i="11"/>
  <c r="AB53" i="11"/>
  <c r="T111" i="11"/>
  <c r="AB96" i="11"/>
  <c r="Z153" i="15"/>
  <c r="AB770" i="13"/>
  <c r="AB776" i="13"/>
  <c r="AB789" i="13"/>
  <c r="N576" i="13"/>
  <c r="Z576" i="13" s="1"/>
  <c r="N581" i="13"/>
  <c r="Z581" i="13" s="1"/>
  <c r="N573" i="13"/>
  <c r="Y573" i="13" s="1"/>
  <c r="N584" i="13"/>
  <c r="Z584" i="13" s="1"/>
  <c r="N578" i="13"/>
  <c r="Z578" i="13" s="1"/>
  <c r="N574" i="13"/>
  <c r="Z574" i="13" s="1"/>
  <c r="T275" i="13"/>
  <c r="AB112" i="13"/>
  <c r="AB109" i="13"/>
  <c r="N580" i="13"/>
  <c r="Z580" i="13" s="1"/>
  <c r="N572" i="13"/>
  <c r="Z572" i="13" s="1"/>
  <c r="N577" i="13"/>
  <c r="Z577" i="13" s="1"/>
  <c r="N579" i="13"/>
  <c r="Y579" i="13" s="1"/>
  <c r="N575" i="13"/>
  <c r="Z575" i="13" s="1"/>
  <c r="AB111" i="13"/>
  <c r="W275" i="13"/>
  <c r="N608" i="13"/>
  <c r="Z608" i="13" s="1"/>
  <c r="N602" i="13"/>
  <c r="Z602" i="13" s="1"/>
  <c r="N593" i="13"/>
  <c r="Y593" i="13" s="1"/>
  <c r="N613" i="13"/>
  <c r="Z613" i="13" s="1"/>
  <c r="N606" i="13"/>
  <c r="Z606" i="13" s="1"/>
  <c r="N601" i="13"/>
  <c r="Z601" i="13" s="1"/>
  <c r="N597" i="13"/>
  <c r="Y597" i="13" s="1"/>
  <c r="N592" i="13"/>
  <c r="Z592" i="13" s="1"/>
  <c r="I117" i="13"/>
  <c r="G275" i="13"/>
  <c r="AB144" i="13"/>
  <c r="S117" i="13"/>
  <c r="X117" i="13"/>
  <c r="AB139" i="13"/>
  <c r="N598" i="13"/>
  <c r="Z598" i="13" s="1"/>
  <c r="N609" i="13"/>
  <c r="Z609" i="13" s="1"/>
  <c r="N604" i="13"/>
  <c r="Z604" i="13" s="1"/>
  <c r="N599" i="13"/>
  <c r="Y599" i="13" s="1"/>
  <c r="Z594" i="13"/>
  <c r="N594" i="13"/>
  <c r="Y594" i="13" s="1"/>
  <c r="N611" i="13"/>
  <c r="Z611" i="13" s="1"/>
  <c r="N605" i="13"/>
  <c r="Y605" i="13" s="1"/>
  <c r="N600" i="13"/>
  <c r="Y600" i="13" s="1"/>
  <c r="N596" i="13"/>
  <c r="Y596" i="13" s="1"/>
  <c r="N590" i="13"/>
  <c r="Y590" i="13" s="1"/>
  <c r="AB22" i="13"/>
  <c r="U16" i="13"/>
  <c r="N142" i="13"/>
  <c r="Y142" i="13" s="1"/>
  <c r="N127" i="13"/>
  <c r="Z127" i="13" s="1"/>
  <c r="N124" i="13"/>
  <c r="Y124" i="13" s="1"/>
  <c r="N135" i="13"/>
  <c r="Z135" i="13" s="1"/>
  <c r="N136" i="13"/>
  <c r="Y136" i="13" s="1"/>
  <c r="N144" i="13"/>
  <c r="Z144" i="13" s="1"/>
  <c r="N137" i="13"/>
  <c r="Y137" i="13" s="1"/>
  <c r="N132" i="13"/>
  <c r="Z132" i="13" s="1"/>
  <c r="N128" i="13"/>
  <c r="Y128" i="13" s="1"/>
  <c r="N123" i="13"/>
  <c r="Z123" i="13" s="1"/>
  <c r="N140" i="13"/>
  <c r="Y140" i="13" s="1"/>
  <c r="N130" i="13"/>
  <c r="Z130" i="13" s="1"/>
  <c r="N125" i="13"/>
  <c r="Y125" i="13" s="1"/>
  <c r="N131" i="13"/>
  <c r="Z131" i="13" s="1"/>
  <c r="N121" i="13"/>
  <c r="Y121" i="13" s="1"/>
  <c r="N139" i="13"/>
  <c r="Z139" i="13" s="1"/>
  <c r="N133" i="13"/>
  <c r="Y133" i="13" s="1"/>
  <c r="N129" i="13"/>
  <c r="Z129" i="13" s="1"/>
  <c r="AB128" i="13"/>
  <c r="N454" i="13"/>
  <c r="Z454" i="13" s="1"/>
  <c r="N449" i="13"/>
  <c r="Y449" i="13" s="1"/>
  <c r="N451" i="13"/>
  <c r="Z451" i="13" s="1"/>
  <c r="N447" i="13"/>
  <c r="Y447" i="13" s="1"/>
  <c r="AB110" i="13"/>
  <c r="N450" i="13"/>
  <c r="Z450" i="13" s="1"/>
  <c r="N448" i="13"/>
  <c r="Z448" i="13" s="1"/>
  <c r="N433" i="13"/>
  <c r="Y433" i="13" s="1"/>
  <c r="N425" i="13"/>
  <c r="Y425" i="13" s="1"/>
  <c r="N434" i="13"/>
  <c r="Z434" i="13" s="1"/>
  <c r="N430" i="13"/>
  <c r="Z430" i="13" s="1"/>
  <c r="N426" i="13"/>
  <c r="Z426" i="13" s="1"/>
  <c r="N422" i="13"/>
  <c r="Y422" i="13" s="1"/>
  <c r="AB85" i="13"/>
  <c r="N429" i="13"/>
  <c r="Z429" i="13" s="1"/>
  <c r="N436" i="13"/>
  <c r="Z436" i="13" s="1"/>
  <c r="N431" i="13"/>
  <c r="Z431" i="13" s="1"/>
  <c r="N427" i="13"/>
  <c r="Z427" i="13" s="1"/>
  <c r="N423" i="13"/>
  <c r="Z423" i="13" s="1"/>
  <c r="N419" i="13"/>
  <c r="Z419" i="13" s="1"/>
  <c r="AB87" i="13"/>
  <c r="AB82" i="13"/>
  <c r="N421" i="13"/>
  <c r="Z421" i="13" s="1"/>
  <c r="N432" i="13"/>
  <c r="Z432" i="13" s="1"/>
  <c r="N428" i="13"/>
  <c r="Z428" i="13" s="1"/>
  <c r="N424" i="13"/>
  <c r="Z424" i="13" s="1"/>
  <c r="N420" i="13"/>
  <c r="Z420" i="13" s="1"/>
  <c r="AB62" i="13"/>
  <c r="N104" i="13"/>
  <c r="Z104" i="13" s="1"/>
  <c r="N109" i="13"/>
  <c r="Z109" i="13" s="1"/>
  <c r="N351" i="13"/>
  <c r="Y351" i="13" s="1"/>
  <c r="N347" i="13"/>
  <c r="Z347" i="13" s="1"/>
  <c r="N343" i="13"/>
  <c r="Y343" i="13" s="1"/>
  <c r="N112" i="13"/>
  <c r="Z112" i="13" s="1"/>
  <c r="N108" i="13"/>
  <c r="Y108" i="13" s="1"/>
  <c r="N103" i="13"/>
  <c r="Z103" i="13" s="1"/>
  <c r="N354" i="13"/>
  <c r="Z354" i="13" s="1"/>
  <c r="N348" i="13"/>
  <c r="Z348" i="13" s="1"/>
  <c r="N344" i="13"/>
  <c r="Y344" i="13" s="1"/>
  <c r="N349" i="13"/>
  <c r="Z349" i="13" s="1"/>
  <c r="N345" i="13"/>
  <c r="Y345" i="13" s="1"/>
  <c r="N110" i="13"/>
  <c r="Z110" i="13" s="1"/>
  <c r="N350" i="13"/>
  <c r="Y350" i="13" s="1"/>
  <c r="N346" i="13"/>
  <c r="Z346" i="13" s="1"/>
  <c r="N342" i="13"/>
  <c r="Y342" i="13" s="1"/>
  <c r="N111" i="13"/>
  <c r="Z111" i="13" s="1"/>
  <c r="N107" i="13"/>
  <c r="Z107" i="13" s="1"/>
  <c r="N105" i="13"/>
  <c r="Z105" i="13" s="1"/>
  <c r="AB107" i="13"/>
  <c r="N99" i="13"/>
  <c r="Z99" i="13" s="1"/>
  <c r="N338" i="13"/>
  <c r="Y338" i="13" s="1"/>
  <c r="N339" i="13"/>
  <c r="Z339" i="13" s="1"/>
  <c r="N340" i="13"/>
  <c r="Z340" i="13" s="1"/>
  <c r="N94" i="13"/>
  <c r="Y94" i="13" s="1"/>
  <c r="N83" i="13"/>
  <c r="Z83" i="13" s="1"/>
  <c r="N336" i="13"/>
  <c r="Z336" i="13" s="1"/>
  <c r="N325" i="13"/>
  <c r="Z325" i="13" s="1"/>
  <c r="N93" i="13"/>
  <c r="Y93" i="13" s="1"/>
  <c r="N85" i="13"/>
  <c r="Z85" i="13" s="1"/>
  <c r="N330" i="13"/>
  <c r="Y330" i="13" s="1"/>
  <c r="N333" i="13"/>
  <c r="Z333" i="13" s="1"/>
  <c r="N327" i="13"/>
  <c r="Y327" i="13" s="1"/>
  <c r="N323" i="13"/>
  <c r="Z323" i="13" s="1"/>
  <c r="N319" i="13"/>
  <c r="Z319" i="13" s="1"/>
  <c r="N97" i="13"/>
  <c r="Z97" i="13" s="1"/>
  <c r="N89" i="13"/>
  <c r="Y89" i="13" s="1"/>
  <c r="N91" i="13"/>
  <c r="Z91" i="13" s="1"/>
  <c r="N329" i="13"/>
  <c r="Y329" i="13" s="1"/>
  <c r="N321" i="13"/>
  <c r="Z321" i="13" s="1"/>
  <c r="N81" i="13"/>
  <c r="Y81" i="13" s="1"/>
  <c r="N326" i="13"/>
  <c r="Z326" i="13" s="1"/>
  <c r="N322" i="13"/>
  <c r="Y322" i="13" s="1"/>
  <c r="N82" i="13"/>
  <c r="Z82" i="13" s="1"/>
  <c r="N87" i="13"/>
  <c r="Z87" i="13" s="1"/>
  <c r="N334" i="13"/>
  <c r="Z334" i="13" s="1"/>
  <c r="N328" i="13"/>
  <c r="Y328" i="13" s="1"/>
  <c r="N324" i="13"/>
  <c r="Z324" i="13" s="1"/>
  <c r="N320" i="13"/>
  <c r="Z320" i="13" s="1"/>
  <c r="N90" i="13"/>
  <c r="Z90" i="13" s="1"/>
  <c r="N84" i="13"/>
  <c r="Y84" i="13" s="1"/>
  <c r="N80" i="13"/>
  <c r="Z80" i="13" s="1"/>
  <c r="N95" i="13"/>
  <c r="Y95" i="13" s="1"/>
  <c r="N88" i="13"/>
  <c r="Z88" i="13" s="1"/>
  <c r="N45" i="13"/>
  <c r="Y45" i="13" s="1"/>
  <c r="N284" i="13"/>
  <c r="Z284" i="13" s="1"/>
  <c r="N291" i="13"/>
  <c r="Z291" i="13" s="1"/>
  <c r="N53" i="13"/>
  <c r="Z53" i="13" s="1"/>
  <c r="N292" i="13"/>
  <c r="Y292" i="13" s="1"/>
  <c r="N293" i="13"/>
  <c r="Z293" i="13" s="1"/>
  <c r="AB52" i="13"/>
  <c r="N295" i="13"/>
  <c r="Z295" i="13" s="1"/>
  <c r="N294" i="13"/>
  <c r="Z294" i="13" s="1"/>
  <c r="N290" i="13"/>
  <c r="Y290" i="13" s="1"/>
  <c r="N51" i="13"/>
  <c r="Z51" i="13" s="1"/>
  <c r="N56" i="13"/>
  <c r="Z56" i="13" s="1"/>
  <c r="AB55" i="13"/>
  <c r="N304" i="13"/>
  <c r="Y304" i="13" s="1"/>
  <c r="N300" i="13"/>
  <c r="Y300" i="13" s="1"/>
  <c r="N302" i="13"/>
  <c r="Z302" i="13" s="1"/>
  <c r="N303" i="13"/>
  <c r="Z303" i="13" s="1"/>
  <c r="N63" i="13"/>
  <c r="Z63" i="13" s="1"/>
  <c r="N301" i="13"/>
  <c r="Y301" i="13" s="1"/>
  <c r="N69" i="13"/>
  <c r="Y69" i="13" s="1"/>
  <c r="N310" i="13"/>
  <c r="Z310" i="13" s="1"/>
  <c r="N311" i="13"/>
  <c r="Y311" i="13" s="1"/>
  <c r="N70" i="13"/>
  <c r="Z70" i="13" s="1"/>
  <c r="N71" i="13"/>
  <c r="Y71" i="13" s="1"/>
  <c r="N309" i="13"/>
  <c r="Z309" i="13" s="1"/>
  <c r="N74" i="13"/>
  <c r="Y74" i="13" s="1"/>
  <c r="N313" i="13"/>
  <c r="Z313" i="13" s="1"/>
  <c r="N77" i="13"/>
  <c r="Z77" i="13" s="1"/>
  <c r="N78" i="13"/>
  <c r="Z78" i="13" s="1"/>
  <c r="N316" i="13"/>
  <c r="Z316" i="13" s="1"/>
  <c r="X137" i="11"/>
  <c r="Z158" i="15"/>
  <c r="C35" i="1"/>
  <c r="O69" i="11"/>
  <c r="O107" i="11" s="1"/>
  <c r="AB113" i="15"/>
  <c r="AB109" i="15"/>
  <c r="AB105" i="15"/>
  <c r="AB100" i="15"/>
  <c r="AB94" i="15"/>
  <c r="AB90" i="15"/>
  <c r="N951" i="13"/>
  <c r="Y951" i="13" s="1"/>
  <c r="N709" i="13"/>
  <c r="Y709" i="13" s="1"/>
  <c r="N714" i="13"/>
  <c r="Z714" i="13" s="1"/>
  <c r="N724" i="13"/>
  <c r="Y724" i="13" s="1"/>
  <c r="N715" i="13"/>
  <c r="Z715" i="13" s="1"/>
  <c r="N711" i="13"/>
  <c r="Y711" i="13" s="1"/>
  <c r="J725" i="13"/>
  <c r="N725" i="13" s="1"/>
  <c r="N713" i="13"/>
  <c r="Z713" i="13" s="1"/>
  <c r="N710" i="13"/>
  <c r="Z710" i="13" s="1"/>
  <c r="N716" i="13"/>
  <c r="Z716" i="13" s="1"/>
  <c r="N712" i="13"/>
  <c r="Y712" i="13" s="1"/>
  <c r="N693" i="13"/>
  <c r="Y693" i="13" s="1"/>
  <c r="N678" i="13"/>
  <c r="Y678" i="13" s="1"/>
  <c r="N666" i="13"/>
  <c r="Y666" i="13" s="1"/>
  <c r="N655" i="13"/>
  <c r="Z655" i="13" s="1"/>
  <c r="N639" i="13"/>
  <c r="Z639" i="13" s="1"/>
  <c r="N698" i="13"/>
  <c r="Z698" i="13" s="1"/>
  <c r="N685" i="13"/>
  <c r="Y685" i="13" s="1"/>
  <c r="N671" i="13"/>
  <c r="Z671" i="13" s="1"/>
  <c r="N662" i="13"/>
  <c r="Y662" i="13" s="1"/>
  <c r="N650" i="13"/>
  <c r="Y650" i="13" s="1"/>
  <c r="N640" i="13"/>
  <c r="Z640" i="13" s="1"/>
  <c r="N701" i="13"/>
  <c r="Z701" i="13" s="1"/>
  <c r="N695" i="13"/>
  <c r="Z695" i="13" s="1"/>
  <c r="N691" i="13"/>
  <c r="Z691" i="13" s="1"/>
  <c r="N686" i="13"/>
  <c r="Y686" i="13" s="1"/>
  <c r="N680" i="13"/>
  <c r="Y680" i="13" s="1"/>
  <c r="N676" i="13"/>
  <c r="Z676" i="13" s="1"/>
  <c r="N672" i="13"/>
  <c r="Y672" i="13" s="1"/>
  <c r="N668" i="13"/>
  <c r="Y668" i="13" s="1"/>
  <c r="N663" i="13"/>
  <c r="Z663" i="13" s="1"/>
  <c r="N657" i="13"/>
  <c r="Y657" i="13" s="1"/>
  <c r="N651" i="13"/>
  <c r="Y651" i="13" s="1"/>
  <c r="N647" i="13"/>
  <c r="Z647" i="13" s="1"/>
  <c r="N641" i="13"/>
  <c r="Y641" i="13" s="1"/>
  <c r="N637" i="13"/>
  <c r="Z637" i="13" s="1"/>
  <c r="N697" i="13"/>
  <c r="Z697" i="13" s="1"/>
  <c r="N689" i="13"/>
  <c r="Y689" i="13" s="1"/>
  <c r="N683" i="13"/>
  <c r="Z683" i="13" s="1"/>
  <c r="N674" i="13"/>
  <c r="Y674" i="13" s="1"/>
  <c r="N670" i="13"/>
  <c r="Z670" i="13" s="1"/>
  <c r="N660" i="13"/>
  <c r="Z660" i="13" s="1"/>
  <c r="N649" i="13"/>
  <c r="Z649" i="13" s="1"/>
  <c r="N644" i="13"/>
  <c r="Y644" i="13" s="1"/>
  <c r="N633" i="13"/>
  <c r="Z633" i="13" s="1"/>
  <c r="N694" i="13"/>
  <c r="Y694" i="13" s="1"/>
  <c r="N690" i="13"/>
  <c r="Z690" i="13" s="1"/>
  <c r="N679" i="13"/>
  <c r="Z679" i="13" s="1"/>
  <c r="N675" i="13"/>
  <c r="Z675" i="13" s="1"/>
  <c r="N667" i="13"/>
  <c r="Y667" i="13" s="1"/>
  <c r="N656" i="13"/>
  <c r="Z656" i="13" s="1"/>
  <c r="N645" i="13"/>
  <c r="Y645" i="13" s="1"/>
  <c r="N635" i="13"/>
  <c r="Z635" i="13" s="1"/>
  <c r="N696" i="13"/>
  <c r="Y696" i="13" s="1"/>
  <c r="N692" i="13"/>
  <c r="Z692" i="13" s="1"/>
  <c r="N687" i="13"/>
  <c r="Y687" i="13" s="1"/>
  <c r="N681" i="13"/>
  <c r="Z681" i="13" s="1"/>
  <c r="N677" i="13"/>
  <c r="Z677" i="13" s="1"/>
  <c r="N673" i="13"/>
  <c r="Z673" i="13" s="1"/>
  <c r="N669" i="13"/>
  <c r="Z669" i="13" s="1"/>
  <c r="N664" i="13"/>
  <c r="Z664" i="13" s="1"/>
  <c r="N658" i="13"/>
  <c r="Y658" i="13" s="1"/>
  <c r="N653" i="13"/>
  <c r="Z653" i="13" s="1"/>
  <c r="N648" i="13"/>
  <c r="Y648" i="13" s="1"/>
  <c r="N642" i="13"/>
  <c r="Z642" i="13" s="1"/>
  <c r="N638" i="13"/>
  <c r="Z638" i="13" s="1"/>
  <c r="N631" i="13"/>
  <c r="Z631" i="13" s="1"/>
  <c r="AB23" i="13"/>
  <c r="P16" i="13"/>
  <c r="Z65" i="13"/>
  <c r="Z100" i="13"/>
  <c r="Z64" i="13"/>
  <c r="AB64" i="13"/>
  <c r="Z58" i="13"/>
  <c r="H266" i="15"/>
  <c r="H265" i="15" s="1"/>
  <c r="BB93" i="9"/>
  <c r="BB92" i="9" s="1"/>
  <c r="BB91" i="9" s="1"/>
  <c r="CA107" i="9"/>
  <c r="BY95" i="9"/>
  <c r="BY94" i="9" s="1"/>
  <c r="BN95" i="9"/>
  <c r="BN94" i="9" s="1"/>
  <c r="CA97" i="9"/>
  <c r="AZ31" i="9"/>
  <c r="BB32" i="9"/>
  <c r="BB31" i="9" s="1"/>
  <c r="CA114" i="9"/>
  <c r="BN112" i="9"/>
  <c r="X21" i="11"/>
  <c r="U19" i="11"/>
  <c r="U17" i="11" s="1"/>
  <c r="AZ57" i="9"/>
  <c r="U58" i="11" s="1"/>
  <c r="U67" i="11"/>
  <c r="X20" i="11"/>
  <c r="AY30" i="9"/>
  <c r="AY15" i="9" s="1"/>
  <c r="AY14" i="9" s="1"/>
  <c r="AY296" i="9" s="1"/>
  <c r="AB741" i="13"/>
  <c r="AB800" i="13"/>
  <c r="AB748" i="13"/>
  <c r="AB750" i="13"/>
  <c r="AB94" i="11"/>
  <c r="N49" i="11"/>
  <c r="Y49" i="11" s="1"/>
  <c r="X113" i="11"/>
  <c r="M111" i="11"/>
  <c r="Z96" i="11"/>
  <c r="Z98" i="11"/>
  <c r="V235" i="15"/>
  <c r="U235" i="15"/>
  <c r="J244" i="9"/>
  <c r="J243" i="9" s="1"/>
  <c r="J242" i="9" s="1"/>
  <c r="Z185" i="9"/>
  <c r="AB56" i="13"/>
  <c r="AB59" i="13"/>
  <c r="Z59" i="13"/>
  <c r="AB63" i="13"/>
  <c r="AB511" i="13"/>
  <c r="AB76" i="13"/>
  <c r="X42" i="13"/>
  <c r="X18" i="13"/>
  <c r="Z24" i="13"/>
  <c r="S356" i="13"/>
  <c r="S276" i="13" s="1"/>
  <c r="Z37" i="13"/>
  <c r="Z25" i="13"/>
  <c r="S18" i="13"/>
  <c r="Z23" i="13"/>
  <c r="N1221" i="13"/>
  <c r="Y1221" i="13" s="1"/>
  <c r="N1218" i="13"/>
  <c r="Z1218" i="13" s="1"/>
  <c r="N1230" i="13"/>
  <c r="Z1230" i="13" s="1"/>
  <c r="N1224" i="13"/>
  <c r="Z1224" i="13" s="1"/>
  <c r="N1219" i="13"/>
  <c r="Y1219" i="13" s="1"/>
  <c r="N1215" i="13"/>
  <c r="Z1215" i="13" s="1"/>
  <c r="O343" i="15"/>
  <c r="N1227" i="13"/>
  <c r="Z1227" i="13" s="1"/>
  <c r="N1217" i="13"/>
  <c r="Z1217" i="13" s="1"/>
  <c r="N1228" i="13"/>
  <c r="Z1228" i="13" s="1"/>
  <c r="N1223" i="13"/>
  <c r="Z1223" i="13" s="1"/>
  <c r="N1232" i="13"/>
  <c r="Z1232" i="13" s="1"/>
  <c r="N1225" i="13"/>
  <c r="Z1225" i="13" s="1"/>
  <c r="N1220" i="13"/>
  <c r="Y1220" i="13" s="1"/>
  <c r="N1216" i="13"/>
  <c r="Z1216" i="13" s="1"/>
  <c r="G734" i="13"/>
  <c r="G733" i="13" s="1"/>
  <c r="N1213" i="13"/>
  <c r="Z1213" i="13" s="1"/>
  <c r="N1212" i="13"/>
  <c r="Z1212" i="13" s="1"/>
  <c r="N1211" i="13"/>
  <c r="Y1211" i="13" s="1"/>
  <c r="AB1205" i="13"/>
  <c r="N1209" i="13"/>
  <c r="Z1209" i="13" s="1"/>
  <c r="AB753" i="13"/>
  <c r="O945" i="13"/>
  <c r="R945" i="13"/>
  <c r="U945" i="13"/>
  <c r="P945" i="13"/>
  <c r="V945" i="13"/>
  <c r="N1049" i="13"/>
  <c r="Z1049" i="13" s="1"/>
  <c r="U734" i="13"/>
  <c r="U733" i="13" s="1"/>
  <c r="N955" i="13"/>
  <c r="Z955" i="13" s="1"/>
  <c r="N877" i="13"/>
  <c r="Z877" i="13" s="1"/>
  <c r="N876" i="13"/>
  <c r="Z876" i="13" s="1"/>
  <c r="N873" i="13"/>
  <c r="Z873" i="13" s="1"/>
  <c r="N870" i="13"/>
  <c r="Z870" i="13" s="1"/>
  <c r="N871" i="13"/>
  <c r="Z871" i="13" s="1"/>
  <c r="N868" i="13"/>
  <c r="Y868" i="13" s="1"/>
  <c r="N869" i="13"/>
  <c r="Z869" i="13" s="1"/>
  <c r="N866" i="13"/>
  <c r="Y866" i="13" s="1"/>
  <c r="N864" i="13"/>
  <c r="Y864" i="13" s="1"/>
  <c r="N863" i="13"/>
  <c r="Z863" i="13" s="1"/>
  <c r="N860" i="13"/>
  <c r="Z860" i="13" s="1"/>
  <c r="N857" i="13"/>
  <c r="Y857" i="13" s="1"/>
  <c r="N858" i="13"/>
  <c r="Z858" i="13" s="1"/>
  <c r="N854" i="13"/>
  <c r="Y854" i="13" s="1"/>
  <c r="N853" i="13"/>
  <c r="Z853" i="13" s="1"/>
  <c r="N850" i="13"/>
  <c r="Z850" i="13" s="1"/>
  <c r="N851" i="13"/>
  <c r="Y851" i="13" s="1"/>
  <c r="N844" i="13"/>
  <c r="Z844" i="13" s="1"/>
  <c r="AB805" i="13"/>
  <c r="Z336" i="15"/>
  <c r="K734" i="13"/>
  <c r="K733" i="13" s="1"/>
  <c r="N894" i="13"/>
  <c r="Y894" i="13" s="1"/>
  <c r="N881" i="13"/>
  <c r="Z881" i="13" s="1"/>
  <c r="N886" i="13"/>
  <c r="Z886" i="13" s="1"/>
  <c r="N882" i="13"/>
  <c r="Z882" i="13" s="1"/>
  <c r="N892" i="13"/>
  <c r="Z892" i="13" s="1"/>
  <c r="N891" i="13"/>
  <c r="Z891" i="13" s="1"/>
  <c r="N890" i="13"/>
  <c r="Y890" i="13" s="1"/>
  <c r="N888" i="13"/>
  <c r="Z888" i="13" s="1"/>
  <c r="N884" i="13"/>
  <c r="Y884" i="13" s="1"/>
  <c r="N893" i="13"/>
  <c r="Z893" i="13" s="1"/>
  <c r="N887" i="13"/>
  <c r="Y887" i="13" s="1"/>
  <c r="N883" i="13"/>
  <c r="Z883" i="13" s="1"/>
  <c r="N879" i="13"/>
  <c r="Z879" i="13" s="1"/>
  <c r="N896" i="13"/>
  <c r="Z896" i="13" s="1"/>
  <c r="N900" i="13"/>
  <c r="Z900" i="13" s="1"/>
  <c r="N902" i="13"/>
  <c r="Y902" i="13" s="1"/>
  <c r="N908" i="13"/>
  <c r="Z908" i="13" s="1"/>
  <c r="N911" i="13"/>
  <c r="Y911" i="13" s="1"/>
  <c r="N910" i="13"/>
  <c r="Y910" i="13" s="1"/>
  <c r="N907" i="13"/>
  <c r="Y907" i="13" s="1"/>
  <c r="N906" i="13"/>
  <c r="Z906" i="13" s="1"/>
  <c r="N909" i="13"/>
  <c r="Y909" i="13" s="1"/>
  <c r="N914" i="13"/>
  <c r="Y914" i="13" s="1"/>
  <c r="AB818" i="13"/>
  <c r="I1023" i="13"/>
  <c r="I946" i="13" s="1"/>
  <c r="AB814" i="13"/>
  <c r="Q734" i="13"/>
  <c r="Q733" i="13" s="1"/>
  <c r="T734" i="13"/>
  <c r="T733" i="13" s="1"/>
  <c r="N1097" i="13"/>
  <c r="Y1097" i="13" s="1"/>
  <c r="N1094" i="13"/>
  <c r="Z1094" i="13" s="1"/>
  <c r="Z1092" i="13"/>
  <c r="N1092" i="13"/>
  <c r="Y1092" i="13" s="1"/>
  <c r="N1090" i="13"/>
  <c r="Z1090" i="13" s="1"/>
  <c r="N1091" i="13"/>
  <c r="Z1091" i="13" s="1"/>
  <c r="N1093" i="13"/>
  <c r="Y1093" i="13" s="1"/>
  <c r="N1089" i="13"/>
  <c r="Y1089" i="13" s="1"/>
  <c r="N1087" i="13"/>
  <c r="Z1087" i="13" s="1"/>
  <c r="N1086" i="13"/>
  <c r="Z1086" i="13" s="1"/>
  <c r="N1085" i="13"/>
  <c r="Y1085" i="13" s="1"/>
  <c r="N1081" i="13"/>
  <c r="Y1081" i="13" s="1"/>
  <c r="N1075" i="13"/>
  <c r="Z1075" i="13" s="1"/>
  <c r="N1067" i="13"/>
  <c r="Z1067" i="13" s="1"/>
  <c r="N1076" i="13"/>
  <c r="Y1076" i="13" s="1"/>
  <c r="N1068" i="13"/>
  <c r="Z1068" i="13" s="1"/>
  <c r="N1077" i="13"/>
  <c r="Z1077" i="13" s="1"/>
  <c r="N1073" i="13"/>
  <c r="Z1073" i="13" s="1"/>
  <c r="N1069" i="13"/>
  <c r="Z1069" i="13" s="1"/>
  <c r="N1065" i="13"/>
  <c r="Z1065" i="13" s="1"/>
  <c r="N1071" i="13"/>
  <c r="Z1071" i="13" s="1"/>
  <c r="N1072" i="13"/>
  <c r="Z1072" i="13" s="1"/>
  <c r="N1064" i="13"/>
  <c r="Z1064" i="13" s="1"/>
  <c r="N1079" i="13"/>
  <c r="Z1079" i="13" s="1"/>
  <c r="N1074" i="13"/>
  <c r="Z1074" i="13" s="1"/>
  <c r="N1070" i="13"/>
  <c r="Z1070" i="13" s="1"/>
  <c r="N1066" i="13"/>
  <c r="Z1066" i="13" s="1"/>
  <c r="AB779" i="13"/>
  <c r="N1062" i="13"/>
  <c r="Y1062" i="13" s="1"/>
  <c r="N1056" i="13"/>
  <c r="Y1056" i="13" s="1"/>
  <c r="N1052" i="13"/>
  <c r="Y1052" i="13" s="1"/>
  <c r="N1053" i="13"/>
  <c r="Z1053" i="13" s="1"/>
  <c r="N1054" i="13"/>
  <c r="Z1054" i="13" s="1"/>
  <c r="N1051" i="13"/>
  <c r="Z1051" i="13" s="1"/>
  <c r="AB766" i="13"/>
  <c r="N1046" i="13"/>
  <c r="Y1046" i="13" s="1"/>
  <c r="N1047" i="13"/>
  <c r="Z1047" i="13" s="1"/>
  <c r="N1045" i="13"/>
  <c r="Y1045" i="13" s="1"/>
  <c r="AB759" i="13"/>
  <c r="N1043" i="13"/>
  <c r="Z1043" i="13" s="1"/>
  <c r="N1041" i="13"/>
  <c r="Y1041" i="13" s="1"/>
  <c r="N1040" i="13"/>
  <c r="Z1040" i="13" s="1"/>
  <c r="N1035" i="13"/>
  <c r="Y1035" i="13" s="1"/>
  <c r="N739" i="13"/>
  <c r="Y739" i="13" s="1"/>
  <c r="N1027" i="13"/>
  <c r="Z1027" i="13" s="1"/>
  <c r="S946" i="13"/>
  <c r="N1031" i="13"/>
  <c r="Z1031" i="13" s="1"/>
  <c r="X946" i="13"/>
  <c r="N1021" i="13"/>
  <c r="Z1021" i="13" s="1"/>
  <c r="N802" i="13"/>
  <c r="Y802" i="13" s="1"/>
  <c r="N804" i="13"/>
  <c r="Z804" i="13" s="1"/>
  <c r="N805" i="13"/>
  <c r="Z805" i="13" s="1"/>
  <c r="N806" i="13"/>
  <c r="Z806" i="13" s="1"/>
  <c r="N1016" i="13"/>
  <c r="Y1016" i="13" s="1"/>
  <c r="N1013" i="13"/>
  <c r="Z1013" i="13" s="1"/>
  <c r="N1015" i="13"/>
  <c r="Z1015" i="13" s="1"/>
  <c r="N1018" i="13"/>
  <c r="Z1018" i="13" s="1"/>
  <c r="N803" i="13"/>
  <c r="Y803" i="13" s="1"/>
  <c r="N1014" i="13"/>
  <c r="Z1014" i="13" s="1"/>
  <c r="N1017" i="13"/>
  <c r="Y1017" i="13" s="1"/>
  <c r="N797" i="13"/>
  <c r="Y797" i="13" s="1"/>
  <c r="N1010" i="13"/>
  <c r="Z1010" i="13" s="1"/>
  <c r="N1009" i="13"/>
  <c r="Z1009" i="13" s="1"/>
  <c r="N1011" i="13"/>
  <c r="Z1011" i="13" s="1"/>
  <c r="N791" i="13"/>
  <c r="Z791" i="13" s="1"/>
  <c r="AB787" i="13"/>
  <c r="N1005" i="13"/>
  <c r="Z1005" i="13" s="1"/>
  <c r="N787" i="13"/>
  <c r="Z787" i="13" s="1"/>
  <c r="N788" i="13"/>
  <c r="Z788" i="13" s="1"/>
  <c r="N789" i="13"/>
  <c r="Z789" i="13" s="1"/>
  <c r="AB788" i="13"/>
  <c r="AB791" i="13"/>
  <c r="AB793" i="13"/>
  <c r="N782" i="13"/>
  <c r="Y782" i="13" s="1"/>
  <c r="N784" i="13"/>
  <c r="Z784" i="13" s="1"/>
  <c r="N986" i="13"/>
  <c r="Z986" i="13" s="1"/>
  <c r="N1001" i="13"/>
  <c r="Z1001" i="13" s="1"/>
  <c r="N776" i="13"/>
  <c r="Z776" i="13" s="1"/>
  <c r="N995" i="13"/>
  <c r="Z995" i="13" s="1"/>
  <c r="N990" i="13"/>
  <c r="Y990" i="13" s="1"/>
  <c r="N989" i="13"/>
  <c r="Z989" i="13" s="1"/>
  <c r="N999" i="13"/>
  <c r="Z999" i="13" s="1"/>
  <c r="N994" i="13"/>
  <c r="Z994" i="13" s="1"/>
  <c r="N993" i="13"/>
  <c r="Y993" i="13" s="1"/>
  <c r="N996" i="13"/>
  <c r="Z996" i="13" s="1"/>
  <c r="N781" i="13"/>
  <c r="Z781" i="13" s="1"/>
  <c r="N778" i="13"/>
  <c r="Z778" i="13" s="1"/>
  <c r="N779" i="13"/>
  <c r="Z779" i="13" s="1"/>
  <c r="AB775" i="13"/>
  <c r="N991" i="13"/>
  <c r="Z991" i="13" s="1"/>
  <c r="N1003" i="13"/>
  <c r="Z1003" i="13" s="1"/>
  <c r="N988" i="13"/>
  <c r="Z988" i="13" s="1"/>
  <c r="N992" i="13"/>
  <c r="Z992" i="13" s="1"/>
  <c r="N783" i="13"/>
  <c r="Z783" i="13" s="1"/>
  <c r="N987" i="13"/>
  <c r="Y987" i="13" s="1"/>
  <c r="N997" i="13"/>
  <c r="Z997" i="13" s="1"/>
  <c r="N1000" i="13"/>
  <c r="Y1000" i="13" s="1"/>
  <c r="N777" i="13"/>
  <c r="Z777" i="13" s="1"/>
  <c r="N785" i="13"/>
  <c r="Z785" i="13" s="1"/>
  <c r="N774" i="13"/>
  <c r="Z774" i="13" s="1"/>
  <c r="AB785" i="13"/>
  <c r="N984" i="13"/>
  <c r="Y984" i="13" s="1"/>
  <c r="N983" i="13"/>
  <c r="Y983" i="13" s="1"/>
  <c r="W734" i="13"/>
  <c r="W733" i="13" s="1"/>
  <c r="Z303" i="15"/>
  <c r="N766" i="13"/>
  <c r="Z766" i="13" s="1"/>
  <c r="N965" i="13"/>
  <c r="Y965" i="13" s="1"/>
  <c r="N978" i="13"/>
  <c r="Z978" i="13" s="1"/>
  <c r="N961" i="13"/>
  <c r="Y961" i="13" s="1"/>
  <c r="N753" i="13"/>
  <c r="Y753" i="13" s="1"/>
  <c r="N962" i="13"/>
  <c r="Z962" i="13" s="1"/>
  <c r="N976" i="13"/>
  <c r="Z976" i="13" s="1"/>
  <c r="N969" i="13"/>
  <c r="Z969" i="13" s="1"/>
  <c r="N968" i="13"/>
  <c r="Z968" i="13" s="1"/>
  <c r="N971" i="13"/>
  <c r="Y971" i="13" s="1"/>
  <c r="N761" i="13"/>
  <c r="Y761" i="13" s="1"/>
  <c r="N768" i="13"/>
  <c r="Y768" i="13" s="1"/>
  <c r="AB761" i="13"/>
  <c r="N980" i="13"/>
  <c r="Y980" i="13" s="1"/>
  <c r="N958" i="13"/>
  <c r="Z958" i="13" s="1"/>
  <c r="N765" i="13"/>
  <c r="Z765" i="13" s="1"/>
  <c r="N970" i="13"/>
  <c r="Z970" i="13" s="1"/>
  <c r="N964" i="13"/>
  <c r="Y964" i="13" s="1"/>
  <c r="N967" i="13"/>
  <c r="Z967" i="13" s="1"/>
  <c r="N763" i="13"/>
  <c r="Z763" i="13" s="1"/>
  <c r="N960" i="13"/>
  <c r="Z960" i="13" s="1"/>
  <c r="N975" i="13"/>
  <c r="Z975" i="13" s="1"/>
  <c r="N973" i="13"/>
  <c r="Z973" i="13" s="1"/>
  <c r="N977" i="13"/>
  <c r="Y977" i="13" s="1"/>
  <c r="AB756" i="13"/>
  <c r="P734" i="13"/>
  <c r="P733" i="13" s="1"/>
  <c r="AB948" i="13"/>
  <c r="AB947" i="13" s="1"/>
  <c r="N824" i="13"/>
  <c r="Z824" i="13" s="1"/>
  <c r="N830" i="13"/>
  <c r="Z830" i="13" s="1"/>
  <c r="N938" i="13"/>
  <c r="Z938" i="13" s="1"/>
  <c r="N928" i="13"/>
  <c r="Z928" i="13" s="1"/>
  <c r="N819" i="13"/>
  <c r="Y819" i="13" s="1"/>
  <c r="N821" i="13"/>
  <c r="Z821" i="13" s="1"/>
  <c r="N822" i="13"/>
  <c r="Y822" i="13" s="1"/>
  <c r="N934" i="13"/>
  <c r="Z934" i="13" s="1"/>
  <c r="N929" i="13"/>
  <c r="Y929" i="13" s="1"/>
  <c r="N941" i="13"/>
  <c r="Z941" i="13" s="1"/>
  <c r="N935" i="13"/>
  <c r="Z935" i="13" s="1"/>
  <c r="N930" i="13"/>
  <c r="Z930" i="13" s="1"/>
  <c r="N926" i="13"/>
  <c r="Y926" i="13" s="1"/>
  <c r="N823" i="13"/>
  <c r="Z823" i="13" s="1"/>
  <c r="N836" i="13"/>
  <c r="Z836" i="13" s="1"/>
  <c r="Z350" i="15"/>
  <c r="V734" i="13"/>
  <c r="V733" i="13" s="1"/>
  <c r="L734" i="13"/>
  <c r="L733" i="13" s="1"/>
  <c r="N932" i="13"/>
  <c r="Z932" i="13" s="1"/>
  <c r="N923" i="13"/>
  <c r="Z923" i="13" s="1"/>
  <c r="N833" i="13"/>
  <c r="Z833" i="13" s="1"/>
  <c r="N838" i="13"/>
  <c r="Y838" i="13" s="1"/>
  <c r="N939" i="13"/>
  <c r="Z939" i="13" s="1"/>
  <c r="N924" i="13"/>
  <c r="Z924" i="13" s="1"/>
  <c r="N818" i="13"/>
  <c r="Y818" i="13" s="1"/>
  <c r="N825" i="13"/>
  <c r="Z825" i="13" s="1"/>
  <c r="N831" i="13"/>
  <c r="Z831" i="13" s="1"/>
  <c r="N943" i="13"/>
  <c r="Z943" i="13" s="1"/>
  <c r="N936" i="13"/>
  <c r="Y936" i="13" s="1"/>
  <c r="N931" i="13"/>
  <c r="Z931" i="13" s="1"/>
  <c r="N927" i="13"/>
  <c r="Z927" i="13" s="1"/>
  <c r="N827" i="13"/>
  <c r="Z827" i="13" s="1"/>
  <c r="N834" i="13"/>
  <c r="Z834" i="13" s="1"/>
  <c r="AB916" i="13"/>
  <c r="Z826" i="13"/>
  <c r="N920" i="13"/>
  <c r="Z920" i="13" s="1"/>
  <c r="AB817" i="13"/>
  <c r="N922" i="13"/>
  <c r="Z922" i="13" s="1"/>
  <c r="N815" i="13"/>
  <c r="Y815" i="13" s="1"/>
  <c r="N817" i="13"/>
  <c r="Z817" i="13" s="1"/>
  <c r="AB815" i="13"/>
  <c r="N626" i="13"/>
  <c r="Z626" i="13" s="1"/>
  <c r="N394" i="13"/>
  <c r="Y394" i="13" s="1"/>
  <c r="Z391" i="13"/>
  <c r="N391" i="13"/>
  <c r="X146" i="13"/>
  <c r="Z61" i="13"/>
  <c r="Z52" i="13"/>
  <c r="Z92" i="13"/>
  <c r="Z55" i="13"/>
  <c r="Z54" i="13"/>
  <c r="AB381" i="13"/>
  <c r="Z86" i="13"/>
  <c r="Z76" i="13"/>
  <c r="Z62" i="13"/>
  <c r="S736" i="13"/>
  <c r="N801" i="13"/>
  <c r="Y801" i="13" s="1"/>
  <c r="N759" i="13"/>
  <c r="Y759" i="13" s="1"/>
  <c r="N758" i="13"/>
  <c r="Y758" i="13" s="1"/>
  <c r="N755" i="13"/>
  <c r="Y755" i="13" s="1"/>
  <c r="N752" i="13"/>
  <c r="Y752" i="13" s="1"/>
  <c r="G945" i="13"/>
  <c r="N1083" i="13"/>
  <c r="Z1083" i="13" s="1"/>
  <c r="N1082" i="13"/>
  <c r="Y1082" i="13" s="1"/>
  <c r="N1063" i="13"/>
  <c r="Y1063" i="13" s="1"/>
  <c r="N772" i="13"/>
  <c r="Y772" i="13" s="1"/>
  <c r="N1060" i="13"/>
  <c r="Z1060" i="13" s="1"/>
  <c r="N771" i="13"/>
  <c r="Y771" i="13" s="1"/>
  <c r="N1059" i="13"/>
  <c r="Z1059" i="13" s="1"/>
  <c r="N1058" i="13"/>
  <c r="Z1058" i="13" s="1"/>
  <c r="N1088" i="13"/>
  <c r="Y1088" i="13" s="1"/>
  <c r="N1044" i="13"/>
  <c r="Z1044" i="13" s="1"/>
  <c r="N1038" i="13"/>
  <c r="Z1038" i="13" s="1"/>
  <c r="N749" i="13"/>
  <c r="Z749" i="13" s="1"/>
  <c r="N1037" i="13"/>
  <c r="Z1037" i="13" s="1"/>
  <c r="N748" i="13"/>
  <c r="Y748" i="13" s="1"/>
  <c r="N1036" i="13"/>
  <c r="Z1036" i="13" s="1"/>
  <c r="N746" i="13"/>
  <c r="Y746" i="13" s="1"/>
  <c r="N1034" i="13"/>
  <c r="Z1034" i="13" s="1"/>
  <c r="Z1033" i="13"/>
  <c r="N1033" i="13"/>
  <c r="Y1033" i="13" s="1"/>
  <c r="N1029" i="13"/>
  <c r="Z1029" i="13" s="1"/>
  <c r="N1026" i="13"/>
  <c r="Z1026" i="13" s="1"/>
  <c r="N795" i="13"/>
  <c r="Y795" i="13" s="1"/>
  <c r="N1007" i="13"/>
  <c r="Z1007" i="13" s="1"/>
  <c r="N1006" i="13"/>
  <c r="Y1006" i="13" s="1"/>
  <c r="N998" i="13"/>
  <c r="Z998" i="13" s="1"/>
  <c r="N786" i="13"/>
  <c r="Z786" i="13" s="1"/>
  <c r="N982" i="13"/>
  <c r="Y982" i="13" s="1"/>
  <c r="N1012" i="13"/>
  <c r="Z1012" i="13" s="1"/>
  <c r="N959" i="13"/>
  <c r="Y959" i="13" s="1"/>
  <c r="N745" i="13"/>
  <c r="Y745" i="13" s="1"/>
  <c r="N957" i="13"/>
  <c r="Z957" i="13" s="1"/>
  <c r="N953" i="13"/>
  <c r="Z953" i="13" s="1"/>
  <c r="N950" i="13"/>
  <c r="J948" i="13"/>
  <c r="J947" i="13" s="1"/>
  <c r="N899" i="13"/>
  <c r="Y899" i="13" s="1"/>
  <c r="N794" i="13"/>
  <c r="Z794" i="13" s="1"/>
  <c r="N793" i="13"/>
  <c r="Y793" i="13" s="1"/>
  <c r="N898" i="13"/>
  <c r="Z898" i="13" s="1"/>
  <c r="N885" i="13"/>
  <c r="Z885" i="13" s="1"/>
  <c r="N780" i="13"/>
  <c r="Z780" i="13" s="1"/>
  <c r="N775" i="13"/>
  <c r="Z775" i="13" s="1"/>
  <c r="N880" i="13"/>
  <c r="Z880" i="13" s="1"/>
  <c r="N875" i="13"/>
  <c r="Y875" i="13" s="1"/>
  <c r="N770" i="13"/>
  <c r="Z770" i="13" s="1"/>
  <c r="N905" i="13"/>
  <c r="Z905" i="13" s="1"/>
  <c r="N800" i="13"/>
  <c r="Z800" i="13" s="1"/>
  <c r="N904" i="13"/>
  <c r="Y904" i="13" s="1"/>
  <c r="N799" i="13"/>
  <c r="Z799" i="13" s="1"/>
  <c r="N903" i="13"/>
  <c r="Z903" i="13" s="1"/>
  <c r="N798" i="13"/>
  <c r="Z798" i="13" s="1"/>
  <c r="I736" i="13"/>
  <c r="N756" i="13"/>
  <c r="Z756" i="13" s="1"/>
  <c r="N861" i="13"/>
  <c r="Z861" i="13" s="1"/>
  <c r="N757" i="13"/>
  <c r="Z757" i="13" s="1"/>
  <c r="N862" i="13"/>
  <c r="Y862" i="13" s="1"/>
  <c r="N750" i="13"/>
  <c r="Z750" i="13" s="1"/>
  <c r="N855" i="13"/>
  <c r="Z855" i="13" s="1"/>
  <c r="N852" i="13"/>
  <c r="Z852" i="13" s="1"/>
  <c r="N747" i="13"/>
  <c r="Y747" i="13" s="1"/>
  <c r="N848" i="13"/>
  <c r="Y848" i="13" s="1"/>
  <c r="N743" i="13"/>
  <c r="Y743" i="13" s="1"/>
  <c r="N846" i="13"/>
  <c r="Y846" i="13" s="1"/>
  <c r="N741" i="13"/>
  <c r="Z741" i="13" s="1"/>
  <c r="M19" i="15"/>
  <c r="Z72" i="13"/>
  <c r="Z101" i="13"/>
  <c r="Z67" i="13"/>
  <c r="M43" i="15"/>
  <c r="Z106" i="13"/>
  <c r="BN104" i="9"/>
  <c r="CA63" i="9"/>
  <c r="BN82" i="9"/>
  <c r="BN75" i="9" s="1"/>
  <c r="BL32" i="9"/>
  <c r="BL31" i="9" s="1"/>
  <c r="BN162" i="9"/>
  <c r="BK154" i="9"/>
  <c r="BK153" i="9" s="1"/>
  <c r="BL93" i="9"/>
  <c r="BL92" i="9" s="1"/>
  <c r="BL91" i="9" s="1"/>
  <c r="BS48" i="9"/>
  <c r="O67" i="11"/>
  <c r="CA77" i="9"/>
  <c r="CA76" i="9" s="1"/>
  <c r="BL58" i="9"/>
  <c r="CA106" i="9"/>
  <c r="BS106" i="9"/>
  <c r="Z173" i="11"/>
  <c r="N174" i="11"/>
  <c r="Y174" i="11" s="1"/>
  <c r="U111" i="11"/>
  <c r="X121" i="11"/>
  <c r="N257" i="15"/>
  <c r="N236" i="15" s="1"/>
  <c r="Z156" i="15"/>
  <c r="M168" i="11"/>
  <c r="M166" i="11" s="1"/>
  <c r="V111" i="11"/>
  <c r="S346" i="15"/>
  <c r="S343" i="15" s="1"/>
  <c r="AB145" i="15"/>
  <c r="AB138" i="15"/>
  <c r="AB133" i="15"/>
  <c r="AB129" i="15"/>
  <c r="AB124" i="15"/>
  <c r="AB111" i="15"/>
  <c r="AB107" i="15"/>
  <c r="P19" i="11"/>
  <c r="P17" i="11" s="1"/>
  <c r="AB55" i="11"/>
  <c r="AA111" i="11"/>
  <c r="I117" i="11"/>
  <c r="I111" i="11" s="1"/>
  <c r="AB42" i="11"/>
  <c r="U703" i="13"/>
  <c r="Z54" i="11"/>
  <c r="Z39" i="11"/>
  <c r="R151" i="11"/>
  <c r="AB317" i="15"/>
  <c r="Z290" i="15"/>
  <c r="N147" i="11"/>
  <c r="Y147" i="11" s="1"/>
  <c r="S50" i="11"/>
  <c r="BN121" i="9"/>
  <c r="BN120" i="9" s="1"/>
  <c r="BN17" i="9"/>
  <c r="BN16" i="9" s="1"/>
  <c r="T19" i="11"/>
  <c r="T17" i="11" s="1"/>
  <c r="BQ275" i="9"/>
  <c r="BQ272" i="9" s="1"/>
  <c r="BQ271" i="9" s="1"/>
  <c r="Z275" i="9"/>
  <c r="BS277" i="9"/>
  <c r="X244" i="9"/>
  <c r="X243" i="9" s="1"/>
  <c r="X242" i="9" s="1"/>
  <c r="J209" i="9"/>
  <c r="X209" i="9"/>
  <c r="E83" i="1" s="1"/>
  <c r="E81" i="1" s="1"/>
  <c r="G111" i="11"/>
  <c r="X169" i="9"/>
  <c r="BS74" i="9"/>
  <c r="BQ124" i="9"/>
  <c r="BQ121" i="9" s="1"/>
  <c r="BQ120" i="9" s="1"/>
  <c r="BY60" i="9"/>
  <c r="BY59" i="9" s="1"/>
  <c r="BS105" i="9"/>
  <c r="X147" i="11"/>
  <c r="Q60" i="11"/>
  <c r="AB34" i="11"/>
  <c r="AB33" i="11"/>
  <c r="K111" i="11"/>
  <c r="AB730" i="13"/>
  <c r="Z55" i="11"/>
  <c r="Z154" i="15"/>
  <c r="S174" i="11"/>
  <c r="Q111" i="11"/>
  <c r="AB86" i="15"/>
  <c r="AB82" i="15"/>
  <c r="R19" i="11"/>
  <c r="R17" i="11" s="1"/>
  <c r="S20" i="11"/>
  <c r="X117" i="11"/>
  <c r="O144" i="11"/>
  <c r="O160" i="11" s="1"/>
  <c r="K261" i="15"/>
  <c r="AB140" i="15"/>
  <c r="AB134" i="15"/>
  <c r="AB130" i="15"/>
  <c r="AB125" i="15"/>
  <c r="AB112" i="15"/>
  <c r="AB108" i="15"/>
  <c r="AB104" i="15"/>
  <c r="AB98" i="15"/>
  <c r="AB93" i="15"/>
  <c r="AB89" i="15"/>
  <c r="N63" i="11"/>
  <c r="Y63" i="11" s="1"/>
  <c r="Z33" i="11"/>
  <c r="N171" i="11"/>
  <c r="Y171" i="11" s="1"/>
  <c r="O19" i="11"/>
  <c r="O17" i="11" s="1"/>
  <c r="P235" i="15"/>
  <c r="Z34" i="11"/>
  <c r="AB35" i="11"/>
  <c r="AB43" i="11"/>
  <c r="AB95" i="11"/>
  <c r="V703" i="13"/>
  <c r="M703" i="13"/>
  <c r="Q235" i="15"/>
  <c r="M235" i="15"/>
  <c r="AB143" i="15"/>
  <c r="AB137" i="15"/>
  <c r="AB132" i="15"/>
  <c r="AB128" i="15"/>
  <c r="AB122" i="15"/>
  <c r="AB101" i="15"/>
  <c r="AB95" i="15"/>
  <c r="AB91" i="15"/>
  <c r="AB85" i="15"/>
  <c r="BY82" i="9"/>
  <c r="BY75" i="9" s="1"/>
  <c r="CA51" i="9"/>
  <c r="CA29" i="9"/>
  <c r="CA223" i="9"/>
  <c r="BX101" i="9"/>
  <c r="BX100" i="9" s="1"/>
  <c r="CA80" i="9"/>
  <c r="CA61" i="9"/>
  <c r="CA86" i="9"/>
  <c r="BX69" i="9"/>
  <c r="BK120" i="9"/>
  <c r="BK16" i="9"/>
  <c r="BS174" i="9"/>
  <c r="BS237" i="9"/>
  <c r="Q19" i="11"/>
  <c r="Q17" i="11" s="1"/>
  <c r="BN146" i="9"/>
  <c r="BN145" i="9" s="1"/>
  <c r="CA205" i="9"/>
  <c r="BL154" i="9"/>
  <c r="BL153" i="9" s="1"/>
  <c r="S167" i="11"/>
  <c r="BQ220" i="9"/>
  <c r="BS267" i="9"/>
  <c r="BQ158" i="9"/>
  <c r="BQ154" i="9" s="1"/>
  <c r="BQ153" i="9" s="1"/>
  <c r="BS200" i="9"/>
  <c r="BY138" i="9"/>
  <c r="BY137" i="9" s="1"/>
  <c r="BX34" i="9"/>
  <c r="BY44" i="9"/>
  <c r="BK209" i="9"/>
  <c r="BM154" i="9"/>
  <c r="BM153" i="9" s="1"/>
  <c r="BS65" i="9"/>
  <c r="BS134" i="9"/>
  <c r="BS249" i="9"/>
  <c r="BK271" i="9"/>
  <c r="S31" i="11"/>
  <c r="BN233" i="9"/>
  <c r="BN226" i="9" s="1"/>
  <c r="Q68" i="11"/>
  <c r="Q106" i="11" s="1"/>
  <c r="BR26" i="9"/>
  <c r="BS56" i="9"/>
  <c r="BS64" i="9"/>
  <c r="BS261" i="9"/>
  <c r="BQ281" i="9"/>
  <c r="BR203" i="9"/>
  <c r="CA293" i="9"/>
  <c r="CA218" i="9"/>
  <c r="CA213" i="9"/>
  <c r="BZ191" i="9"/>
  <c r="CA228" i="9"/>
  <c r="CA227" i="9" s="1"/>
  <c r="BQ177" i="9"/>
  <c r="BS239" i="9"/>
  <c r="BS238" i="9" s="1"/>
  <c r="BS176" i="9"/>
  <c r="BS175" i="9" s="1"/>
  <c r="CA54" i="9"/>
  <c r="CA52" i="9" s="1"/>
  <c r="CA79" i="9"/>
  <c r="CA78" i="9" s="1"/>
  <c r="CA105" i="9"/>
  <c r="CA53" i="9"/>
  <c r="BZ283" i="9"/>
  <c r="BZ281" i="9" s="1"/>
  <c r="BR177" i="9"/>
  <c r="CA70" i="9"/>
  <c r="BZ112" i="9"/>
  <c r="BQ82" i="9"/>
  <c r="BQ75" i="9" s="1"/>
  <c r="CA118" i="9"/>
  <c r="CA62" i="9"/>
  <c r="BZ26" i="9"/>
  <c r="BS108" i="9"/>
  <c r="BR40" i="9"/>
  <c r="CA28" i="9"/>
  <c r="BS160" i="9"/>
  <c r="BY246" i="9"/>
  <c r="BY245" i="9" s="1"/>
  <c r="AB39" i="11"/>
  <c r="BQ145" i="9"/>
  <c r="S170" i="11"/>
  <c r="S22" i="11"/>
  <c r="BS20" i="9"/>
  <c r="BS28" i="9"/>
  <c r="BS67" i="9"/>
  <c r="BQ263" i="9"/>
  <c r="CA278" i="9"/>
  <c r="BS205" i="9"/>
  <c r="CA190" i="9"/>
  <c r="CA84" i="9"/>
  <c r="BQ233" i="9"/>
  <c r="BQ226" i="9" s="1"/>
  <c r="BR289" i="9"/>
  <c r="BR288" i="9" s="1"/>
  <c r="BR233" i="9"/>
  <c r="BR226" i="9" s="1"/>
  <c r="CA180" i="9"/>
  <c r="BS85" i="9"/>
  <c r="CA117" i="9"/>
  <c r="CA46" i="9"/>
  <c r="CA49" i="9"/>
  <c r="Z43" i="11"/>
  <c r="AB99" i="11"/>
  <c r="S21" i="11"/>
  <c r="BS68" i="9"/>
  <c r="BS217" i="9"/>
  <c r="BS206" i="9"/>
  <c r="BS201" i="9"/>
  <c r="BS215" i="9"/>
  <c r="BS241" i="9"/>
  <c r="BS240" i="9" s="1"/>
  <c r="BS228" i="9"/>
  <c r="BS227" i="9" s="1"/>
  <c r="CA83" i="9"/>
  <c r="BZ132" i="9"/>
  <c r="BX95" i="9"/>
  <c r="BX94" i="9" s="1"/>
  <c r="I83" i="1"/>
  <c r="CA249" i="9"/>
  <c r="BY112" i="9"/>
  <c r="BZ95" i="9"/>
  <c r="BZ94" i="9" s="1"/>
  <c r="BZ93" i="9" s="1"/>
  <c r="BZ92" i="9" s="1"/>
  <c r="CA45" i="9"/>
  <c r="AS16" i="9"/>
  <c r="CA167" i="9"/>
  <c r="CA166" i="9" s="1"/>
  <c r="O46" i="11"/>
  <c r="O45" i="11" s="1"/>
  <c r="Z764" i="13"/>
  <c r="AB620" i="13"/>
  <c r="AB621" i="13"/>
  <c r="X729" i="13"/>
  <c r="K703" i="13"/>
  <c r="K15" i="13" s="1"/>
  <c r="AB626" i="13"/>
  <c r="Z621" i="13"/>
  <c r="Z25" i="15"/>
  <c r="Z297" i="15"/>
  <c r="AB84" i="15"/>
  <c r="Z300" i="15"/>
  <c r="AB141" i="15"/>
  <c r="AB136" i="15"/>
  <c r="AB131" i="15"/>
  <c r="AB126" i="15"/>
  <c r="AB110" i="15"/>
  <c r="AB106" i="15"/>
  <c r="AB102" i="15"/>
  <c r="AB96" i="15"/>
  <c r="AB92" i="15"/>
  <c r="AB88" i="15"/>
  <c r="Z131" i="15"/>
  <c r="AB725" i="13"/>
  <c r="Q703" i="13"/>
  <c r="P703" i="13"/>
  <c r="I45" i="15"/>
  <c r="J45" i="15" s="1"/>
  <c r="Z332" i="15"/>
  <c r="I23" i="15"/>
  <c r="I19" i="15" s="1"/>
  <c r="AB23" i="15"/>
  <c r="Z334" i="15"/>
  <c r="AB78" i="15"/>
  <c r="AB72" i="15"/>
  <c r="AB66" i="15"/>
  <c r="AB62" i="15"/>
  <c r="AB56" i="15"/>
  <c r="AB52" i="15"/>
  <c r="AB38" i="15"/>
  <c r="AB32" i="15"/>
  <c r="AB26" i="15"/>
  <c r="AB350" i="15"/>
  <c r="AB87" i="15"/>
  <c r="AB83" i="15"/>
  <c r="AB81" i="15"/>
  <c r="AB75" i="15"/>
  <c r="AB70" i="15"/>
  <c r="AB64" i="15"/>
  <c r="AB59" i="15"/>
  <c r="AB54" i="15"/>
  <c r="AB48" i="15"/>
  <c r="AB36" i="15"/>
  <c r="AB30" i="15"/>
  <c r="AB24" i="15"/>
  <c r="X45" i="15"/>
  <c r="X43" i="15" s="1"/>
  <c r="AB77" i="15"/>
  <c r="AB71" i="15"/>
  <c r="AB65" i="15"/>
  <c r="AB60" i="15"/>
  <c r="AB55" i="15"/>
  <c r="AB50" i="15"/>
  <c r="AB37" i="15"/>
  <c r="AB31" i="15"/>
  <c r="AB25" i="15"/>
  <c r="K19" i="15"/>
  <c r="AB79" i="15"/>
  <c r="AB73" i="15"/>
  <c r="AB68" i="15"/>
  <c r="AB63" i="15"/>
  <c r="AB57" i="15"/>
  <c r="AB53" i="15"/>
  <c r="AB46" i="15"/>
  <c r="AB29" i="15"/>
  <c r="AB315" i="15"/>
  <c r="AB313" i="15"/>
  <c r="AB311" i="15"/>
  <c r="AB309" i="15"/>
  <c r="J357" i="13"/>
  <c r="J487" i="13"/>
  <c r="AB147" i="13"/>
  <c r="AB487" i="13"/>
  <c r="AB357" i="13"/>
  <c r="I18" i="13"/>
  <c r="AB307" i="15"/>
  <c r="AB316" i="15"/>
  <c r="AB314" i="15"/>
  <c r="AB312" i="15"/>
  <c r="AB310" i="15"/>
  <c r="AB308" i="15"/>
  <c r="AB306" i="15"/>
  <c r="AB303" i="15"/>
  <c r="AB300" i="15"/>
  <c r="AB297" i="15"/>
  <c r="AB295" i="15"/>
  <c r="AB291" i="15"/>
  <c r="I349" i="15"/>
  <c r="J349" i="15" s="1"/>
  <c r="N349" i="15" s="1"/>
  <c r="Z349" i="15" s="1"/>
  <c r="AB304" i="15"/>
  <c r="AB302" i="15"/>
  <c r="AB298" i="15"/>
  <c r="AB296" i="15"/>
  <c r="AB293" i="15"/>
  <c r="AB337" i="15"/>
  <c r="Z152" i="15"/>
  <c r="AB336" i="15"/>
  <c r="AB334" i="15"/>
  <c r="AB332" i="15"/>
  <c r="AB330" i="15"/>
  <c r="AB326" i="15"/>
  <c r="AB323" i="15"/>
  <c r="AB320" i="15"/>
  <c r="AB318" i="15"/>
  <c r="AB290" i="15"/>
  <c r="AB335" i="15"/>
  <c r="AB333" i="15"/>
  <c r="AB331" i="15"/>
  <c r="AB329" i="15"/>
  <c r="AB327" i="15"/>
  <c r="AB325" i="15"/>
  <c r="AB321" i="15"/>
  <c r="AB319" i="15"/>
  <c r="G19" i="15"/>
  <c r="S42" i="13"/>
  <c r="T617" i="13"/>
  <c r="T615" i="13" s="1"/>
  <c r="P17" i="15"/>
  <c r="R19" i="15"/>
  <c r="R17" i="15" s="1"/>
  <c r="X261" i="15"/>
  <c r="T16" i="13"/>
  <c r="U17" i="15"/>
  <c r="H17" i="15"/>
  <c r="H16" i="15" s="1"/>
  <c r="Y350" i="15"/>
  <c r="AB288" i="15"/>
  <c r="AB285" i="15"/>
  <c r="AB282" i="15"/>
  <c r="AB280" i="15"/>
  <c r="AB278" i="15"/>
  <c r="AB275" i="15"/>
  <c r="AB271" i="15"/>
  <c r="Q17" i="15"/>
  <c r="I42" i="13"/>
  <c r="Y131" i="15"/>
  <c r="V17" i="15"/>
  <c r="S45" i="15"/>
  <c r="S43" i="15" s="1"/>
  <c r="R16" i="13"/>
  <c r="Q16" i="13"/>
  <c r="J40" i="15"/>
  <c r="N40" i="15" s="1"/>
  <c r="Y40" i="15" s="1"/>
  <c r="AB365" i="15"/>
  <c r="W17" i="15"/>
  <c r="X40" i="15"/>
  <c r="X19" i="15" s="1"/>
  <c r="J18" i="13"/>
  <c r="L17" i="15"/>
  <c r="L16" i="15" s="1"/>
  <c r="L372" i="15" s="1"/>
  <c r="S40" i="15"/>
  <c r="AB349" i="15"/>
  <c r="AB370" i="15"/>
  <c r="AB347" i="15"/>
  <c r="AB358" i="15"/>
  <c r="AB356" i="15"/>
  <c r="AB361" i="15"/>
  <c r="AB351" i="15"/>
  <c r="Z370" i="15"/>
  <c r="AB338" i="15"/>
  <c r="Y334" i="15"/>
  <c r="AB368" i="15"/>
  <c r="AB359" i="15"/>
  <c r="J42" i="13"/>
  <c r="AB362" i="15"/>
  <c r="Z273" i="15"/>
  <c r="J357" i="15"/>
  <c r="N357" i="15" s="1"/>
  <c r="Z357" i="15" s="1"/>
  <c r="J333" i="15"/>
  <c r="N333" i="15" s="1"/>
  <c r="Z333" i="15" s="1"/>
  <c r="J315" i="15"/>
  <c r="N315" i="15" s="1"/>
  <c r="Z315" i="15" s="1"/>
  <c r="J296" i="15"/>
  <c r="N296" i="15" s="1"/>
  <c r="Z296" i="15" s="1"/>
  <c r="J141" i="15"/>
  <c r="N141" i="15" s="1"/>
  <c r="Z141" i="15" s="1"/>
  <c r="J107" i="15"/>
  <c r="N107" i="15" s="1"/>
  <c r="Z107" i="15" s="1"/>
  <c r="J89" i="15"/>
  <c r="N89" i="15" s="1"/>
  <c r="Z89" i="15" s="1"/>
  <c r="J70" i="15"/>
  <c r="N70" i="15" s="1"/>
  <c r="Z70" i="15" s="1"/>
  <c r="J48" i="15"/>
  <c r="N48" i="15" s="1"/>
  <c r="Z48" i="15" s="1"/>
  <c r="J21" i="15"/>
  <c r="J363" i="15"/>
  <c r="N363" i="15" s="1"/>
  <c r="Z363" i="15" s="1"/>
  <c r="J330" i="15"/>
  <c r="N330" i="15" s="1"/>
  <c r="Z330" i="15" s="1"/>
  <c r="J312" i="15"/>
  <c r="N312" i="15" s="1"/>
  <c r="Z312" i="15" s="1"/>
  <c r="J277" i="15"/>
  <c r="N277" i="15" s="1"/>
  <c r="Z277" i="15" s="1"/>
  <c r="J128" i="15"/>
  <c r="N128" i="15" s="1"/>
  <c r="Z128" i="15" s="1"/>
  <c r="J104" i="15"/>
  <c r="N104" i="15" s="1"/>
  <c r="Z104" i="15" s="1"/>
  <c r="J86" i="15"/>
  <c r="N86" i="15" s="1"/>
  <c r="Z86" i="15" s="1"/>
  <c r="J65" i="15"/>
  <c r="N65" i="15" s="1"/>
  <c r="Z65" i="15" s="1"/>
  <c r="J355" i="15"/>
  <c r="N355" i="15" s="1"/>
  <c r="Z355" i="15" s="1"/>
  <c r="J327" i="15"/>
  <c r="N327" i="15" s="1"/>
  <c r="Z327" i="15" s="1"/>
  <c r="J309" i="15"/>
  <c r="N309" i="15" s="1"/>
  <c r="Z309" i="15" s="1"/>
  <c r="J288" i="15"/>
  <c r="N288" i="15" s="1"/>
  <c r="Z288" i="15" s="1"/>
  <c r="J145" i="15"/>
  <c r="N145" i="15" s="1"/>
  <c r="Z145" i="15" s="1"/>
  <c r="J124" i="15"/>
  <c r="N124" i="15" s="1"/>
  <c r="Z124" i="15" s="1"/>
  <c r="J101" i="15"/>
  <c r="N101" i="15" s="1"/>
  <c r="Z101" i="15" s="1"/>
  <c r="J83" i="15"/>
  <c r="N83" i="15" s="1"/>
  <c r="Z83" i="15" s="1"/>
  <c r="J62" i="15"/>
  <c r="N62" i="15" s="1"/>
  <c r="Z62" i="15" s="1"/>
  <c r="J30" i="15"/>
  <c r="N30" i="15" s="1"/>
  <c r="Z30" i="15" s="1"/>
  <c r="J366" i="15"/>
  <c r="N366" i="15" s="1"/>
  <c r="Z366" i="15" s="1"/>
  <c r="J323" i="15"/>
  <c r="N323" i="15" s="1"/>
  <c r="Z323" i="15" s="1"/>
  <c r="J306" i="15"/>
  <c r="N306" i="15" s="1"/>
  <c r="Z306" i="15" s="1"/>
  <c r="J279" i="15"/>
  <c r="N279" i="15" s="1"/>
  <c r="Z279" i="15" s="1"/>
  <c r="J125" i="15"/>
  <c r="N125" i="15" s="1"/>
  <c r="Z125" i="15" s="1"/>
  <c r="J102" i="15"/>
  <c r="N102" i="15" s="1"/>
  <c r="Z102" i="15" s="1"/>
  <c r="J84" i="15"/>
  <c r="N84" i="15" s="1"/>
  <c r="Z84" i="15" s="1"/>
  <c r="J63" i="15"/>
  <c r="N63" i="15" s="1"/>
  <c r="Z63" i="15" s="1"/>
  <c r="J37" i="15"/>
  <c r="N37" i="15" s="1"/>
  <c r="Z37" i="15" s="1"/>
  <c r="I346" i="15"/>
  <c r="G343" i="15"/>
  <c r="Y1027" i="13"/>
  <c r="Y336" i="15"/>
  <c r="Y332" i="15"/>
  <c r="Y303" i="15"/>
  <c r="Y297" i="15"/>
  <c r="Z356" i="15"/>
  <c r="AB289" i="15"/>
  <c r="AB287" i="15"/>
  <c r="AB284" i="15"/>
  <c r="AB281" i="15"/>
  <c r="AB279" i="15"/>
  <c r="AB277" i="15"/>
  <c r="AB273" i="15"/>
  <c r="AB366" i="15"/>
  <c r="Z281" i="15"/>
  <c r="J362" i="15"/>
  <c r="N362" i="15" s="1"/>
  <c r="Z362" i="15" s="1"/>
  <c r="J337" i="15"/>
  <c r="N337" i="15" s="1"/>
  <c r="Z337" i="15" s="1"/>
  <c r="J319" i="15"/>
  <c r="N319" i="15" s="1"/>
  <c r="Z319" i="15" s="1"/>
  <c r="J302" i="15"/>
  <c r="N302" i="15" s="1"/>
  <c r="Z302" i="15" s="1"/>
  <c r="J275" i="15"/>
  <c r="N275" i="15" s="1"/>
  <c r="Z275" i="15" s="1"/>
  <c r="J111" i="15"/>
  <c r="N111" i="15" s="1"/>
  <c r="Z111" i="15" s="1"/>
  <c r="J93" i="15"/>
  <c r="N93" i="15" s="1"/>
  <c r="Z93" i="15" s="1"/>
  <c r="J75" i="15"/>
  <c r="N75" i="15" s="1"/>
  <c r="Z75" i="15" s="1"/>
  <c r="J54" i="15"/>
  <c r="N54" i="15" s="1"/>
  <c r="Z54" i="15" s="1"/>
  <c r="J26" i="15"/>
  <c r="N26" i="15" s="1"/>
  <c r="Z26" i="15" s="1"/>
  <c r="J338" i="15"/>
  <c r="N338" i="15" s="1"/>
  <c r="Z338" i="15" s="1"/>
  <c r="J316" i="15"/>
  <c r="N316" i="15" s="1"/>
  <c r="Z316" i="15" s="1"/>
  <c r="J287" i="15"/>
  <c r="N287" i="15" s="1"/>
  <c r="Z287" i="15" s="1"/>
  <c r="J132" i="15"/>
  <c r="N132" i="15" s="1"/>
  <c r="Z132" i="15" s="1"/>
  <c r="J108" i="15"/>
  <c r="N108" i="15" s="1"/>
  <c r="Z108" i="15" s="1"/>
  <c r="J90" i="15"/>
  <c r="N90" i="15" s="1"/>
  <c r="Z90" i="15" s="1"/>
  <c r="J71" i="15"/>
  <c r="N71" i="15" s="1"/>
  <c r="Z71" i="15" s="1"/>
  <c r="J50" i="15"/>
  <c r="N50" i="15" s="1"/>
  <c r="Z50" i="15" s="1"/>
  <c r="J359" i="15"/>
  <c r="N359" i="15" s="1"/>
  <c r="Z359" i="15" s="1"/>
  <c r="J331" i="15"/>
  <c r="N331" i="15" s="1"/>
  <c r="Z331" i="15" s="1"/>
  <c r="J313" i="15"/>
  <c r="N313" i="15" s="1"/>
  <c r="Z313" i="15" s="1"/>
  <c r="J293" i="15"/>
  <c r="N293" i="15" s="1"/>
  <c r="Z293" i="15" s="1"/>
  <c r="J271" i="15"/>
  <c r="N271" i="15" s="1"/>
  <c r="Z271" i="15" s="1"/>
  <c r="J129" i="15"/>
  <c r="N129" i="15" s="1"/>
  <c r="Z129" i="15" s="1"/>
  <c r="J105" i="15"/>
  <c r="N105" i="15" s="1"/>
  <c r="Z105" i="15" s="1"/>
  <c r="J87" i="15"/>
  <c r="N87" i="15" s="1"/>
  <c r="Z87" i="15" s="1"/>
  <c r="J66" i="15"/>
  <c r="N66" i="15" s="1"/>
  <c r="Z66" i="15" s="1"/>
  <c r="J36" i="15"/>
  <c r="N36" i="15" s="1"/>
  <c r="Z36" i="15" s="1"/>
  <c r="J310" i="15"/>
  <c r="N310" i="15" s="1"/>
  <c r="Z310" i="15" s="1"/>
  <c r="J284" i="15"/>
  <c r="N284" i="15" s="1"/>
  <c r="Z284" i="15" s="1"/>
  <c r="J130" i="15"/>
  <c r="N130" i="15" s="1"/>
  <c r="Z130" i="15" s="1"/>
  <c r="J106" i="15"/>
  <c r="N106" i="15" s="1"/>
  <c r="Z106" i="15" s="1"/>
  <c r="J88" i="15"/>
  <c r="N88" i="15" s="1"/>
  <c r="Z88" i="15" s="1"/>
  <c r="J68" i="15"/>
  <c r="N68" i="15" s="1"/>
  <c r="Z68" i="15" s="1"/>
  <c r="J46" i="15"/>
  <c r="N46" i="15" s="1"/>
  <c r="Z46" i="15" s="1"/>
  <c r="S268" i="15"/>
  <c r="AB357" i="15"/>
  <c r="AB355" i="15"/>
  <c r="AB353" i="15"/>
  <c r="Y356" i="15"/>
  <c r="AB363" i="15"/>
  <c r="J368" i="15"/>
  <c r="N368" i="15" s="1"/>
  <c r="Z368" i="15" s="1"/>
  <c r="J347" i="15"/>
  <c r="N347" i="15" s="1"/>
  <c r="Z347" i="15" s="1"/>
  <c r="J325" i="15"/>
  <c r="N325" i="15" s="1"/>
  <c r="Z325" i="15" s="1"/>
  <c r="J307" i="15"/>
  <c r="N307" i="15" s="1"/>
  <c r="Z307" i="15" s="1"/>
  <c r="J280" i="15"/>
  <c r="N280" i="15" s="1"/>
  <c r="Z280" i="15" s="1"/>
  <c r="J126" i="15"/>
  <c r="N126" i="15" s="1"/>
  <c r="Z126" i="15" s="1"/>
  <c r="J98" i="15"/>
  <c r="N98" i="15" s="1"/>
  <c r="Z98" i="15" s="1"/>
  <c r="J81" i="15"/>
  <c r="N81" i="15" s="1"/>
  <c r="Z81" i="15" s="1"/>
  <c r="J59" i="15"/>
  <c r="N59" i="15" s="1"/>
  <c r="Z59" i="15" s="1"/>
  <c r="J32" i="15"/>
  <c r="N32" i="15" s="1"/>
  <c r="Z32" i="15" s="1"/>
  <c r="I121" i="15"/>
  <c r="G118" i="15"/>
  <c r="J320" i="15"/>
  <c r="N320" i="15" s="1"/>
  <c r="Z320" i="15" s="1"/>
  <c r="J291" i="15"/>
  <c r="N291" i="15" s="1"/>
  <c r="Z291" i="15" s="1"/>
  <c r="J137" i="15"/>
  <c r="N137" i="15" s="1"/>
  <c r="Z137" i="15" s="1"/>
  <c r="J112" i="15"/>
  <c r="N112" i="15" s="1"/>
  <c r="Z112" i="15" s="1"/>
  <c r="J94" i="15"/>
  <c r="N94" i="15" s="1"/>
  <c r="Z94" i="15" s="1"/>
  <c r="J77" i="15"/>
  <c r="N77" i="15" s="1"/>
  <c r="Z77" i="15" s="1"/>
  <c r="J55" i="15"/>
  <c r="N55" i="15" s="1"/>
  <c r="Z55" i="15" s="1"/>
  <c r="I270" i="15"/>
  <c r="G268" i="15"/>
  <c r="X346" i="15"/>
  <c r="X343" i="15" s="1"/>
  <c r="T343" i="15"/>
  <c r="T266" i="15" s="1"/>
  <c r="T265" i="15" s="1"/>
  <c r="J365" i="15"/>
  <c r="N365" i="15" s="1"/>
  <c r="Z365" i="15" s="1"/>
  <c r="J335" i="15"/>
  <c r="N335" i="15" s="1"/>
  <c r="Z335" i="15" s="1"/>
  <c r="J317" i="15"/>
  <c r="N317" i="15" s="1"/>
  <c r="Z317" i="15" s="1"/>
  <c r="J298" i="15"/>
  <c r="N298" i="15" s="1"/>
  <c r="Z298" i="15" s="1"/>
  <c r="J278" i="15"/>
  <c r="N278" i="15" s="1"/>
  <c r="Z278" i="15" s="1"/>
  <c r="J133" i="15"/>
  <c r="N133" i="15" s="1"/>
  <c r="Z133" i="15" s="1"/>
  <c r="J109" i="15"/>
  <c r="N109" i="15" s="1"/>
  <c r="Z109" i="15" s="1"/>
  <c r="J91" i="15"/>
  <c r="N91" i="15" s="1"/>
  <c r="Z91" i="15" s="1"/>
  <c r="J72" i="15"/>
  <c r="N72" i="15" s="1"/>
  <c r="Z72" i="15" s="1"/>
  <c r="J52" i="15"/>
  <c r="N52" i="15" s="1"/>
  <c r="Z52" i="15" s="1"/>
  <c r="J351" i="15"/>
  <c r="N351" i="15" s="1"/>
  <c r="Z351" i="15" s="1"/>
  <c r="J314" i="15"/>
  <c r="N314" i="15" s="1"/>
  <c r="Z314" i="15" s="1"/>
  <c r="J289" i="15"/>
  <c r="N289" i="15" s="1"/>
  <c r="Z289" i="15" s="1"/>
  <c r="J134" i="15"/>
  <c r="N134" i="15" s="1"/>
  <c r="Z134" i="15" s="1"/>
  <c r="J110" i="15"/>
  <c r="N110" i="15" s="1"/>
  <c r="Z110" i="15" s="1"/>
  <c r="J92" i="15"/>
  <c r="N92" i="15" s="1"/>
  <c r="Z92" i="15" s="1"/>
  <c r="J73" i="15"/>
  <c r="N73" i="15" s="1"/>
  <c r="Z73" i="15" s="1"/>
  <c r="J53" i="15"/>
  <c r="N53" i="15" s="1"/>
  <c r="Z53" i="15" s="1"/>
  <c r="AB121" i="15"/>
  <c r="S118" i="15"/>
  <c r="AB21" i="15"/>
  <c r="Y370" i="15"/>
  <c r="Y300" i="15"/>
  <c r="Y290" i="15"/>
  <c r="Z354" i="15"/>
  <c r="X118" i="15"/>
  <c r="T17" i="15"/>
  <c r="Y273" i="15"/>
  <c r="O268" i="15"/>
  <c r="Y25" i="15"/>
  <c r="J353" i="15"/>
  <c r="N353" i="15" s="1"/>
  <c r="Z353" i="15" s="1"/>
  <c r="J329" i="15"/>
  <c r="N329" i="15" s="1"/>
  <c r="Z329" i="15" s="1"/>
  <c r="J311" i="15"/>
  <c r="N311" i="15" s="1"/>
  <c r="Z311" i="15" s="1"/>
  <c r="J285" i="15"/>
  <c r="N285" i="15" s="1"/>
  <c r="Z285" i="15" s="1"/>
  <c r="J136" i="15"/>
  <c r="N136" i="15" s="1"/>
  <c r="Z136" i="15" s="1"/>
  <c r="J85" i="15"/>
  <c r="N85" i="15" s="1"/>
  <c r="Z85" i="15" s="1"/>
  <c r="J64" i="15"/>
  <c r="N64" i="15" s="1"/>
  <c r="Z64" i="15" s="1"/>
  <c r="J38" i="15"/>
  <c r="N38" i="15" s="1"/>
  <c r="Z38" i="15" s="1"/>
  <c r="J358" i="15"/>
  <c r="N358" i="15" s="1"/>
  <c r="Z358" i="15" s="1"/>
  <c r="J326" i="15"/>
  <c r="N326" i="15" s="1"/>
  <c r="Z326" i="15" s="1"/>
  <c r="J308" i="15"/>
  <c r="N308" i="15" s="1"/>
  <c r="Z308" i="15" s="1"/>
  <c r="J143" i="15"/>
  <c r="N143" i="15" s="1"/>
  <c r="Z143" i="15" s="1"/>
  <c r="J122" i="15"/>
  <c r="N122" i="15" s="1"/>
  <c r="Z122" i="15" s="1"/>
  <c r="J100" i="15"/>
  <c r="N100" i="15" s="1"/>
  <c r="Z100" i="15" s="1"/>
  <c r="J82" i="15"/>
  <c r="N82" i="15" s="1"/>
  <c r="Z82" i="15" s="1"/>
  <c r="J60" i="15"/>
  <c r="N60" i="15" s="1"/>
  <c r="Z60" i="15" s="1"/>
  <c r="J29" i="15"/>
  <c r="N29" i="15" s="1"/>
  <c r="Z29" i="15" s="1"/>
  <c r="J321" i="15"/>
  <c r="N321" i="15" s="1"/>
  <c r="Z321" i="15" s="1"/>
  <c r="J304" i="15"/>
  <c r="N304" i="15" s="1"/>
  <c r="Z304" i="15" s="1"/>
  <c r="J282" i="15"/>
  <c r="N282" i="15" s="1"/>
  <c r="Z282" i="15" s="1"/>
  <c r="J138" i="15"/>
  <c r="N138" i="15" s="1"/>
  <c r="Z138" i="15" s="1"/>
  <c r="J113" i="15"/>
  <c r="N113" i="15" s="1"/>
  <c r="Z113" i="15" s="1"/>
  <c r="J95" i="15"/>
  <c r="N95" i="15" s="1"/>
  <c r="Z95" i="15" s="1"/>
  <c r="J78" i="15"/>
  <c r="N78" i="15" s="1"/>
  <c r="Z78" i="15" s="1"/>
  <c r="J56" i="15"/>
  <c r="N56" i="15" s="1"/>
  <c r="Z56" i="15" s="1"/>
  <c r="J24" i="15"/>
  <c r="N24" i="15" s="1"/>
  <c r="Z24" i="15" s="1"/>
  <c r="J361" i="15"/>
  <c r="N361" i="15" s="1"/>
  <c r="Z361" i="15" s="1"/>
  <c r="J318" i="15"/>
  <c r="N318" i="15" s="1"/>
  <c r="Z318" i="15" s="1"/>
  <c r="J295" i="15"/>
  <c r="N295" i="15" s="1"/>
  <c r="Z295" i="15" s="1"/>
  <c r="J140" i="15"/>
  <c r="N140" i="15" s="1"/>
  <c r="Z140" i="15" s="1"/>
  <c r="J96" i="15"/>
  <c r="N96" i="15" s="1"/>
  <c r="Z96" i="15" s="1"/>
  <c r="J79" i="15"/>
  <c r="N79" i="15" s="1"/>
  <c r="Z79" i="15" s="1"/>
  <c r="J57" i="15"/>
  <c r="N57" i="15" s="1"/>
  <c r="Z57" i="15" s="1"/>
  <c r="AB354" i="15"/>
  <c r="Y354" i="15"/>
  <c r="AB834" i="13"/>
  <c r="X270" i="15"/>
  <c r="X268" i="15" s="1"/>
  <c r="K151" i="11"/>
  <c r="S62" i="11"/>
  <c r="CA147" i="9"/>
  <c r="CA146" i="9" s="1"/>
  <c r="BX146" i="9"/>
  <c r="CA151" i="9"/>
  <c r="BX150" i="9"/>
  <c r="BU182" i="9"/>
  <c r="AA136" i="11"/>
  <c r="H34" i="1"/>
  <c r="K34" i="1" s="1"/>
  <c r="L34" i="1" s="1"/>
  <c r="AO15" i="9"/>
  <c r="AO14" i="9" s="1"/>
  <c r="AO296" i="9" s="1"/>
  <c r="R51" i="11"/>
  <c r="R69" i="11" s="1"/>
  <c r="BI31" i="9"/>
  <c r="W51" i="11"/>
  <c r="T142" i="11"/>
  <c r="AN15" i="9"/>
  <c r="AN14" i="9" s="1"/>
  <c r="R58" i="11"/>
  <c r="R68" i="11" s="1"/>
  <c r="R136" i="11"/>
  <c r="BE181" i="9"/>
  <c r="BE168" i="9" s="1"/>
  <c r="V143" i="11"/>
  <c r="V151" i="11" s="1"/>
  <c r="AM15" i="9"/>
  <c r="AM14" i="9" s="1"/>
  <c r="AM296" i="9" s="1"/>
  <c r="R57" i="11"/>
  <c r="R67" i="11" s="1"/>
  <c r="R105" i="11" s="1"/>
  <c r="R154" i="11" s="1"/>
  <c r="O142" i="11"/>
  <c r="T182" i="9"/>
  <c r="T181" i="9" s="1"/>
  <c r="T168" i="9" s="1"/>
  <c r="M136" i="11"/>
  <c r="M31" i="9"/>
  <c r="M30" i="9" s="1"/>
  <c r="M15" i="9" s="1"/>
  <c r="M14" i="9" s="1"/>
  <c r="K51" i="11"/>
  <c r="N51" i="11" s="1"/>
  <c r="Y51" i="11" s="1"/>
  <c r="BS199" i="9"/>
  <c r="AX15" i="9"/>
  <c r="AX14" i="9" s="1"/>
  <c r="BK33" i="9"/>
  <c r="BK93" i="9"/>
  <c r="BK92" i="9" s="1"/>
  <c r="H36" i="1"/>
  <c r="BZ154" i="9"/>
  <c r="BN60" i="9"/>
  <c r="BN59" i="9" s="1"/>
  <c r="BN138" i="9"/>
  <c r="BN137" i="9" s="1"/>
  <c r="BL184" i="9"/>
  <c r="BL183" i="9" s="1"/>
  <c r="BL182" i="9" s="1"/>
  <c r="BV30" i="9"/>
  <c r="BV15" i="9" s="1"/>
  <c r="BV14" i="9" s="1"/>
  <c r="T144" i="11"/>
  <c r="BI91" i="9"/>
  <c r="W64" i="11" s="1"/>
  <c r="V168" i="11"/>
  <c r="N92" i="9"/>
  <c r="N91" i="9" s="1"/>
  <c r="BN283" i="9"/>
  <c r="BN281" i="9" s="1"/>
  <c r="U181" i="9"/>
  <c r="U168" i="9" s="1"/>
  <c r="M143" i="11"/>
  <c r="M151" i="11" s="1"/>
  <c r="BH181" i="9"/>
  <c r="BH168" i="9" s="1"/>
  <c r="T168" i="11"/>
  <c r="X171" i="11"/>
  <c r="Q143" i="11"/>
  <c r="Q151" i="11" s="1"/>
  <c r="BU30" i="9"/>
  <c r="BU15" i="9" s="1"/>
  <c r="BU14" i="9" s="1"/>
  <c r="AA58" i="11"/>
  <c r="AA68" i="11" s="1"/>
  <c r="AA106" i="11" s="1"/>
  <c r="AA155" i="11" s="1"/>
  <c r="S126" i="11"/>
  <c r="AB126" i="11" s="1"/>
  <c r="S146" i="11"/>
  <c r="P63" i="11"/>
  <c r="P68" i="11" s="1"/>
  <c r="S139" i="11"/>
  <c r="AB139" i="11" s="1"/>
  <c r="S129" i="11"/>
  <c r="AB129" i="11" s="1"/>
  <c r="AC296" i="9"/>
  <c r="O137" i="11"/>
  <c r="AZ182" i="9"/>
  <c r="AZ181" i="9" s="1"/>
  <c r="AZ168" i="9" s="1"/>
  <c r="U136" i="11"/>
  <c r="AV15" i="9"/>
  <c r="AV14" i="9" s="1"/>
  <c r="AV296" i="9" s="1"/>
  <c r="T50" i="11"/>
  <c r="T68" i="11" s="1"/>
  <c r="AH15" i="9"/>
  <c r="AH14" i="9" s="1"/>
  <c r="AH296" i="9" s="1"/>
  <c r="BK75" i="9"/>
  <c r="CA152" i="9"/>
  <c r="BM33" i="9"/>
  <c r="BM32" i="9" s="1"/>
  <c r="BM31" i="9" s="1"/>
  <c r="BK145" i="9"/>
  <c r="Q38" i="16" s="1"/>
  <c r="O181" i="9"/>
  <c r="O168" i="9" s="1"/>
  <c r="BC242" i="9"/>
  <c r="BC181" i="9" s="1"/>
  <c r="BC168" i="9" s="1"/>
  <c r="O30" i="9"/>
  <c r="O15" i="9" s="1"/>
  <c r="O14" i="9" s="1"/>
  <c r="W144" i="11"/>
  <c r="BF243" i="9"/>
  <c r="BF242" i="9" s="1"/>
  <c r="R168" i="11"/>
  <c r="R166" i="11" s="1"/>
  <c r="Q168" i="11"/>
  <c r="Q166" i="11" s="1"/>
  <c r="U64" i="11"/>
  <c r="U60" i="11" s="1"/>
  <c r="CA156" i="9"/>
  <c r="CA155" i="9" s="1"/>
  <c r="BX155" i="9"/>
  <c r="BV181" i="9"/>
  <c r="BV168" i="9" s="1"/>
  <c r="AA143" i="11"/>
  <c r="O74" i="1"/>
  <c r="BE30" i="9"/>
  <c r="BE15" i="9" s="1"/>
  <c r="BE14" i="9" s="1"/>
  <c r="V64" i="11"/>
  <c r="V69" i="11" s="1"/>
  <c r="AI15" i="9"/>
  <c r="AI14" i="9" s="1"/>
  <c r="AI296" i="9" s="1"/>
  <c r="Q57" i="11"/>
  <c r="Q67" i="11" s="1"/>
  <c r="AG15" i="9"/>
  <c r="AG14" i="9" s="1"/>
  <c r="P51" i="11"/>
  <c r="K30" i="9"/>
  <c r="K15" i="9" s="1"/>
  <c r="K14" i="9" s="1"/>
  <c r="K57" i="11"/>
  <c r="K67" i="11" s="1"/>
  <c r="BG30" i="9"/>
  <c r="BG15" i="9" s="1"/>
  <c r="BG14" i="9" s="1"/>
  <c r="BG296" i="9" s="1"/>
  <c r="W57" i="11"/>
  <c r="S171" i="11"/>
  <c r="O168" i="11"/>
  <c r="O166" i="11" s="1"/>
  <c r="P140" i="11"/>
  <c r="S140" i="11" s="1"/>
  <c r="AB140" i="11" s="1"/>
  <c r="P130" i="11"/>
  <c r="S130" i="11" s="1"/>
  <c r="AB130" i="11" s="1"/>
  <c r="P115" i="11"/>
  <c r="P124" i="11"/>
  <c r="S124" i="11" s="1"/>
  <c r="AB124" i="11" s="1"/>
  <c r="P119" i="11"/>
  <c r="S119" i="11" s="1"/>
  <c r="AB119" i="11" s="1"/>
  <c r="P147" i="11"/>
  <c r="S147" i="11" s="1"/>
  <c r="P127" i="11"/>
  <c r="S127" i="11" s="1"/>
  <c r="P64" i="11"/>
  <c r="S64" i="11" s="1"/>
  <c r="P143" i="11"/>
  <c r="P137" i="11"/>
  <c r="BZ153" i="9"/>
  <c r="AB296" i="9"/>
  <c r="BW58" i="9"/>
  <c r="BW57" i="9" s="1"/>
  <c r="X174" i="11"/>
  <c r="T151" i="11"/>
  <c r="W168" i="11"/>
  <c r="P168" i="11"/>
  <c r="P166" i="11" s="1"/>
  <c r="R91" i="9"/>
  <c r="BJ209" i="9"/>
  <c r="BJ208" i="9" s="1"/>
  <c r="AL15" i="9"/>
  <c r="AL14" i="9" s="1"/>
  <c r="S49" i="11"/>
  <c r="I84" i="1"/>
  <c r="AU15" i="9"/>
  <c r="AU14" i="9" s="1"/>
  <c r="AU296" i="9" s="1"/>
  <c r="T62" i="11"/>
  <c r="T67" i="11" s="1"/>
  <c r="BT30" i="9"/>
  <c r="BT15" i="9" s="1"/>
  <c r="BT14" i="9" s="1"/>
  <c r="BT296" i="9" s="1"/>
  <c r="AA57" i="11"/>
  <c r="AJ296" i="9"/>
  <c r="Q136" i="11"/>
  <c r="AE15" i="9"/>
  <c r="P57" i="11"/>
  <c r="P67" i="11" s="1"/>
  <c r="L182" i="9"/>
  <c r="L181" i="9" s="1"/>
  <c r="L168" i="9" s="1"/>
  <c r="K136" i="11"/>
  <c r="V63" i="11"/>
  <c r="L30" i="9"/>
  <c r="L15" i="9" s="1"/>
  <c r="L14" i="9" s="1"/>
  <c r="K58" i="11"/>
  <c r="BA31" i="9"/>
  <c r="BA30" i="9" s="1"/>
  <c r="BA15" i="9" s="1"/>
  <c r="BA14" i="9" s="1"/>
  <c r="BA296" i="9" s="1"/>
  <c r="U51" i="11"/>
  <c r="AK15" i="9"/>
  <c r="AK14" i="9" s="1"/>
  <c r="AK296" i="9" s="1"/>
  <c r="Q51" i="11"/>
  <c r="Q69" i="11" s="1"/>
  <c r="Z158" i="9"/>
  <c r="J83" i="1"/>
  <c r="J81" i="1" s="1"/>
  <c r="BK58" i="9"/>
  <c r="BW244" i="9"/>
  <c r="BW243" i="9" s="1"/>
  <c r="BW242" i="9" s="1"/>
  <c r="BW181" i="9" s="1"/>
  <c r="BW168" i="9" s="1"/>
  <c r="T64" i="11"/>
  <c r="T69" i="11" s="1"/>
  <c r="BN289" i="9"/>
  <c r="BN288" i="9" s="1"/>
  <c r="U168" i="11"/>
  <c r="Q144" i="11"/>
  <c r="M32" i="1"/>
  <c r="P32" i="1" s="1"/>
  <c r="K149" i="15"/>
  <c r="K147" i="15" s="1"/>
  <c r="N150" i="15"/>
  <c r="K88" i="11"/>
  <c r="K87" i="11" s="1"/>
  <c r="T88" i="11"/>
  <c r="T87" i="11" s="1"/>
  <c r="T235" i="15"/>
  <c r="G101" i="11"/>
  <c r="Q101" i="11"/>
  <c r="Q617" i="13"/>
  <c r="Q615" i="13" s="1"/>
  <c r="Q150" i="15"/>
  <c r="Q149" i="15" s="1"/>
  <c r="Q147" i="15" s="1"/>
  <c r="O88" i="11"/>
  <c r="AB262" i="15"/>
  <c r="Z262" i="15"/>
  <c r="Y262" i="15"/>
  <c r="Y261" i="15" s="1"/>
  <c r="N261" i="15"/>
  <c r="M101" i="11"/>
  <c r="S726" i="13"/>
  <c r="S704" i="13" s="1"/>
  <c r="R258" i="15"/>
  <c r="R236" i="15" s="1"/>
  <c r="U88" i="11"/>
  <c r="Q88" i="11"/>
  <c r="AB257" i="15"/>
  <c r="P101" i="11"/>
  <c r="T101" i="11"/>
  <c r="W703" i="13"/>
  <c r="W258" i="15"/>
  <c r="W236" i="15" s="1"/>
  <c r="S731" i="13"/>
  <c r="Z731" i="13" s="1"/>
  <c r="O263" i="15"/>
  <c r="X150" i="15"/>
  <c r="X149" i="15" s="1"/>
  <c r="X147" i="15" s="1"/>
  <c r="T149" i="15"/>
  <c r="T147" i="15" s="1"/>
  <c r="V88" i="11"/>
  <c r="V87" i="11" s="1"/>
  <c r="J154" i="9"/>
  <c r="J153" i="9" s="1"/>
  <c r="H30" i="9"/>
  <c r="H15" i="9" s="1"/>
  <c r="H14" i="9" s="1"/>
  <c r="G58" i="11"/>
  <c r="I58" i="11" s="1"/>
  <c r="J58" i="11" s="1"/>
  <c r="BQ37" i="9"/>
  <c r="X618" i="13"/>
  <c r="X617" i="13" s="1"/>
  <c r="X615" i="13" s="1"/>
  <c r="AB37" i="11"/>
  <c r="X72" i="11"/>
  <c r="X88" i="11" s="1"/>
  <c r="X87" i="11" s="1"/>
  <c r="AB38" i="11"/>
  <c r="AB41" i="11"/>
  <c r="AB26" i="11"/>
  <c r="Y55" i="11"/>
  <c r="Z74" i="11"/>
  <c r="Z81" i="11"/>
  <c r="S618" i="13"/>
  <c r="AB618" i="13" s="1"/>
  <c r="Z624" i="13"/>
  <c r="G168" i="11"/>
  <c r="I168" i="11" s="1"/>
  <c r="J168" i="11" s="1"/>
  <c r="Z38" i="11"/>
  <c r="W617" i="13"/>
  <c r="W615" i="13" s="1"/>
  <c r="AB25" i="11"/>
  <c r="AB75" i="11"/>
  <c r="X102" i="11"/>
  <c r="R703" i="13"/>
  <c r="S24" i="11"/>
  <c r="Z42" i="11"/>
  <c r="X726" i="13"/>
  <c r="X704" i="13" s="1"/>
  <c r="Z25" i="11"/>
  <c r="Y1079" i="13"/>
  <c r="Y1031" i="13"/>
  <c r="Y1227" i="13"/>
  <c r="Y439" i="13"/>
  <c r="I356" i="13"/>
  <c r="I276" i="13" s="1"/>
  <c r="Y1087" i="13"/>
  <c r="Y1040" i="13"/>
  <c r="Y1071" i="13"/>
  <c r="J170" i="11"/>
  <c r="N170" i="11" s="1"/>
  <c r="I146" i="11"/>
  <c r="G144" i="11"/>
  <c r="X145" i="9"/>
  <c r="Y145" i="9"/>
  <c r="I136" i="11"/>
  <c r="G150" i="11"/>
  <c r="G133" i="11"/>
  <c r="D74" i="1"/>
  <c r="BS147" i="9"/>
  <c r="BS146" i="9" s="1"/>
  <c r="BP146" i="9"/>
  <c r="G84" i="1"/>
  <c r="BP37" i="9"/>
  <c r="G167" i="11"/>
  <c r="I137" i="11"/>
  <c r="J137" i="11" s="1"/>
  <c r="N137" i="11" s="1"/>
  <c r="G151" i="11"/>
  <c r="I151" i="11" s="1"/>
  <c r="J151" i="11" s="1"/>
  <c r="E74" i="1"/>
  <c r="I30" i="9"/>
  <c r="I15" i="9" s="1"/>
  <c r="I14" i="9" s="1"/>
  <c r="I296" i="9" s="1"/>
  <c r="R25" i="7"/>
  <c r="I21" i="11"/>
  <c r="J21" i="11" s="1"/>
  <c r="N21" i="11" s="1"/>
  <c r="F74" i="1"/>
  <c r="G79" i="1"/>
  <c r="I59" i="11"/>
  <c r="G69" i="11"/>
  <c r="G107" i="11" s="1"/>
  <c r="BP155" i="9"/>
  <c r="D33" i="1"/>
  <c r="D32" i="1" s="1"/>
  <c r="G32" i="1" s="1"/>
  <c r="W145" i="9"/>
  <c r="BS152" i="9"/>
  <c r="BS150" i="9" s="1"/>
  <c r="BP150" i="9"/>
  <c r="G15" i="9"/>
  <c r="G14" i="9" s="1"/>
  <c r="G296" i="9" s="1"/>
  <c r="G62" i="11"/>
  <c r="J57" i="9"/>
  <c r="C78" i="1"/>
  <c r="I20" i="11"/>
  <c r="G19" i="11"/>
  <c r="G17" i="11" s="1"/>
  <c r="J1205" i="13"/>
  <c r="AB782" i="13"/>
  <c r="Y1209" i="13"/>
  <c r="AB801" i="13"/>
  <c r="AB838" i="13"/>
  <c r="AB774" i="13"/>
  <c r="AB763" i="13"/>
  <c r="Y1099" i="13"/>
  <c r="AB738" i="13"/>
  <c r="Y1064" i="13"/>
  <c r="Z1099" i="13"/>
  <c r="Y1091" i="13"/>
  <c r="Y1073" i="13"/>
  <c r="Y1058" i="13"/>
  <c r="Y1036" i="13"/>
  <c r="Y546" i="13"/>
  <c r="Y533" i="13"/>
  <c r="Y491" i="13"/>
  <c r="Y390" i="13"/>
  <c r="I146" i="13"/>
  <c r="Y489" i="13"/>
  <c r="J586" i="13"/>
  <c r="J511" i="13"/>
  <c r="Y598" i="13"/>
  <c r="Y521" i="13"/>
  <c r="Y555" i="13"/>
  <c r="Y568" i="13"/>
  <c r="Y501" i="13"/>
  <c r="Y499" i="13"/>
  <c r="Y601" i="13"/>
  <c r="Y609" i="13"/>
  <c r="Y570" i="13"/>
  <c r="Y531" i="13"/>
  <c r="Y506" i="13"/>
  <c r="J381" i="13"/>
  <c r="Y440" i="13"/>
  <c r="Y374" i="13"/>
  <c r="Y372" i="13"/>
  <c r="Y456" i="13"/>
  <c r="Y370" i="13"/>
  <c r="Y426" i="13"/>
  <c r="Y406" i="13"/>
  <c r="Y384" i="13"/>
  <c r="Y376" i="13"/>
  <c r="Y445" i="13"/>
  <c r="Y411" i="13"/>
  <c r="Z456" i="13"/>
  <c r="Y446" i="13"/>
  <c r="Y363" i="13"/>
  <c r="Y417" i="13"/>
  <c r="Y395" i="13"/>
  <c r="Y393" i="13"/>
  <c r="Y364" i="13"/>
  <c r="Y369" i="13"/>
  <c r="I730" i="13"/>
  <c r="I618" i="13"/>
  <c r="Y124" i="11"/>
  <c r="O729" i="13"/>
  <c r="O703" i="13" s="1"/>
  <c r="Y173" i="11"/>
  <c r="Y115" i="11"/>
  <c r="Y130" i="11"/>
  <c r="Y114" i="11"/>
  <c r="Y140" i="11"/>
  <c r="Y129" i="11"/>
  <c r="Y123" i="11"/>
  <c r="Y118" i="11"/>
  <c r="Y119" i="11"/>
  <c r="Z95" i="11"/>
  <c r="S102" i="11"/>
  <c r="N94" i="11"/>
  <c r="Y94" i="11" s="1"/>
  <c r="J102" i="11"/>
  <c r="Y98" i="11"/>
  <c r="Y96" i="11"/>
  <c r="Y95" i="11"/>
  <c r="X24" i="11"/>
  <c r="J24" i="11"/>
  <c r="X31" i="11"/>
  <c r="AB83" i="11"/>
  <c r="Z75" i="11"/>
  <c r="AB79" i="11"/>
  <c r="AB81" i="11"/>
  <c r="AB78" i="11"/>
  <c r="AB77" i="11"/>
  <c r="Z79" i="11"/>
  <c r="Z78" i="11"/>
  <c r="Y25" i="11"/>
  <c r="Z77" i="11"/>
  <c r="Z35" i="11"/>
  <c r="Y43" i="11"/>
  <c r="Y33" i="11"/>
  <c r="Z41" i="11"/>
  <c r="Z83" i="11"/>
  <c r="Y79" i="11"/>
  <c r="Y81" i="11"/>
  <c r="Y78" i="11"/>
  <c r="Y75" i="11"/>
  <c r="Y82" i="11"/>
  <c r="Y77" i="11"/>
  <c r="Y74" i="11"/>
  <c r="Y53" i="11"/>
  <c r="Y39" i="11"/>
  <c r="Z37" i="11"/>
  <c r="Y42" i="11"/>
  <c r="Y38" i="11"/>
  <c r="Y34" i="11"/>
  <c r="Y35" i="11"/>
  <c r="AB27" i="11"/>
  <c r="Z27" i="11"/>
  <c r="Y27" i="11"/>
  <c r="N22" i="11"/>
  <c r="S811" i="13"/>
  <c r="I811" i="13"/>
  <c r="R38" i="7"/>
  <c r="N39" i="7"/>
  <c r="Q39" i="7"/>
  <c r="P39" i="7"/>
  <c r="X811" i="13"/>
  <c r="S1128" i="13"/>
  <c r="M734" i="13"/>
  <c r="M733" i="13" s="1"/>
  <c r="O734" i="13"/>
  <c r="O733" i="13" s="1"/>
  <c r="AB797" i="13"/>
  <c r="AB819" i="13"/>
  <c r="H734" i="13"/>
  <c r="H733" i="13" s="1"/>
  <c r="I1128" i="13"/>
  <c r="Z829" i="13"/>
  <c r="AB746" i="13"/>
  <c r="AB798" i="13"/>
  <c r="AB786" i="13"/>
  <c r="AB780" i="13"/>
  <c r="AB755" i="13"/>
  <c r="AB777" i="13"/>
  <c r="AB749" i="13"/>
  <c r="AB794" i="13"/>
  <c r="AB768" i="13"/>
  <c r="AB757" i="13"/>
  <c r="AB747" i="13"/>
  <c r="AB739" i="13"/>
  <c r="AB821" i="13"/>
  <c r="AB752" i="13"/>
  <c r="J1130" i="13"/>
  <c r="AB795" i="13"/>
  <c r="AB783" i="13"/>
  <c r="AB765" i="13"/>
  <c r="AB772" i="13"/>
  <c r="AB804" i="13"/>
  <c r="AB1130" i="13"/>
  <c r="AB823" i="13"/>
  <c r="AB758" i="13"/>
  <c r="AB830" i="13"/>
  <c r="AB743" i="13"/>
  <c r="AB799" i="13"/>
  <c r="AB833" i="13"/>
  <c r="AB831" i="13"/>
  <c r="AB829" i="13"/>
  <c r="AB1024" i="13"/>
  <c r="AB824" i="13"/>
  <c r="AB825" i="13"/>
  <c r="AB781" i="13"/>
  <c r="AB764" i="13"/>
  <c r="AB822" i="13"/>
  <c r="AB806" i="13"/>
  <c r="AB802" i="13"/>
  <c r="AB771" i="13"/>
  <c r="AB803" i="13"/>
  <c r="AB778" i="13"/>
  <c r="Y958" i="13"/>
  <c r="Y829" i="13"/>
  <c r="Y764" i="13"/>
  <c r="AB836" i="13"/>
  <c r="AB841" i="13"/>
  <c r="AB826" i="13"/>
  <c r="X736" i="13"/>
  <c r="J841" i="13"/>
  <c r="Y939" i="13"/>
  <c r="Y858" i="13"/>
  <c r="J736" i="13"/>
  <c r="J811" i="13"/>
  <c r="Y935" i="13"/>
  <c r="N1130" i="13"/>
  <c r="J916" i="13"/>
  <c r="Y927" i="13"/>
  <c r="Y888" i="13"/>
  <c r="J1024" i="13"/>
  <c r="Y969" i="13"/>
  <c r="Y823" i="13"/>
  <c r="Y707" i="13"/>
  <c r="Y731" i="13"/>
  <c r="Y726" i="13"/>
  <c r="M16" i="13"/>
  <c r="H16" i="13"/>
  <c r="H15" i="13" s="1"/>
  <c r="L16" i="13"/>
  <c r="L15" i="13" s="1"/>
  <c r="G16" i="13"/>
  <c r="X356" i="13"/>
  <c r="X276" i="13" s="1"/>
  <c r="J627" i="13"/>
  <c r="I485" i="13"/>
  <c r="AB627" i="13"/>
  <c r="Y642" i="13"/>
  <c r="Y49" i="13"/>
  <c r="Y59" i="13"/>
  <c r="Y67" i="13"/>
  <c r="Y56" i="13"/>
  <c r="Y101" i="13"/>
  <c r="Y62" i="13"/>
  <c r="Y36" i="13"/>
  <c r="Y100" i="13"/>
  <c r="Y61" i="13"/>
  <c r="Y35" i="13"/>
  <c r="Y76" i="13"/>
  <c r="Y54" i="13"/>
  <c r="Y106" i="13"/>
  <c r="Y47" i="13"/>
  <c r="J117" i="13"/>
  <c r="Y86" i="13"/>
  <c r="Y65" i="13"/>
  <c r="Y92" i="13"/>
  <c r="Y25" i="13"/>
  <c r="Y72" i="13"/>
  <c r="Y52" i="13"/>
  <c r="Y24" i="13"/>
  <c r="Y23" i="13"/>
  <c r="Y64" i="13"/>
  <c r="Y39" i="13"/>
  <c r="Y58" i="13"/>
  <c r="Y55" i="13"/>
  <c r="Y29" i="13"/>
  <c r="Y22" i="13"/>
  <c r="Y63" i="13"/>
  <c r="Y37" i="13"/>
  <c r="S485" i="13"/>
  <c r="X485" i="13"/>
  <c r="AB246" i="13"/>
  <c r="AB281" i="13"/>
  <c r="AB277" i="13" s="1"/>
  <c r="Y293" i="13"/>
  <c r="Y298" i="13"/>
  <c r="Y326" i="13"/>
  <c r="J281" i="13"/>
  <c r="J277" i="13" s="1"/>
  <c r="Y295" i="13"/>
  <c r="Y334" i="13"/>
  <c r="Y286" i="13"/>
  <c r="AB171" i="13"/>
  <c r="Y173" i="13"/>
  <c r="J171" i="13"/>
  <c r="Y188" i="13"/>
  <c r="Y220" i="13"/>
  <c r="S146" i="13"/>
  <c r="J246" i="13"/>
  <c r="Y218" i="13"/>
  <c r="Y223" i="13"/>
  <c r="Y624" i="13"/>
  <c r="Y621" i="13"/>
  <c r="Y625" i="13"/>
  <c r="Y622" i="13"/>
  <c r="L104" i="11"/>
  <c r="L154" i="11"/>
  <c r="L153" i="11" s="1"/>
  <c r="H154" i="11"/>
  <c r="J117" i="11"/>
  <c r="J121" i="11"/>
  <c r="J113" i="11"/>
  <c r="J72" i="11"/>
  <c r="J88" i="11" s="1"/>
  <c r="N72" i="11"/>
  <c r="N88" i="11" s="1"/>
  <c r="J31" i="11"/>
  <c r="BS167" i="9"/>
  <c r="BS166" i="9" s="1"/>
  <c r="BP166" i="9"/>
  <c r="D44" i="1"/>
  <c r="W153" i="9"/>
  <c r="D36" i="1" s="1"/>
  <c r="G36" i="1" s="1"/>
  <c r="E44" i="1"/>
  <c r="E35" i="1" s="1"/>
  <c r="X153" i="9"/>
  <c r="I44" i="1"/>
  <c r="CA164" i="9"/>
  <c r="CA160" i="9"/>
  <c r="BK32" i="9"/>
  <c r="BK31" i="9" s="1"/>
  <c r="BM208" i="9"/>
  <c r="BK226" i="9"/>
  <c r="BK208" i="9" s="1"/>
  <c r="BM91" i="9"/>
  <c r="BM242" i="9"/>
  <c r="BM181" i="9" s="1"/>
  <c r="BM168" i="9" s="1"/>
  <c r="BZ78" i="9"/>
  <c r="BZ75" i="9" s="1"/>
  <c r="CA295" i="9"/>
  <c r="CA294" i="9" s="1"/>
  <c r="BZ124" i="9"/>
  <c r="BZ121" i="9" s="1"/>
  <c r="BZ120" i="9" s="1"/>
  <c r="CA19" i="9"/>
  <c r="BS63" i="9"/>
  <c r="BS259" i="9"/>
  <c r="CA174" i="9"/>
  <c r="AP15" i="9"/>
  <c r="AP14" i="9" s="1"/>
  <c r="BR60" i="9"/>
  <c r="BR59" i="9" s="1"/>
  <c r="BS43" i="9"/>
  <c r="BZ37" i="9"/>
  <c r="CA21" i="9"/>
  <c r="BQ17" i="9"/>
  <c r="BQ16" i="9" s="1"/>
  <c r="BZ17" i="9"/>
  <c r="BZ16" i="9" s="1"/>
  <c r="CA38" i="9"/>
  <c r="CA37" i="9" s="1"/>
  <c r="CA284" i="9"/>
  <c r="BS212" i="9"/>
  <c r="BS49" i="9"/>
  <c r="BS116" i="9"/>
  <c r="BS71" i="9"/>
  <c r="CA127" i="9"/>
  <c r="BS96" i="9"/>
  <c r="BS47" i="9"/>
  <c r="BY255" i="9"/>
  <c r="CA291" i="9"/>
  <c r="CA261" i="9"/>
  <c r="BZ170" i="9"/>
  <c r="BZ169" i="9" s="1"/>
  <c r="BS53" i="9"/>
  <c r="BS135" i="9"/>
  <c r="BQ211" i="9"/>
  <c r="BQ210" i="9" s="1"/>
  <c r="BR195" i="9"/>
  <c r="BS284" i="9"/>
  <c r="BS283" i="9" s="1"/>
  <c r="BX37" i="9"/>
  <c r="BY69" i="9"/>
  <c r="AT17" i="9"/>
  <c r="AT16" i="9" s="1"/>
  <c r="BS54" i="9"/>
  <c r="BS62" i="9"/>
  <c r="BS79" i="9"/>
  <c r="BS90" i="9"/>
  <c r="BS89" i="9" s="1"/>
  <c r="BS107" i="9"/>
  <c r="BS114" i="9"/>
  <c r="BS265" i="9"/>
  <c r="BQ255" i="9"/>
  <c r="BR255" i="9"/>
  <c r="BY252" i="9"/>
  <c r="BY251" i="9" s="1"/>
  <c r="BS214" i="9"/>
  <c r="BS197" i="9"/>
  <c r="BR191" i="9"/>
  <c r="BY283" i="9"/>
  <c r="BY281" i="9" s="1"/>
  <c r="CA206" i="9"/>
  <c r="BZ195" i="9"/>
  <c r="BY177" i="9"/>
  <c r="CA221" i="9"/>
  <c r="BX40" i="9"/>
  <c r="BX44" i="9"/>
  <c r="BY263" i="9"/>
  <c r="BZ188" i="9"/>
  <c r="BZ184" i="9" s="1"/>
  <c r="CA102" i="9"/>
  <c r="CA101" i="9" s="1"/>
  <c r="CA100" i="9" s="1"/>
  <c r="BR44" i="9"/>
  <c r="BS99" i="9"/>
  <c r="BZ44" i="9"/>
  <c r="AF296" i="9"/>
  <c r="BS278" i="9"/>
  <c r="BR263" i="9"/>
  <c r="BX188" i="9"/>
  <c r="BS218" i="9"/>
  <c r="BZ209" i="9"/>
  <c r="BX112" i="9"/>
  <c r="BX17" i="9"/>
  <c r="BX16" i="9" s="1"/>
  <c r="BS19" i="9"/>
  <c r="BS42" i="9"/>
  <c r="BS55" i="9"/>
  <c r="BS52" i="9" s="1"/>
  <c r="BS73" i="9"/>
  <c r="BS77" i="9"/>
  <c r="BS76" i="9" s="1"/>
  <c r="BS86" i="9"/>
  <c r="BS97" i="9"/>
  <c r="BS110" i="9"/>
  <c r="BS269" i="9"/>
  <c r="BS257" i="9"/>
  <c r="BR246" i="9"/>
  <c r="BR245" i="9" s="1"/>
  <c r="BR244" i="9" s="1"/>
  <c r="BR243" i="9" s="1"/>
  <c r="BS258" i="9"/>
  <c r="BS250" i="9"/>
  <c r="CA270" i="9"/>
  <c r="BZ263" i="9"/>
  <c r="BZ255" i="9"/>
  <c r="CA254" i="9"/>
  <c r="BQ191" i="9"/>
  <c r="CA214" i="9"/>
  <c r="CA201" i="9"/>
  <c r="CA197" i="9"/>
  <c r="BY188" i="9"/>
  <c r="BY184" i="9" s="1"/>
  <c r="BS179" i="9"/>
  <c r="CA179" i="9"/>
  <c r="BY124" i="9"/>
  <c r="BY121" i="9" s="1"/>
  <c r="BY120" i="9" s="1"/>
  <c r="CA134" i="9"/>
  <c r="BS268" i="9"/>
  <c r="BZ177" i="9"/>
  <c r="CA23" i="9"/>
  <c r="CA22" i="9" s="1"/>
  <c r="BX255" i="9"/>
  <c r="BX177" i="9"/>
  <c r="BZ233" i="9"/>
  <c r="BZ226" i="9" s="1"/>
  <c r="CA222" i="9"/>
  <c r="BY272" i="9"/>
  <c r="BY271" i="9" s="1"/>
  <c r="BR82" i="9"/>
  <c r="BR52" i="9"/>
  <c r="BY17" i="9"/>
  <c r="BY16" i="9" s="1"/>
  <c r="CA35" i="9"/>
  <c r="CA20" i="9"/>
  <c r="AD296" i="9"/>
  <c r="BY104" i="9"/>
  <c r="BY211" i="9"/>
  <c r="BY210" i="9" s="1"/>
  <c r="BY209" i="9" s="1"/>
  <c r="BZ246" i="9"/>
  <c r="BZ245" i="9" s="1"/>
  <c r="CA96" i="9"/>
  <c r="BR95" i="9"/>
  <c r="BR94" i="9" s="1"/>
  <c r="BS127" i="9"/>
  <c r="BR211" i="9"/>
  <c r="BR210" i="9" s="1"/>
  <c r="BQ60" i="9"/>
  <c r="BQ59" i="9" s="1"/>
  <c r="Z246" i="9"/>
  <c r="Z245" i="9" s="1"/>
  <c r="Z40" i="9"/>
  <c r="BS18" i="9"/>
  <c r="Z162" i="9"/>
  <c r="K296" i="9"/>
  <c r="N181" i="9"/>
  <c r="N168" i="9" s="1"/>
  <c r="BR17" i="9"/>
  <c r="BR16" i="9" s="1"/>
  <c r="M296" i="9"/>
  <c r="W120" i="9"/>
  <c r="X33" i="9"/>
  <c r="X32" i="9" s="1"/>
  <c r="X31" i="9" s="1"/>
  <c r="Z17" i="9"/>
  <c r="Z16" i="9" s="1"/>
  <c r="BS66" i="9"/>
  <c r="BS117" i="9"/>
  <c r="Z132" i="9"/>
  <c r="BS291" i="9"/>
  <c r="Z283" i="9"/>
  <c r="Z281" i="9" s="1"/>
  <c r="Z203" i="9"/>
  <c r="BQ170" i="9"/>
  <c r="BQ169" i="9" s="1"/>
  <c r="BQ95" i="9"/>
  <c r="BQ94" i="9" s="1"/>
  <c r="BP17" i="9"/>
  <c r="BP16" i="9" s="1"/>
  <c r="W93" i="9"/>
  <c r="W92" i="9" s="1"/>
  <c r="W91" i="9" s="1"/>
  <c r="BS270" i="9"/>
  <c r="BS194" i="9"/>
  <c r="BS231" i="9"/>
  <c r="X58" i="9"/>
  <c r="BS29" i="9"/>
  <c r="BS72" i="9"/>
  <c r="Z272" i="9"/>
  <c r="Z271" i="9" s="1"/>
  <c r="Z210" i="9"/>
  <c r="Z177" i="9"/>
  <c r="BR220" i="9"/>
  <c r="Z170" i="9"/>
  <c r="Z169" i="9" s="1"/>
  <c r="BR121" i="9"/>
  <c r="BR120" i="9" s="1"/>
  <c r="Z188" i="9"/>
  <c r="Y75" i="9"/>
  <c r="Z104" i="9"/>
  <c r="BQ40" i="9"/>
  <c r="X226" i="9"/>
  <c r="BQ246" i="9"/>
  <c r="BQ245" i="9" s="1"/>
  <c r="BR130" i="9"/>
  <c r="Z112" i="9"/>
  <c r="BS163" i="9"/>
  <c r="BP162" i="9"/>
  <c r="CA163" i="9"/>
  <c r="BX162" i="9"/>
  <c r="BS159" i="9"/>
  <c r="BP158" i="9"/>
  <c r="CA159" i="9"/>
  <c r="CA158" i="9" s="1"/>
  <c r="BX158" i="9"/>
  <c r="BS129" i="9"/>
  <c r="BS128" i="9" s="1"/>
  <c r="BP128" i="9"/>
  <c r="BP26" i="9"/>
  <c r="Z95" i="9"/>
  <c r="Z94" i="9" s="1"/>
  <c r="BX263" i="9"/>
  <c r="BX252" i="9"/>
  <c r="BX251" i="9" s="1"/>
  <c r="X183" i="9"/>
  <c r="X182" i="9" s="1"/>
  <c r="Z233" i="9"/>
  <c r="Z226" i="9" s="1"/>
  <c r="BP188" i="9"/>
  <c r="BY203" i="9"/>
  <c r="BS196" i="9"/>
  <c r="Y169" i="9"/>
  <c r="BQ132" i="9"/>
  <c r="BQ130" i="9" s="1"/>
  <c r="CA126" i="9"/>
  <c r="J93" i="9"/>
  <c r="J92" i="9" s="1"/>
  <c r="J91" i="9" s="1"/>
  <c r="Y226" i="9"/>
  <c r="Y208" i="9" s="1"/>
  <c r="BR275" i="9"/>
  <c r="BR272" i="9" s="1"/>
  <c r="BR271" i="9" s="1"/>
  <c r="CA239" i="9"/>
  <c r="CA238" i="9" s="1"/>
  <c r="BR69" i="9"/>
  <c r="CA88" i="9"/>
  <c r="CA87" i="9" s="1"/>
  <c r="W75" i="9"/>
  <c r="BP95" i="9"/>
  <c r="BP94" i="9" s="1"/>
  <c r="BS38" i="9"/>
  <c r="X75" i="9"/>
  <c r="W58" i="9"/>
  <c r="D155" i="16" s="1"/>
  <c r="BP52" i="9"/>
  <c r="BX60" i="9"/>
  <c r="BX59" i="9" s="1"/>
  <c r="BX58" i="9" s="1"/>
  <c r="BQ34" i="9"/>
  <c r="Z26" i="9"/>
  <c r="BS70" i="9"/>
  <c r="BP69" i="9"/>
  <c r="BS88" i="9"/>
  <c r="BS87" i="9" s="1"/>
  <c r="BP87" i="9"/>
  <c r="BS139" i="9"/>
  <c r="BP138" i="9"/>
  <c r="BP137" i="9" s="1"/>
  <c r="BS144" i="9"/>
  <c r="BS143" i="9" s="1"/>
  <c r="BP143" i="9"/>
  <c r="CA280" i="9"/>
  <c r="CA279" i="9" s="1"/>
  <c r="I47" i="1"/>
  <c r="I46" i="1" s="1"/>
  <c r="Z195" i="9"/>
  <c r="BS193" i="9"/>
  <c r="BX195" i="9"/>
  <c r="Z289" i="9"/>
  <c r="Z288" i="9" s="1"/>
  <c r="CA265" i="9"/>
  <c r="Y182" i="9"/>
  <c r="CA276" i="9"/>
  <c r="Y58" i="9"/>
  <c r="BQ112" i="9"/>
  <c r="Z69" i="9"/>
  <c r="Z101" i="9"/>
  <c r="Z100" i="9" s="1"/>
  <c r="BP78" i="9"/>
  <c r="BQ69" i="9"/>
  <c r="CA139" i="9"/>
  <c r="CA138" i="9" s="1"/>
  <c r="CA137" i="9" s="1"/>
  <c r="BR37" i="9"/>
  <c r="BR33" i="9" s="1"/>
  <c r="CA27" i="9"/>
  <c r="CA26" i="9" s="1"/>
  <c r="BS61" i="9"/>
  <c r="BP60" i="9"/>
  <c r="BP59" i="9" s="1"/>
  <c r="BS83" i="9"/>
  <c r="BS82" i="9" s="1"/>
  <c r="BP82" i="9"/>
  <c r="BS102" i="9"/>
  <c r="BS101" i="9" s="1"/>
  <c r="BS100" i="9" s="1"/>
  <c r="BP101" i="9"/>
  <c r="BP100" i="9" s="1"/>
  <c r="CA256" i="9"/>
  <c r="CA212" i="9"/>
  <c r="BP104" i="9"/>
  <c r="Z82" i="9"/>
  <c r="Z75" i="9" s="1"/>
  <c r="Z138" i="9"/>
  <c r="Z137" i="9" s="1"/>
  <c r="BQ104" i="9"/>
  <c r="BR78" i="9"/>
  <c r="BQ52" i="9"/>
  <c r="Y32" i="9"/>
  <c r="Y31" i="9" s="1"/>
  <c r="Z44" i="9"/>
  <c r="Z52" i="9"/>
  <c r="CA113" i="9"/>
  <c r="CA41" i="9"/>
  <c r="CA40" i="9" s="1"/>
  <c r="BY26" i="9"/>
  <c r="BS113" i="9"/>
  <c r="BP112" i="9"/>
  <c r="CA144" i="9"/>
  <c r="CA143" i="9" s="1"/>
  <c r="BX143" i="9"/>
  <c r="Z33" i="9"/>
  <c r="BR184" i="9"/>
  <c r="CA277" i="9"/>
  <c r="BO181" i="9"/>
  <c r="BO168" i="9" s="1"/>
  <c r="X93" i="9"/>
  <c r="X92" i="9" s="1"/>
  <c r="Y93" i="9"/>
  <c r="Y92" i="9" s="1"/>
  <c r="Y91" i="9" s="1"/>
  <c r="BR104" i="9"/>
  <c r="CA129" i="9"/>
  <c r="CA128" i="9" s="1"/>
  <c r="BR112" i="9"/>
  <c r="Z60" i="9"/>
  <c r="Z59" i="9" s="1"/>
  <c r="CA36" i="9"/>
  <c r="BQ44" i="9"/>
  <c r="BZ34" i="9"/>
  <c r="CA18" i="9"/>
  <c r="BS125" i="9"/>
  <c r="BS124" i="9" s="1"/>
  <c r="BP124" i="9"/>
  <c r="BP121" i="9" s="1"/>
  <c r="BZ130" i="9"/>
  <c r="BP132" i="9"/>
  <c r="BP130" i="9" s="1"/>
  <c r="BS123" i="9"/>
  <c r="BS131" i="9"/>
  <c r="BS132" i="9"/>
  <c r="BY130" i="9"/>
  <c r="Z124" i="9"/>
  <c r="Z121" i="9" s="1"/>
  <c r="Z120" i="9" s="1"/>
  <c r="CA125" i="9"/>
  <c r="BX124" i="9"/>
  <c r="BX121" i="9" s="1"/>
  <c r="BX120" i="9" s="1"/>
  <c r="CA133" i="9"/>
  <c r="BX132" i="9"/>
  <c r="BX130" i="9" s="1"/>
  <c r="Z130" i="9"/>
  <c r="CA131" i="9"/>
  <c r="CA123" i="9"/>
  <c r="BX283" i="9"/>
  <c r="BX281" i="9" s="1"/>
  <c r="CA285" i="9"/>
  <c r="CA230" i="9"/>
  <c r="CA229" i="9" s="1"/>
  <c r="BX229" i="9"/>
  <c r="CA264" i="9"/>
  <c r="BS276" i="9"/>
  <c r="BS280" i="9"/>
  <c r="BS279" i="9" s="1"/>
  <c r="BX246" i="9"/>
  <c r="BX245" i="9" s="1"/>
  <c r="BX211" i="9"/>
  <c r="BX210" i="9" s="1"/>
  <c r="BX209" i="9" s="1"/>
  <c r="BX191" i="9"/>
  <c r="BS192" i="9"/>
  <c r="CA193" i="9"/>
  <c r="BX203" i="9"/>
  <c r="BS178" i="9"/>
  <c r="BS274" i="9"/>
  <c r="BX272" i="9"/>
  <c r="BX271" i="9" s="1"/>
  <c r="CA274" i="9"/>
  <c r="BS230" i="9"/>
  <c r="BP229" i="9"/>
  <c r="CA186" i="9"/>
  <c r="CA185" i="9" s="1"/>
  <c r="BX185" i="9"/>
  <c r="BX184" i="9" s="1"/>
  <c r="Z263" i="9"/>
  <c r="Z255" i="9"/>
  <c r="BS282" i="9"/>
  <c r="BP263" i="9"/>
  <c r="CA253" i="9"/>
  <c r="CA252" i="9" s="1"/>
  <c r="CA251" i="9" s="1"/>
  <c r="BP255" i="9"/>
  <c r="BS247" i="9"/>
  <c r="BQ203" i="9"/>
  <c r="BS221" i="9"/>
  <c r="CA196" i="9"/>
  <c r="BS189" i="9"/>
  <c r="BS188" i="9" s="1"/>
  <c r="BS213" i="9"/>
  <c r="BP195" i="9"/>
  <c r="BQ195" i="9"/>
  <c r="BY195" i="9"/>
  <c r="BP203" i="9"/>
  <c r="CA178" i="9"/>
  <c r="CA290" i="9"/>
  <c r="BX289" i="9"/>
  <c r="BX288" i="9" s="1"/>
  <c r="CA282" i="9"/>
  <c r="CA234" i="9"/>
  <c r="BX233" i="9"/>
  <c r="BS264" i="9"/>
  <c r="BS256" i="9"/>
  <c r="BP246" i="9"/>
  <c r="BP245" i="9" s="1"/>
  <c r="BP220" i="9"/>
  <c r="CA189" i="9"/>
  <c r="BS204" i="9"/>
  <c r="BS253" i="9"/>
  <c r="BS252" i="9" s="1"/>
  <c r="BS251" i="9" s="1"/>
  <c r="BP252" i="9"/>
  <c r="BP251" i="9" s="1"/>
  <c r="BS290" i="9"/>
  <c r="BP289" i="9"/>
  <c r="BP288" i="9" s="1"/>
  <c r="BS295" i="9"/>
  <c r="BS294" i="9" s="1"/>
  <c r="BP294" i="9"/>
  <c r="BS234" i="9"/>
  <c r="BP233" i="9"/>
  <c r="BS186" i="9"/>
  <c r="BS185" i="9" s="1"/>
  <c r="BP185" i="9"/>
  <c r="BS171" i="9"/>
  <c r="BP170" i="9"/>
  <c r="BP169" i="9" s="1"/>
  <c r="CA171" i="9"/>
  <c r="CA170" i="9" s="1"/>
  <c r="BX170" i="9"/>
  <c r="BX169" i="9" s="1"/>
  <c r="BP275" i="9"/>
  <c r="BP272" i="9" s="1"/>
  <c r="BP271" i="9" s="1"/>
  <c r="BP283" i="9"/>
  <c r="BP281" i="9" s="1"/>
  <c r="CA192" i="9"/>
  <c r="BP211" i="9"/>
  <c r="BP210" i="9" s="1"/>
  <c r="BP191" i="9"/>
  <c r="CA204" i="9"/>
  <c r="BP177" i="9"/>
  <c r="BS46" i="9"/>
  <c r="BP44" i="9"/>
  <c r="W32" i="9"/>
  <c r="W31" i="9" s="1"/>
  <c r="BS39" i="9"/>
  <c r="BS41" i="9"/>
  <c r="BP40" i="9"/>
  <c r="BS35" i="9"/>
  <c r="BS34" i="9" s="1"/>
  <c r="BS27" i="9"/>
  <c r="BS23" i="9"/>
  <c r="BS22" i="9" s="1"/>
  <c r="J25" i="7"/>
  <c r="J39" i="7" s="1"/>
  <c r="L65" i="1"/>
  <c r="O25" i="7"/>
  <c r="O39" i="7" s="1"/>
  <c r="K79" i="1"/>
  <c r="O41" i="7"/>
  <c r="R42" i="7"/>
  <c r="R41" i="7" s="1"/>
  <c r="J41" i="7"/>
  <c r="J50" i="7" s="1"/>
  <c r="CA82" i="9" l="1"/>
  <c r="BK242" i="9"/>
  <c r="Z338" i="13"/>
  <c r="N30" i="9"/>
  <c r="N15" i="9" s="1"/>
  <c r="N14" i="9" s="1"/>
  <c r="Q296" i="9"/>
  <c r="V181" i="9"/>
  <c r="V168" i="9" s="1"/>
  <c r="Z596" i="13"/>
  <c r="N246" i="13"/>
  <c r="Z31" i="13"/>
  <c r="Y99" i="11"/>
  <c r="Y102" i="11" s="1"/>
  <c r="W67" i="11"/>
  <c r="M46" i="11"/>
  <c r="M45" i="11" s="1"/>
  <c r="P74" i="1"/>
  <c r="N64" i="11"/>
  <c r="Y64" i="11" s="1"/>
  <c r="AA60" i="11"/>
  <c r="O66" i="11"/>
  <c r="K166" i="11"/>
  <c r="BW30" i="9"/>
  <c r="BW15" i="9" s="1"/>
  <c r="BW14" i="9" s="1"/>
  <c r="Y830" i="13"/>
  <c r="AB1023" i="13"/>
  <c r="Y545" i="13"/>
  <c r="Y1069" i="13"/>
  <c r="Z926" i="13"/>
  <c r="Z1076" i="13"/>
  <c r="Z951" i="13"/>
  <c r="Z605" i="13"/>
  <c r="BN244" i="9"/>
  <c r="Z438" i="13"/>
  <c r="Z530" i="13"/>
  <c r="Z368" i="13"/>
  <c r="Y361" i="13"/>
  <c r="BS170" i="9"/>
  <c r="BS169" i="9" s="1"/>
  <c r="Y691" i="13"/>
  <c r="Y1054" i="13"/>
  <c r="Y1072" i="13"/>
  <c r="M156" i="11"/>
  <c r="BU181" i="9"/>
  <c r="BU168" i="9" s="1"/>
  <c r="BU296" i="9" s="1"/>
  <c r="CA246" i="9"/>
  <c r="CA245" i="9" s="1"/>
  <c r="CA44" i="9"/>
  <c r="Z1085" i="13"/>
  <c r="Z1089" i="13"/>
  <c r="Z689" i="13"/>
  <c r="Z641" i="13"/>
  <c r="Z386" i="13"/>
  <c r="U30" i="9"/>
  <c r="U15" i="9" s="1"/>
  <c r="U14" i="9" s="1"/>
  <c r="U296" i="9" s="1"/>
  <c r="J30" i="9"/>
  <c r="J15" i="9" s="1"/>
  <c r="C16" i="16" s="1"/>
  <c r="C15" i="16" s="1"/>
  <c r="Y649" i="13"/>
  <c r="BS233" i="9"/>
  <c r="BS162" i="9"/>
  <c r="CA220" i="9"/>
  <c r="BP184" i="9"/>
  <c r="Z58" i="9"/>
  <c r="BX57" i="9"/>
  <c r="Y209" i="13"/>
  <c r="Y313" i="13"/>
  <c r="Y698" i="13"/>
  <c r="Y388" i="13"/>
  <c r="Y1074" i="13"/>
  <c r="Y1215" i="13"/>
  <c r="Z1041" i="13"/>
  <c r="Z1045" i="13"/>
  <c r="Z648" i="13"/>
  <c r="R181" i="9"/>
  <c r="R168" i="9" s="1"/>
  <c r="Z392" i="13"/>
  <c r="Z215" i="13"/>
  <c r="Z494" i="13"/>
  <c r="W143" i="11"/>
  <c r="W151" i="11" s="1"/>
  <c r="BI181" i="9"/>
  <c r="BI168" i="9" s="1"/>
  <c r="H106" i="11"/>
  <c r="H66" i="11"/>
  <c r="H45" i="11"/>
  <c r="H159" i="11"/>
  <c r="H158" i="11" s="1"/>
  <c r="M17" i="11"/>
  <c r="Y291" i="13"/>
  <c r="Z290" i="13"/>
  <c r="Z292" i="13"/>
  <c r="J704" i="13"/>
  <c r="Y187" i="13"/>
  <c r="Y211" i="13"/>
  <c r="Y844" i="13"/>
  <c r="Y930" i="13"/>
  <c r="Y604" i="13"/>
  <c r="Y492" i="13"/>
  <c r="Y404" i="13"/>
  <c r="Y28" i="13"/>
  <c r="Y920" i="13"/>
  <c r="Y1018" i="13"/>
  <c r="Y403" i="13"/>
  <c r="Y375" i="13"/>
  <c r="Y498" i="13"/>
  <c r="Y500" i="13"/>
  <c r="Y592" i="13"/>
  <c r="Y524" i="13"/>
  <c r="Y1066" i="13"/>
  <c r="Y1068" i="13"/>
  <c r="Y1094" i="13"/>
  <c r="Y1060" i="13"/>
  <c r="Y576" i="13"/>
  <c r="Y602" i="13"/>
  <c r="Z651" i="13"/>
  <c r="Z444" i="13"/>
  <c r="Y876" i="13"/>
  <c r="Y402" i="13"/>
  <c r="Y505" i="13"/>
  <c r="Y549" i="13"/>
  <c r="Y611" i="13"/>
  <c r="Y613" i="13"/>
  <c r="Y1065" i="13"/>
  <c r="Y339" i="13"/>
  <c r="Y310" i="13"/>
  <c r="Y53" i="13"/>
  <c r="Y675" i="13"/>
  <c r="Y714" i="13"/>
  <c r="Y1021" i="13"/>
  <c r="AB840" i="13"/>
  <c r="Y892" i="13"/>
  <c r="Y397" i="13"/>
  <c r="Y401" i="13"/>
  <c r="Y532" i="13"/>
  <c r="Y528" i="13"/>
  <c r="Y493" i="13"/>
  <c r="Y378" i="13"/>
  <c r="Y520" i="13"/>
  <c r="Y1075" i="13"/>
  <c r="Y1067" i="13"/>
  <c r="Y1070" i="13"/>
  <c r="Y1090" i="13"/>
  <c r="Y1049" i="13"/>
  <c r="Z936" i="13"/>
  <c r="Z1035" i="13"/>
  <c r="Z1220" i="13"/>
  <c r="Z543" i="13"/>
  <c r="Z504" i="13"/>
  <c r="Y710" i="13"/>
  <c r="Y715" i="13"/>
  <c r="Y932" i="13"/>
  <c r="Y415" i="13"/>
  <c r="Y434" i="13"/>
  <c r="Y569" i="13"/>
  <c r="Y508" i="13"/>
  <c r="Y400" i="13"/>
  <c r="Y297" i="13"/>
  <c r="Y690" i="13"/>
  <c r="Y656" i="13"/>
  <c r="Y671" i="13"/>
  <c r="Y871" i="13"/>
  <c r="Y978" i="13"/>
  <c r="Y957" i="13"/>
  <c r="Y941" i="13"/>
  <c r="Y928" i="13"/>
  <c r="Y424" i="13"/>
  <c r="Y451" i="13"/>
  <c r="Y534" i="13"/>
  <c r="Y541" i="13"/>
  <c r="Y497" i="13"/>
  <c r="Y556" i="13"/>
  <c r="Y1051" i="13"/>
  <c r="Y1053" i="13"/>
  <c r="Y1230" i="13"/>
  <c r="Y581" i="13"/>
  <c r="Z394" i="13"/>
  <c r="Z929" i="13"/>
  <c r="Z1046" i="13"/>
  <c r="Z1093" i="13"/>
  <c r="Z658" i="13"/>
  <c r="Z687" i="13"/>
  <c r="Z694" i="13"/>
  <c r="Z680" i="13"/>
  <c r="Z650" i="13"/>
  <c r="Z712" i="13"/>
  <c r="Z300" i="13"/>
  <c r="Z425" i="13"/>
  <c r="Z449" i="13"/>
  <c r="Z590" i="13"/>
  <c r="Z600" i="13"/>
  <c r="Z599" i="13"/>
  <c r="N586" i="13"/>
  <c r="Z573" i="13"/>
  <c r="Z562" i="13"/>
  <c r="Z408" i="13"/>
  <c r="Z216" i="13"/>
  <c r="Z174" i="13"/>
  <c r="Y222" i="13"/>
  <c r="Y30" i="13"/>
  <c r="Y653" i="13"/>
  <c r="Z149" i="13"/>
  <c r="Z147" i="13" s="1"/>
  <c r="Y527" i="13"/>
  <c r="Y561" i="13"/>
  <c r="Y550" i="13"/>
  <c r="Y560" i="13"/>
  <c r="Y1047" i="13"/>
  <c r="Y1077" i="13"/>
  <c r="Y410" i="13"/>
  <c r="N357" i="13"/>
  <c r="Y217" i="13"/>
  <c r="Y288" i="13"/>
  <c r="Y135" i="13"/>
  <c r="Y284" i="13"/>
  <c r="Y660" i="13"/>
  <c r="Y669" i="13"/>
  <c r="Y149" i="13"/>
  <c r="Y147" i="13" s="1"/>
  <c r="Y938" i="13"/>
  <c r="Y934" i="13"/>
  <c r="Y891" i="13"/>
  <c r="Y879" i="13"/>
  <c r="Y398" i="13"/>
  <c r="Y416" i="13"/>
  <c r="Y584" i="13"/>
  <c r="Y538" i="13"/>
  <c r="Y367" i="13"/>
  <c r="Y1086" i="13"/>
  <c r="Y1038" i="13"/>
  <c r="Y558" i="13"/>
  <c r="Y554" i="13"/>
  <c r="Y608" i="13"/>
  <c r="Y563" i="13"/>
  <c r="Z818" i="13"/>
  <c r="Z1052" i="13"/>
  <c r="Z1081" i="13"/>
  <c r="Z902" i="13"/>
  <c r="Z1219" i="13"/>
  <c r="Z696" i="13"/>
  <c r="Z644" i="13"/>
  <c r="Z709" i="13"/>
  <c r="Z311" i="13"/>
  <c r="Z301" i="13"/>
  <c r="Z443" i="13"/>
  <c r="Z553" i="13"/>
  <c r="Z273" i="13"/>
  <c r="Z246" i="13" s="1"/>
  <c r="Y249" i="13"/>
  <c r="Z219" i="13"/>
  <c r="BN154" i="9"/>
  <c r="BN153" i="9" s="1"/>
  <c r="BJ57" i="9"/>
  <c r="BJ30" i="9" s="1"/>
  <c r="BJ15" i="9" s="1"/>
  <c r="BJ14" i="9" s="1"/>
  <c r="BS145" i="9"/>
  <c r="W166" i="11"/>
  <c r="T38" i="16"/>
  <c r="Q32" i="16"/>
  <c r="T32" i="16" s="1"/>
  <c r="BH30" i="9"/>
  <c r="BH15" i="9" s="1"/>
  <c r="BH14" i="9" s="1"/>
  <c r="BH296" i="9" s="1"/>
  <c r="BJ181" i="9"/>
  <c r="BJ168" i="9" s="1"/>
  <c r="Y132" i="13"/>
  <c r="O15" i="13"/>
  <c r="O1234" i="13" s="1"/>
  <c r="K17" i="15"/>
  <c r="I43" i="15"/>
  <c r="Y31" i="15"/>
  <c r="V50" i="16"/>
  <c r="W50" i="16"/>
  <c r="X50" i="16"/>
  <c r="Y1043" i="13"/>
  <c r="Z136" i="13"/>
  <c r="Y127" i="13"/>
  <c r="Y324" i="13"/>
  <c r="Z328" i="13"/>
  <c r="Y123" i="13"/>
  <c r="Z125" i="13"/>
  <c r="Z128" i="13"/>
  <c r="BC30" i="9"/>
  <c r="BC15" i="9" s="1"/>
  <c r="BC14" i="9" s="1"/>
  <c r="BC296" i="9" s="1"/>
  <c r="Y655" i="13"/>
  <c r="Z645" i="13"/>
  <c r="Y697" i="13"/>
  <c r="Y679" i="13"/>
  <c r="Y683" i="13"/>
  <c r="Y681" i="13"/>
  <c r="Z674" i="13"/>
  <c r="Y670" i="13"/>
  <c r="Z672" i="13"/>
  <c r="Z678" i="13"/>
  <c r="Y664" i="13"/>
  <c r="Y692" i="13"/>
  <c r="Y716" i="13"/>
  <c r="Z711" i="13"/>
  <c r="Y633" i="13"/>
  <c r="Y673" i="13"/>
  <c r="Y635" i="13"/>
  <c r="Y663" i="13"/>
  <c r="Y701" i="13"/>
  <c r="Y631" i="13"/>
  <c r="Y677" i="13"/>
  <c r="Y638" i="13"/>
  <c r="Z667" i="13"/>
  <c r="AB22" i="11"/>
  <c r="BY208" i="9"/>
  <c r="V46" i="11"/>
  <c r="X58" i="11"/>
  <c r="Z579" i="13"/>
  <c r="Y578" i="13"/>
  <c r="Y574" i="13"/>
  <c r="BD30" i="9"/>
  <c r="BD15" i="9" s="1"/>
  <c r="BD14" i="9" s="1"/>
  <c r="V68" i="11"/>
  <c r="V106" i="11" s="1"/>
  <c r="BD181" i="9"/>
  <c r="BD168" i="9" s="1"/>
  <c r="V15" i="13"/>
  <c r="V1234" i="13" s="1"/>
  <c r="Y309" i="13"/>
  <c r="Z212" i="13"/>
  <c r="Y210" i="13"/>
  <c r="Z213" i="13"/>
  <c r="Z214" i="13"/>
  <c r="Y226" i="13"/>
  <c r="Z224" i="13"/>
  <c r="Z221" i="13"/>
  <c r="BF181" i="9"/>
  <c r="BF168" i="9" s="1"/>
  <c r="Z121" i="13"/>
  <c r="Z133" i="13"/>
  <c r="Z137" i="13"/>
  <c r="Y273" i="13"/>
  <c r="I16" i="13"/>
  <c r="Z142" i="13"/>
  <c r="Y139" i="13"/>
  <c r="Z306" i="13"/>
  <c r="Y349" i="13"/>
  <c r="Z71" i="13"/>
  <c r="Z409" i="13"/>
  <c r="Z422" i="13"/>
  <c r="Y518" i="13"/>
  <c r="Y522" i="13"/>
  <c r="Z523" i="13"/>
  <c r="Y525" i="13"/>
  <c r="Y559" i="13"/>
  <c r="Y1011" i="13"/>
  <c r="Y1009" i="13"/>
  <c r="Z904" i="13"/>
  <c r="Y1015" i="13"/>
  <c r="Y566" i="13"/>
  <c r="Y564" i="13"/>
  <c r="Z557" i="13"/>
  <c r="Y540" i="13"/>
  <c r="Z536" i="13"/>
  <c r="Z516" i="13"/>
  <c r="Z45" i="13"/>
  <c r="Z514" i="13"/>
  <c r="Z413" i="13"/>
  <c r="Z74" i="13"/>
  <c r="Y80" i="13"/>
  <c r="Y423" i="13"/>
  <c r="Y430" i="13"/>
  <c r="Y429" i="13"/>
  <c r="Z69" i="13"/>
  <c r="Z539" i="13"/>
  <c r="Y70" i="13"/>
  <c r="Y78" i="13"/>
  <c r="Y547" i="13"/>
  <c r="Y552" i="13"/>
  <c r="Z551" i="13"/>
  <c r="Y572" i="13"/>
  <c r="Y1005" i="13"/>
  <c r="Y994" i="13"/>
  <c r="Y873" i="13"/>
  <c r="Y869" i="13"/>
  <c r="Y853" i="13"/>
  <c r="Z851" i="13"/>
  <c r="Y1232" i="13"/>
  <c r="Y1224" i="13"/>
  <c r="Z911" i="13"/>
  <c r="X167" i="11"/>
  <c r="AB167" i="11" s="1"/>
  <c r="Y955" i="13"/>
  <c r="Y316" i="13"/>
  <c r="V166" i="11"/>
  <c r="X170" i="11"/>
  <c r="AB170" i="11" s="1"/>
  <c r="Y870" i="13"/>
  <c r="Y906" i="13"/>
  <c r="Y881" i="13"/>
  <c r="Z914" i="13"/>
  <c r="Z907" i="13"/>
  <c r="Z890" i="13"/>
  <c r="Z894" i="13"/>
  <c r="Y883" i="13"/>
  <c r="Y804" i="13"/>
  <c r="Y855" i="13"/>
  <c r="Y905" i="13"/>
  <c r="Z964" i="13"/>
  <c r="Z802" i="13"/>
  <c r="BN243" i="9"/>
  <c r="BN242" i="9" s="1"/>
  <c r="U166" i="11"/>
  <c r="X945" i="13"/>
  <c r="BB57" i="9"/>
  <c r="BN32" i="9"/>
  <c r="BN31" i="9" s="1"/>
  <c r="Y129" i="13"/>
  <c r="C83" i="1"/>
  <c r="C81" i="1" s="1"/>
  <c r="E180" i="16"/>
  <c r="C180" i="16"/>
  <c r="R30" i="9"/>
  <c r="R15" i="9" s="1"/>
  <c r="R14" i="9" s="1"/>
  <c r="R296" i="9" s="1"/>
  <c r="CA132" i="9"/>
  <c r="CA130" i="9" s="1"/>
  <c r="BF30" i="9"/>
  <c r="BF15" i="9" s="1"/>
  <c r="BF14" i="9" s="1"/>
  <c r="CA169" i="9"/>
  <c r="CA233" i="9"/>
  <c r="CA226" i="9" s="1"/>
  <c r="CA177" i="9"/>
  <c r="BS220" i="9"/>
  <c r="CA283" i="9"/>
  <c r="BZ33" i="9"/>
  <c r="BZ32" i="9" s="1"/>
  <c r="BZ31" i="9" s="1"/>
  <c r="X91" i="9"/>
  <c r="BR32" i="9"/>
  <c r="BR31" i="9" s="1"/>
  <c r="BS138" i="9"/>
  <c r="BS137" i="9" s="1"/>
  <c r="W208" i="9"/>
  <c r="W181" i="9" s="1"/>
  <c r="W168" i="9" s="1"/>
  <c r="BS78" i="9"/>
  <c r="BS75" i="9" s="1"/>
  <c r="BQ209" i="9"/>
  <c r="BQ208" i="9" s="1"/>
  <c r="BN58" i="9"/>
  <c r="BN57" i="9" s="1"/>
  <c r="BO296" i="9"/>
  <c r="O47" i="1"/>
  <c r="D130" i="16"/>
  <c r="D134" i="16"/>
  <c r="M155" i="16"/>
  <c r="E78" i="1"/>
  <c r="E76" i="1" s="1"/>
  <c r="E155" i="16"/>
  <c r="N28" i="11"/>
  <c r="Y29" i="11"/>
  <c r="Y28" i="11" s="1"/>
  <c r="Z29" i="11"/>
  <c r="Z28" i="11" s="1"/>
  <c r="BS195" i="9"/>
  <c r="CA188" i="9"/>
  <c r="CA184" i="9" s="1"/>
  <c r="BS229" i="9"/>
  <c r="BS226" i="9" s="1"/>
  <c r="Z209" i="9"/>
  <c r="Z208" i="9" s="1"/>
  <c r="V296" i="9"/>
  <c r="BZ208" i="9"/>
  <c r="BZ183" i="9"/>
  <c r="BZ182" i="9" s="1"/>
  <c r="BX33" i="9"/>
  <c r="BX32" i="9" s="1"/>
  <c r="BX31" i="9" s="1"/>
  <c r="BK181" i="9"/>
  <c r="BK168" i="9" s="1"/>
  <c r="M47" i="1" s="1"/>
  <c r="M46" i="1" s="1"/>
  <c r="CA69" i="9"/>
  <c r="BX93" i="9"/>
  <c r="BX92" i="9" s="1"/>
  <c r="BX91" i="9" s="1"/>
  <c r="CA255" i="9"/>
  <c r="CA244" i="9" s="1"/>
  <c r="T296" i="9"/>
  <c r="M104" i="11"/>
  <c r="Z22" i="11"/>
  <c r="Y725" i="13"/>
  <c r="N704" i="13"/>
  <c r="M66" i="11"/>
  <c r="M78" i="1"/>
  <c r="Q155" i="16"/>
  <c r="BL57" i="9"/>
  <c r="BL30" i="9" s="1"/>
  <c r="BL15" i="9" s="1"/>
  <c r="R16" i="16" s="1"/>
  <c r="R15" i="16" s="1"/>
  <c r="R14" i="16" s="1"/>
  <c r="R155" i="16"/>
  <c r="R134" i="16" s="1"/>
  <c r="N78" i="1"/>
  <c r="X57" i="9"/>
  <c r="X30" i="9" s="1"/>
  <c r="X15" i="9" s="1"/>
  <c r="Z154" i="9"/>
  <c r="Z153" i="9" s="1"/>
  <c r="Z725" i="13"/>
  <c r="Y713" i="13"/>
  <c r="H32" i="1"/>
  <c r="K32" i="1" s="1"/>
  <c r="L32" i="1" s="1"/>
  <c r="K235" i="15"/>
  <c r="Z724" i="13"/>
  <c r="BB181" i="9"/>
  <c r="BB168" i="9" s="1"/>
  <c r="Y112" i="13"/>
  <c r="Z342" i="13"/>
  <c r="Y302" i="13"/>
  <c r="Y303" i="13"/>
  <c r="Y97" i="13"/>
  <c r="Y336" i="13"/>
  <c r="Z93" i="13"/>
  <c r="Y85" i="13"/>
  <c r="Y319" i="13"/>
  <c r="Y325" i="13"/>
  <c r="Y834" i="13"/>
  <c r="Y1218" i="13"/>
  <c r="Y1228" i="13"/>
  <c r="Z1221" i="13"/>
  <c r="AB146" i="13"/>
  <c r="Z304" i="13"/>
  <c r="Y454" i="13"/>
  <c r="Y448" i="13"/>
  <c r="Y442" i="13"/>
  <c r="Z447" i="13"/>
  <c r="Y431" i="13"/>
  <c r="Z433" i="13"/>
  <c r="Y419" i="13"/>
  <c r="Y432" i="13"/>
  <c r="AB18" i="13"/>
  <c r="Y354" i="13"/>
  <c r="Y348" i="13"/>
  <c r="Z351" i="13"/>
  <c r="Y347" i="13"/>
  <c r="Y104" i="13"/>
  <c r="Z344" i="13"/>
  <c r="Z343" i="13"/>
  <c r="Y340" i="13"/>
  <c r="Y88" i="13"/>
  <c r="Z95" i="13"/>
  <c r="Y333" i="13"/>
  <c r="Y346" i="13"/>
  <c r="Y83" i="13"/>
  <c r="Y321" i="13"/>
  <c r="Y91" i="13"/>
  <c r="Y110" i="13"/>
  <c r="Y82" i="13"/>
  <c r="Z84" i="13"/>
  <c r="Z329" i="13"/>
  <c r="Z327" i="13"/>
  <c r="Z350" i="13"/>
  <c r="Y320" i="13"/>
  <c r="Y99" i="13"/>
  <c r="Y323" i="13"/>
  <c r="Y107" i="13"/>
  <c r="Y103" i="13"/>
  <c r="Y90" i="13"/>
  <c r="Y105" i="13"/>
  <c r="Z322" i="13"/>
  <c r="Z330" i="13"/>
  <c r="Z345" i="13"/>
  <c r="CA95" i="9"/>
  <c r="CA94" i="9" s="1"/>
  <c r="N24" i="11"/>
  <c r="Y26" i="11"/>
  <c r="Y24" i="11" s="1"/>
  <c r="T180" i="16"/>
  <c r="R159" i="16"/>
  <c r="T159" i="16" s="1"/>
  <c r="Q46" i="16"/>
  <c r="M36" i="1"/>
  <c r="AB174" i="11"/>
  <c r="N143" i="11"/>
  <c r="Y143" i="11" s="1"/>
  <c r="AA160" i="11"/>
  <c r="K160" i="11"/>
  <c r="Z50" i="11"/>
  <c r="N168" i="11"/>
  <c r="Y168" i="11" s="1"/>
  <c r="X111" i="11"/>
  <c r="Z49" i="11"/>
  <c r="AA46" i="11"/>
  <c r="AA45" i="11" s="1"/>
  <c r="AB1128" i="13"/>
  <c r="Y1212" i="13"/>
  <c r="Z1211" i="13"/>
  <c r="Y1213" i="13"/>
  <c r="Z815" i="13"/>
  <c r="Y1014" i="13"/>
  <c r="Y962" i="13"/>
  <c r="Z1017" i="13"/>
  <c r="Y968" i="13"/>
  <c r="Y989" i="13"/>
  <c r="Y996" i="13"/>
  <c r="Y794" i="13"/>
  <c r="Z1006" i="13"/>
  <c r="Z987" i="13"/>
  <c r="Z990" i="13"/>
  <c r="Y850" i="13"/>
  <c r="Y893" i="13"/>
  <c r="Y877" i="13"/>
  <c r="Y860" i="13"/>
  <c r="Y898" i="13"/>
  <c r="Z909" i="13"/>
  <c r="Z854" i="13"/>
  <c r="Z866" i="13"/>
  <c r="Z868" i="13"/>
  <c r="Y896" i="13"/>
  <c r="Y805" i="13"/>
  <c r="Y882" i="13"/>
  <c r="Y580" i="13"/>
  <c r="I275" i="13"/>
  <c r="Y575" i="13"/>
  <c r="Y577" i="13"/>
  <c r="Y606" i="13"/>
  <c r="Y131" i="13"/>
  <c r="AB117" i="13"/>
  <c r="Z140" i="13"/>
  <c r="Z124" i="13"/>
  <c r="Z597" i="13"/>
  <c r="Z593" i="13"/>
  <c r="Y144" i="13"/>
  <c r="Y130" i="13"/>
  <c r="U15" i="13"/>
  <c r="U1234" i="13" s="1"/>
  <c r="Y109" i="13"/>
  <c r="Y450" i="13"/>
  <c r="Y111" i="13"/>
  <c r="Z108" i="13"/>
  <c r="Z94" i="13"/>
  <c r="Y428" i="13"/>
  <c r="Y427" i="13"/>
  <c r="Z81" i="13"/>
  <c r="Y420" i="13"/>
  <c r="Y87" i="13"/>
  <c r="Y436" i="13"/>
  <c r="Y421" i="13"/>
  <c r="Z89" i="13"/>
  <c r="Y294" i="13"/>
  <c r="Y51" i="13"/>
  <c r="N42" i="13"/>
  <c r="R15" i="13"/>
  <c r="R1234" i="13" s="1"/>
  <c r="Y77" i="13"/>
  <c r="Y257" i="15"/>
  <c r="Z965" i="13"/>
  <c r="Y861" i="13"/>
  <c r="Z864" i="13"/>
  <c r="Y863" i="13"/>
  <c r="Z862" i="13"/>
  <c r="Z857" i="13"/>
  <c r="Y785" i="13"/>
  <c r="Y791" i="13"/>
  <c r="Z782" i="13"/>
  <c r="Y639" i="13"/>
  <c r="Y676" i="13"/>
  <c r="N627" i="13"/>
  <c r="Y695" i="13"/>
  <c r="Y640" i="13"/>
  <c r="Y647" i="13"/>
  <c r="Y637" i="13"/>
  <c r="Z657" i="13"/>
  <c r="Z668" i="13"/>
  <c r="Z686" i="13"/>
  <c r="Z662" i="13"/>
  <c r="Z685" i="13"/>
  <c r="Z666" i="13"/>
  <c r="Z693" i="13"/>
  <c r="S16" i="13"/>
  <c r="H372" i="15"/>
  <c r="Z257" i="15"/>
  <c r="BY244" i="9"/>
  <c r="BY243" i="9" s="1"/>
  <c r="BY242" i="9" s="1"/>
  <c r="BY93" i="9"/>
  <c r="BY92" i="9" s="1"/>
  <c r="BY91" i="9" s="1"/>
  <c r="BN93" i="9"/>
  <c r="BN92" i="9" s="1"/>
  <c r="BN91" i="9" s="1"/>
  <c r="BS95" i="9"/>
  <c r="BS94" i="9" s="1"/>
  <c r="BB30" i="9"/>
  <c r="BB15" i="9" s="1"/>
  <c r="BB14" i="9" s="1"/>
  <c r="AB21" i="11"/>
  <c r="X19" i="11"/>
  <c r="X17" i="11" s="1"/>
  <c r="BL181" i="9"/>
  <c r="BL168" i="9" s="1"/>
  <c r="BY183" i="9"/>
  <c r="BY182" i="9" s="1"/>
  <c r="U68" i="11"/>
  <c r="U106" i="11" s="1"/>
  <c r="AZ30" i="9"/>
  <c r="AZ15" i="9" s="1"/>
  <c r="AZ14" i="9" s="1"/>
  <c r="AZ296" i="9" s="1"/>
  <c r="U105" i="11"/>
  <c r="U154" i="11" s="1"/>
  <c r="AB20" i="11"/>
  <c r="Z743" i="13"/>
  <c r="Y1029" i="13"/>
  <c r="Y976" i="13"/>
  <c r="Z977" i="13"/>
  <c r="Z984" i="13"/>
  <c r="Y986" i="13"/>
  <c r="Y999" i="13"/>
  <c r="Y992" i="13"/>
  <c r="Y781" i="13"/>
  <c r="Y1001" i="13"/>
  <c r="Y995" i="13"/>
  <c r="Y998" i="13"/>
  <c r="Z1000" i="13"/>
  <c r="Z993" i="13"/>
  <c r="Y1007" i="13"/>
  <c r="Z1016" i="13"/>
  <c r="Y1013" i="13"/>
  <c r="Y1010" i="13"/>
  <c r="Z980" i="13"/>
  <c r="Y975" i="13"/>
  <c r="Z961" i="13"/>
  <c r="Z971" i="13"/>
  <c r="Z983" i="13"/>
  <c r="Y763" i="13"/>
  <c r="Z982" i="13"/>
  <c r="Y900" i="13"/>
  <c r="Z875" i="13"/>
  <c r="Y903" i="13"/>
  <c r="G83" i="1"/>
  <c r="U16" i="15"/>
  <c r="U372" i="15" s="1"/>
  <c r="V16" i="15"/>
  <c r="V372" i="15" s="1"/>
  <c r="J23" i="15"/>
  <c r="N23" i="15" s="1"/>
  <c r="Z23" i="15" s="1"/>
  <c r="Y1083" i="13"/>
  <c r="Y1059" i="13"/>
  <c r="Y1044" i="13"/>
  <c r="Y1037" i="13"/>
  <c r="Y1034" i="13"/>
  <c r="Z959" i="13"/>
  <c r="Z899" i="13"/>
  <c r="Y756" i="13"/>
  <c r="Y852" i="13"/>
  <c r="Z747" i="13"/>
  <c r="Z846" i="13"/>
  <c r="BS275" i="9"/>
  <c r="BS272" i="9" s="1"/>
  <c r="BS271" i="9" s="1"/>
  <c r="BS255" i="9"/>
  <c r="BQ244" i="9"/>
  <c r="BQ243" i="9" s="1"/>
  <c r="BQ242" i="9" s="1"/>
  <c r="Z174" i="11"/>
  <c r="X208" i="9"/>
  <c r="Z184" i="9"/>
  <c r="Z183" i="9" s="1"/>
  <c r="Z182" i="9" s="1"/>
  <c r="AB42" i="13"/>
  <c r="X275" i="13"/>
  <c r="X16" i="13"/>
  <c r="O266" i="15"/>
  <c r="O265" i="15" s="1"/>
  <c r="Y1216" i="13"/>
  <c r="Y1223" i="13"/>
  <c r="Y1225" i="13"/>
  <c r="Y1217" i="13"/>
  <c r="Y806" i="13"/>
  <c r="Y779" i="13"/>
  <c r="Y777" i="13"/>
  <c r="Y780" i="13"/>
  <c r="Z753" i="13"/>
  <c r="Y741" i="13"/>
  <c r="S945" i="13"/>
  <c r="Z884" i="13"/>
  <c r="Z771" i="13"/>
  <c r="Z748" i="13"/>
  <c r="Z739" i="13"/>
  <c r="Z819" i="13"/>
  <c r="Y821" i="13"/>
  <c r="Y824" i="13"/>
  <c r="Y831" i="13"/>
  <c r="Y800" i="13"/>
  <c r="Z801" i="13"/>
  <c r="Z803" i="13"/>
  <c r="Y789" i="13"/>
  <c r="Z761" i="13"/>
  <c r="Y886" i="13"/>
  <c r="Z887" i="13"/>
  <c r="Y787" i="13"/>
  <c r="Y880" i="13"/>
  <c r="Y784" i="13"/>
  <c r="Y783" i="13"/>
  <c r="Y908" i="13"/>
  <c r="Z910" i="13"/>
  <c r="Z822" i="13"/>
  <c r="Y836" i="13"/>
  <c r="Y833" i="13"/>
  <c r="Z1097" i="13"/>
  <c r="Y799" i="13"/>
  <c r="Z797" i="13"/>
  <c r="Z793" i="13"/>
  <c r="Y778" i="13"/>
  <c r="Y776" i="13"/>
  <c r="Z1063" i="13"/>
  <c r="Z1062" i="13"/>
  <c r="Z768" i="13"/>
  <c r="Z1056" i="13"/>
  <c r="Y766" i="13"/>
  <c r="Y765" i="13"/>
  <c r="Z759" i="13"/>
  <c r="Z755" i="13"/>
  <c r="S734" i="13"/>
  <c r="S733" i="13" s="1"/>
  <c r="AB946" i="13"/>
  <c r="Y798" i="13"/>
  <c r="Y1003" i="13"/>
  <c r="Y788" i="13"/>
  <c r="Y997" i="13"/>
  <c r="Y988" i="13"/>
  <c r="Y991" i="13"/>
  <c r="Y774" i="13"/>
  <c r="Y973" i="13"/>
  <c r="Y967" i="13"/>
  <c r="Y960" i="13"/>
  <c r="Y749" i="13"/>
  <c r="Y750" i="13"/>
  <c r="Y970" i="13"/>
  <c r="Y827" i="13"/>
  <c r="Y923" i="13"/>
  <c r="Y825" i="13"/>
  <c r="Y931" i="13"/>
  <c r="L1234" i="13"/>
  <c r="Y943" i="13"/>
  <c r="Y924" i="13"/>
  <c r="Z838" i="13"/>
  <c r="Y922" i="13"/>
  <c r="Y817" i="13"/>
  <c r="Y626" i="13"/>
  <c r="N381" i="13"/>
  <c r="Y391" i="13"/>
  <c r="S275" i="13"/>
  <c r="Y786" i="13"/>
  <c r="Z758" i="13"/>
  <c r="Z752" i="13"/>
  <c r="I945" i="13"/>
  <c r="Z746" i="13"/>
  <c r="Z1082" i="13"/>
  <c r="Y775" i="13"/>
  <c r="Z772" i="13"/>
  <c r="Z1088" i="13"/>
  <c r="Z745" i="13"/>
  <c r="Y1026" i="13"/>
  <c r="Z795" i="13"/>
  <c r="Y770" i="13"/>
  <c r="Y1012" i="13"/>
  <c r="Y953" i="13"/>
  <c r="N948" i="13"/>
  <c r="N947" i="13" s="1"/>
  <c r="Y885" i="13"/>
  <c r="I734" i="13"/>
  <c r="I733" i="13" s="1"/>
  <c r="Y757" i="13"/>
  <c r="J840" i="13"/>
  <c r="Z848" i="13"/>
  <c r="M17" i="15"/>
  <c r="M16" i="15" s="1"/>
  <c r="M372" i="15" s="1"/>
  <c r="CA75" i="9"/>
  <c r="CA104" i="9"/>
  <c r="O105" i="11"/>
  <c r="O104" i="11" s="1"/>
  <c r="BS104" i="9"/>
  <c r="BK57" i="9"/>
  <c r="CA34" i="9"/>
  <c r="CA33" i="9" s="1"/>
  <c r="CA32" i="9" s="1"/>
  <c r="CA31" i="9" s="1"/>
  <c r="Q160" i="11"/>
  <c r="Z129" i="11"/>
  <c r="S137" i="11"/>
  <c r="AB137" i="11" s="1"/>
  <c r="Z124" i="11"/>
  <c r="V133" i="11"/>
  <c r="Y22" i="11"/>
  <c r="W60" i="11"/>
  <c r="W160" i="11" s="1"/>
  <c r="BY32" i="9"/>
  <c r="BY31" i="9" s="1"/>
  <c r="BK91" i="9"/>
  <c r="CA162" i="9"/>
  <c r="CA154" i="9" s="1"/>
  <c r="CA153" i="9" s="1"/>
  <c r="Z244" i="9"/>
  <c r="Z243" i="9" s="1"/>
  <c r="Z242" i="9" s="1"/>
  <c r="J208" i="9"/>
  <c r="J181" i="9" s="1"/>
  <c r="J168" i="9" s="1"/>
  <c r="C47" i="1" s="1"/>
  <c r="C46" i="1" s="1"/>
  <c r="BY58" i="9"/>
  <c r="BY57" i="9" s="1"/>
  <c r="CA60" i="9"/>
  <c r="CA59" i="9" s="1"/>
  <c r="Z170" i="11"/>
  <c r="G33" i="1"/>
  <c r="L33" i="1" s="1"/>
  <c r="AB40" i="15"/>
  <c r="AB19" i="15" s="1"/>
  <c r="AB102" i="11"/>
  <c r="AB101" i="11" s="1"/>
  <c r="L79" i="1"/>
  <c r="M15" i="13"/>
  <c r="M1234" i="13" s="1"/>
  <c r="X703" i="13"/>
  <c r="Q15" i="13"/>
  <c r="Q1234" i="13" s="1"/>
  <c r="U69" i="11"/>
  <c r="M154" i="11"/>
  <c r="I81" i="1"/>
  <c r="AB171" i="11"/>
  <c r="C18" i="14"/>
  <c r="C17" i="14"/>
  <c r="N58" i="11"/>
  <c r="Y58" i="11" s="1"/>
  <c r="G46" i="11"/>
  <c r="G159" i="11" s="1"/>
  <c r="N151" i="11"/>
  <c r="Y151" i="11" s="1"/>
  <c r="Z139" i="11"/>
  <c r="BS203" i="9"/>
  <c r="CA289" i="9"/>
  <c r="CA288" i="9" s="1"/>
  <c r="CA195" i="9"/>
  <c r="BP120" i="9"/>
  <c r="BP145" i="9"/>
  <c r="BS26" i="9"/>
  <c r="BS40" i="9"/>
  <c r="BS44" i="9"/>
  <c r="BS263" i="9"/>
  <c r="BS246" i="9"/>
  <c r="BS245" i="9" s="1"/>
  <c r="CA112" i="9"/>
  <c r="BS158" i="9"/>
  <c r="CA203" i="9"/>
  <c r="BS211" i="9"/>
  <c r="BS210" i="9" s="1"/>
  <c r="BQ93" i="9"/>
  <c r="BQ92" i="9" s="1"/>
  <c r="BQ91" i="9" s="1"/>
  <c r="S19" i="11"/>
  <c r="S17" i="11" s="1"/>
  <c r="AP296" i="9"/>
  <c r="BX145" i="9"/>
  <c r="K1234" i="13"/>
  <c r="D18" i="14"/>
  <c r="AB118" i="15"/>
  <c r="D17" i="14"/>
  <c r="K105" i="11"/>
  <c r="G68" i="11"/>
  <c r="I68" i="11" s="1"/>
  <c r="I106" i="11" s="1"/>
  <c r="AA67" i="11"/>
  <c r="K69" i="11"/>
  <c r="K107" i="11" s="1"/>
  <c r="K156" i="11" s="1"/>
  <c r="Q105" i="11"/>
  <c r="Q154" i="11" s="1"/>
  <c r="P69" i="11"/>
  <c r="V107" i="11"/>
  <c r="V156" i="11" s="1"/>
  <c r="W69" i="11"/>
  <c r="W107" i="11" s="1"/>
  <c r="W68" i="11"/>
  <c r="W106" i="11" s="1"/>
  <c r="G67" i="11"/>
  <c r="G105" i="11" s="1"/>
  <c r="K68" i="11"/>
  <c r="G17" i="15"/>
  <c r="G16" i="15" s="1"/>
  <c r="T15" i="13"/>
  <c r="T1234" i="13" s="1"/>
  <c r="X266" i="15"/>
  <c r="X265" i="15" s="1"/>
  <c r="AB346" i="15"/>
  <c r="AB343" i="15" s="1"/>
  <c r="Z359" i="13"/>
  <c r="Z357" i="13" s="1"/>
  <c r="Y359" i="13"/>
  <c r="Y357" i="13" s="1"/>
  <c r="Z489" i="13"/>
  <c r="N487" i="13"/>
  <c r="Q16" i="15"/>
  <c r="Q372" i="15" s="1"/>
  <c r="G266" i="15"/>
  <c r="G265" i="15" s="1"/>
  <c r="AB45" i="15"/>
  <c r="AB43" i="15" s="1"/>
  <c r="T16" i="15"/>
  <c r="T372" i="15" s="1"/>
  <c r="Z726" i="13"/>
  <c r="S19" i="15"/>
  <c r="W15" i="13"/>
  <c r="W1234" i="13" s="1"/>
  <c r="X17" i="15"/>
  <c r="Y50" i="15"/>
  <c r="Y30" i="15"/>
  <c r="Y101" i="15"/>
  <c r="Y315" i="15"/>
  <c r="Y137" i="15"/>
  <c r="Y57" i="15"/>
  <c r="Y136" i="15"/>
  <c r="Y78" i="15"/>
  <c r="Y143" i="15"/>
  <c r="Y351" i="15"/>
  <c r="Y109" i="15"/>
  <c r="Y298" i="15"/>
  <c r="Y107" i="15"/>
  <c r="Z40" i="15"/>
  <c r="Z22" i="13"/>
  <c r="N18" i="13"/>
  <c r="Y81" i="15"/>
  <c r="Y126" i="15"/>
  <c r="Y325" i="15"/>
  <c r="Y68" i="15"/>
  <c r="Y84" i="15"/>
  <c r="Y277" i="15"/>
  <c r="Y85" i="15"/>
  <c r="Y63" i="15"/>
  <c r="Y323" i="15"/>
  <c r="Y321" i="15"/>
  <c r="Y311" i="15"/>
  <c r="Y104" i="15"/>
  <c r="Y89" i="15"/>
  <c r="Y141" i="15"/>
  <c r="Y56" i="15"/>
  <c r="Y53" i="15"/>
  <c r="Y110" i="15"/>
  <c r="Y289" i="15"/>
  <c r="Y36" i="15"/>
  <c r="Y132" i="15"/>
  <c r="Y306" i="15"/>
  <c r="Y355" i="15"/>
  <c r="Y65" i="15"/>
  <c r="Y363" i="15"/>
  <c r="Y48" i="15"/>
  <c r="Y326" i="15"/>
  <c r="Y285" i="15"/>
  <c r="Y329" i="15"/>
  <c r="Y282" i="15"/>
  <c r="Y38" i="15"/>
  <c r="Y134" i="15"/>
  <c r="Y24" i="15"/>
  <c r="Y368" i="15"/>
  <c r="Y310" i="15"/>
  <c r="Y309" i="15"/>
  <c r="Y128" i="15"/>
  <c r="Y312" i="15"/>
  <c r="Y357" i="15"/>
  <c r="N45" i="15"/>
  <c r="J43" i="15"/>
  <c r="I268" i="15"/>
  <c r="J270" i="15"/>
  <c r="J121" i="15"/>
  <c r="I118" i="15"/>
  <c r="Y79" i="15"/>
  <c r="Y295" i="15"/>
  <c r="Y361" i="15"/>
  <c r="Y95" i="15"/>
  <c r="Y138" i="15"/>
  <c r="Y304" i="15"/>
  <c r="Y29" i="15"/>
  <c r="Y82" i="15"/>
  <c r="Y122" i="15"/>
  <c r="Y308" i="15"/>
  <c r="Y358" i="15"/>
  <c r="Y64" i="15"/>
  <c r="S266" i="15"/>
  <c r="S265" i="15" s="1"/>
  <c r="Y125" i="15"/>
  <c r="Y330" i="15"/>
  <c r="Y70" i="15"/>
  <c r="Y296" i="15"/>
  <c r="Y333" i="15"/>
  <c r="Y96" i="15"/>
  <c r="Y140" i="15"/>
  <c r="Y318" i="15"/>
  <c r="Y113" i="15"/>
  <c r="Y60" i="15"/>
  <c r="Y100" i="15"/>
  <c r="Y353" i="15"/>
  <c r="Y92" i="15"/>
  <c r="Y314" i="15"/>
  <c r="Y72" i="15"/>
  <c r="Y278" i="15"/>
  <c r="Y317" i="15"/>
  <c r="Y365" i="15"/>
  <c r="Y55" i="15"/>
  <c r="Y94" i="15"/>
  <c r="Y320" i="15"/>
  <c r="Y59" i="15"/>
  <c r="Y98" i="15"/>
  <c r="Y280" i="15"/>
  <c r="AB270" i="15"/>
  <c r="AB268" i="15" s="1"/>
  <c r="Y106" i="15"/>
  <c r="Y284" i="15"/>
  <c r="Y66" i="15"/>
  <c r="Y105" i="15"/>
  <c r="Y271" i="15"/>
  <c r="Y313" i="15"/>
  <c r="Y359" i="15"/>
  <c r="Y71" i="15"/>
  <c r="Y108" i="15"/>
  <c r="Y287" i="15"/>
  <c r="Y338" i="15"/>
  <c r="Y54" i="15"/>
  <c r="Y93" i="15"/>
  <c r="Y275" i="15"/>
  <c r="Y319" i="15"/>
  <c r="Y362" i="15"/>
  <c r="Y37" i="15"/>
  <c r="Y366" i="15"/>
  <c r="Y62" i="15"/>
  <c r="Y145" i="15"/>
  <c r="I343" i="15"/>
  <c r="J346" i="15"/>
  <c r="Y86" i="15"/>
  <c r="N21" i="15"/>
  <c r="Y73" i="15"/>
  <c r="Y52" i="15"/>
  <c r="Y91" i="15"/>
  <c r="Y133" i="15"/>
  <c r="Y335" i="15"/>
  <c r="Y77" i="15"/>
  <c r="Y112" i="15"/>
  <c r="Y291" i="15"/>
  <c r="Y349" i="15"/>
  <c r="Y32" i="15"/>
  <c r="Y307" i="15"/>
  <c r="Y347" i="15"/>
  <c r="Y46" i="15"/>
  <c r="Y88" i="15"/>
  <c r="Y130" i="15"/>
  <c r="Y87" i="15"/>
  <c r="Y129" i="15"/>
  <c r="Y293" i="15"/>
  <c r="Y331" i="15"/>
  <c r="Y90" i="15"/>
  <c r="Y316" i="15"/>
  <c r="Y26" i="15"/>
  <c r="Y75" i="15"/>
  <c r="Y111" i="15"/>
  <c r="Y302" i="15"/>
  <c r="Y337" i="15"/>
  <c r="Y102" i="15"/>
  <c r="Y279" i="15"/>
  <c r="Y83" i="15"/>
  <c r="Y124" i="15"/>
  <c r="Y288" i="15"/>
  <c r="Y327" i="15"/>
  <c r="N235" i="15"/>
  <c r="S143" i="11"/>
  <c r="Z171" i="11"/>
  <c r="Z119" i="11"/>
  <c r="J73" i="1"/>
  <c r="J57" i="1" s="1"/>
  <c r="U87" i="11"/>
  <c r="Q87" i="11"/>
  <c r="AB147" i="11"/>
  <c r="Z147" i="11"/>
  <c r="AB127" i="11"/>
  <c r="Z127" i="11"/>
  <c r="S115" i="11"/>
  <c r="P151" i="11"/>
  <c r="X50" i="11"/>
  <c r="T46" i="11"/>
  <c r="O133" i="11"/>
  <c r="O151" i="11"/>
  <c r="S142" i="11"/>
  <c r="O150" i="11"/>
  <c r="R150" i="11"/>
  <c r="R133" i="11"/>
  <c r="X142" i="11"/>
  <c r="T150" i="11"/>
  <c r="T133" i="11"/>
  <c r="W46" i="11"/>
  <c r="S150" i="15"/>
  <c r="AB150" i="15" s="1"/>
  <c r="K46" i="11"/>
  <c r="K45" i="11" s="1"/>
  <c r="AW15" i="9"/>
  <c r="AW14" i="9" s="1"/>
  <c r="AW296" i="9" s="1"/>
  <c r="Z130" i="11"/>
  <c r="L296" i="9"/>
  <c r="AG296" i="9"/>
  <c r="BE296" i="9"/>
  <c r="O296" i="9"/>
  <c r="N57" i="11"/>
  <c r="BV296" i="9"/>
  <c r="AB49" i="11"/>
  <c r="Z140" i="11"/>
  <c r="U160" i="11"/>
  <c r="I78" i="1"/>
  <c r="I73" i="1" s="1"/>
  <c r="H78" i="1"/>
  <c r="Q107" i="11"/>
  <c r="Q46" i="11"/>
  <c r="Q45" i="11" s="1"/>
  <c r="K150" i="11"/>
  <c r="K133" i="11"/>
  <c r="Q133" i="11"/>
  <c r="Q150" i="11"/>
  <c r="T60" i="11"/>
  <c r="T160" i="11" s="1"/>
  <c r="T105" i="11"/>
  <c r="X62" i="11"/>
  <c r="V144" i="11"/>
  <c r="V150" i="11"/>
  <c r="X57" i="11"/>
  <c r="O35" i="1"/>
  <c r="P44" i="1"/>
  <c r="M81" i="1"/>
  <c r="S123" i="11"/>
  <c r="P121" i="11"/>
  <c r="AL296" i="9"/>
  <c r="AX296" i="9"/>
  <c r="BN208" i="9"/>
  <c r="O83" i="1"/>
  <c r="O81" i="1" s="1"/>
  <c r="S144" i="11"/>
  <c r="AE14" i="9"/>
  <c r="AE296" i="9" s="1"/>
  <c r="X151" i="11"/>
  <c r="X136" i="11"/>
  <c r="U133" i="11"/>
  <c r="U150" i="11"/>
  <c r="P117" i="11"/>
  <c r="S118" i="11"/>
  <c r="P133" i="11"/>
  <c r="S136" i="11"/>
  <c r="W150" i="11"/>
  <c r="M133" i="11"/>
  <c r="M150" i="11"/>
  <c r="S58" i="11"/>
  <c r="V60" i="11"/>
  <c r="R46" i="11"/>
  <c r="R45" i="11" s="1"/>
  <c r="R107" i="11"/>
  <c r="R156" i="11" s="1"/>
  <c r="BM30" i="9"/>
  <c r="BM15" i="9" s="1"/>
  <c r="P144" i="11"/>
  <c r="AA133" i="11"/>
  <c r="H47" i="1"/>
  <c r="H83" i="1"/>
  <c r="X64" i="11"/>
  <c r="AB64" i="11" s="1"/>
  <c r="U46" i="11"/>
  <c r="U45" i="11" s="1"/>
  <c r="X51" i="11"/>
  <c r="X63" i="11"/>
  <c r="S57" i="11"/>
  <c r="K84" i="1"/>
  <c r="L84" i="1" s="1"/>
  <c r="I74" i="1"/>
  <c r="K74" i="1" s="1"/>
  <c r="S114" i="11"/>
  <c r="P113" i="11"/>
  <c r="P150" i="11"/>
  <c r="S63" i="11"/>
  <c r="P60" i="11"/>
  <c r="T166" i="11"/>
  <c r="X168" i="11"/>
  <c r="K36" i="1"/>
  <c r="L36" i="1" s="1"/>
  <c r="H35" i="1"/>
  <c r="N296" i="9"/>
  <c r="BW296" i="9"/>
  <c r="P46" i="11"/>
  <c r="S168" i="11"/>
  <c r="Q66" i="11"/>
  <c r="BX154" i="9"/>
  <c r="BX153" i="9" s="1"/>
  <c r="S51" i="11"/>
  <c r="Z51" i="11" s="1"/>
  <c r="Z126" i="11"/>
  <c r="X146" i="11"/>
  <c r="X144" i="11" s="1"/>
  <c r="AN296" i="9"/>
  <c r="BI30" i="9"/>
  <c r="BI15" i="9" s="1"/>
  <c r="BI14" i="9" s="1"/>
  <c r="CA150" i="9"/>
  <c r="CA145" i="9" s="1"/>
  <c r="S263" i="15"/>
  <c r="O261" i="15"/>
  <c r="O235" i="15" s="1"/>
  <c r="O16" i="15" s="1"/>
  <c r="S258" i="15"/>
  <c r="S236" i="15" s="1"/>
  <c r="R235" i="15"/>
  <c r="R16" i="15" s="1"/>
  <c r="R372" i="15" s="1"/>
  <c r="X101" i="11"/>
  <c r="Y150" i="15"/>
  <c r="Y149" i="15" s="1"/>
  <c r="Y147" i="15" s="1"/>
  <c r="N149" i="15"/>
  <c r="N147" i="15" s="1"/>
  <c r="J101" i="11"/>
  <c r="W235" i="15"/>
  <c r="W16" i="15" s="1"/>
  <c r="W372" i="15" s="1"/>
  <c r="X258" i="15"/>
  <c r="O87" i="11"/>
  <c r="S101" i="11"/>
  <c r="S729" i="13"/>
  <c r="S703" i="13" s="1"/>
  <c r="AB731" i="13"/>
  <c r="AB729" i="13" s="1"/>
  <c r="AB31" i="11"/>
  <c r="J87" i="11"/>
  <c r="Z24" i="11"/>
  <c r="AB24" i="11"/>
  <c r="BS17" i="9"/>
  <c r="BS16" i="9" s="1"/>
  <c r="Y137" i="11"/>
  <c r="Y170" i="11"/>
  <c r="AB726" i="13"/>
  <c r="AB704" i="13" s="1"/>
  <c r="R39" i="7"/>
  <c r="Y57" i="9"/>
  <c r="Y30" i="9" s="1"/>
  <c r="Y15" i="9" s="1"/>
  <c r="F78" i="1"/>
  <c r="J136" i="11"/>
  <c r="I133" i="11"/>
  <c r="I150" i="11"/>
  <c r="G149" i="11"/>
  <c r="H296" i="9"/>
  <c r="G132" i="11"/>
  <c r="J146" i="11"/>
  <c r="I144" i="11"/>
  <c r="I167" i="11"/>
  <c r="G166" i="11"/>
  <c r="G81" i="1"/>
  <c r="E73" i="1"/>
  <c r="E57" i="1" s="1"/>
  <c r="Y21" i="11"/>
  <c r="Z21" i="11"/>
  <c r="G156" i="11"/>
  <c r="I69" i="11"/>
  <c r="I107" i="11" s="1"/>
  <c r="G74" i="1"/>
  <c r="J59" i="11"/>
  <c r="I46" i="11"/>
  <c r="BP154" i="9"/>
  <c r="BP153" i="9" s="1"/>
  <c r="I62" i="11"/>
  <c r="G60" i="11"/>
  <c r="C76" i="1"/>
  <c r="W57" i="9"/>
  <c r="W30" i="9" s="1"/>
  <c r="W15" i="9" s="1"/>
  <c r="D78" i="1"/>
  <c r="J14" i="9"/>
  <c r="C17" i="1"/>
  <c r="C16" i="1" s="1"/>
  <c r="C15" i="1" s="1"/>
  <c r="J20" i="11"/>
  <c r="I19" i="11"/>
  <c r="I17" i="11" s="1"/>
  <c r="N1205" i="13"/>
  <c r="N1128" i="13" s="1"/>
  <c r="Z1208" i="13"/>
  <c r="Y1208" i="13"/>
  <c r="J1128" i="13"/>
  <c r="X734" i="13"/>
  <c r="X733" i="13" s="1"/>
  <c r="Z589" i="13"/>
  <c r="Y589" i="13"/>
  <c r="Z513" i="13"/>
  <c r="N511" i="13"/>
  <c r="Y513" i="13"/>
  <c r="Z383" i="13"/>
  <c r="Y383" i="13"/>
  <c r="G15" i="13"/>
  <c r="G1234" i="13" s="1"/>
  <c r="I729" i="13"/>
  <c r="I703" i="13" s="1"/>
  <c r="J730" i="13"/>
  <c r="N730" i="13" s="1"/>
  <c r="J618" i="13"/>
  <c r="N618" i="13" s="1"/>
  <c r="N617" i="13" s="1"/>
  <c r="I617" i="13"/>
  <c r="I615" i="13" s="1"/>
  <c r="Z94" i="11"/>
  <c r="Z102" i="11" s="1"/>
  <c r="N102" i="11"/>
  <c r="J734" i="13"/>
  <c r="J733" i="13" s="1"/>
  <c r="AB811" i="13"/>
  <c r="H1234" i="13"/>
  <c r="J1023" i="13"/>
  <c r="J946" i="13" s="1"/>
  <c r="AB736" i="13"/>
  <c r="N736" i="13"/>
  <c r="Z738" i="13"/>
  <c r="Y738" i="13"/>
  <c r="N841" i="13"/>
  <c r="Z843" i="13"/>
  <c r="Y843" i="13"/>
  <c r="N916" i="13"/>
  <c r="Z919" i="13"/>
  <c r="Y919" i="13"/>
  <c r="N811" i="13"/>
  <c r="Z814" i="13"/>
  <c r="Y814" i="13"/>
  <c r="Z950" i="13"/>
  <c r="Y950" i="13"/>
  <c r="N1024" i="13"/>
  <c r="N1023" i="13" s="1"/>
  <c r="Z1130" i="13"/>
  <c r="Y1130" i="13"/>
  <c r="Z707" i="13"/>
  <c r="J16" i="13"/>
  <c r="Z630" i="13"/>
  <c r="Y630" i="13"/>
  <c r="Z44" i="13"/>
  <c r="Y44" i="13"/>
  <c r="Z20" i="13"/>
  <c r="Y20" i="13"/>
  <c r="Y18" i="13" s="1"/>
  <c r="N117" i="13"/>
  <c r="Z120" i="13"/>
  <c r="Y120" i="13"/>
  <c r="AB485" i="13"/>
  <c r="J356" i="13"/>
  <c r="J276" i="13" s="1"/>
  <c r="AB356" i="13"/>
  <c r="AB276" i="13" s="1"/>
  <c r="J485" i="13"/>
  <c r="N281" i="13"/>
  <c r="N277" i="13" s="1"/>
  <c r="Z283" i="13"/>
  <c r="Y283" i="13"/>
  <c r="J146" i="13"/>
  <c r="Z173" i="13"/>
  <c r="N171" i="13"/>
  <c r="N146" i="13" s="1"/>
  <c r="Y117" i="11"/>
  <c r="N31" i="11"/>
  <c r="J111" i="11"/>
  <c r="Y72" i="11"/>
  <c r="Y88" i="11" s="1"/>
  <c r="N117" i="11"/>
  <c r="N113" i="11"/>
  <c r="Y113" i="11"/>
  <c r="N121" i="11"/>
  <c r="Y121" i="11"/>
  <c r="I35" i="1"/>
  <c r="K44" i="1"/>
  <c r="G44" i="1"/>
  <c r="D35" i="1"/>
  <c r="G35" i="1" s="1"/>
  <c r="BZ57" i="9"/>
  <c r="CA263" i="9"/>
  <c r="CA211" i="9"/>
  <c r="CA210" i="9" s="1"/>
  <c r="BX244" i="9"/>
  <c r="BX243" i="9" s="1"/>
  <c r="BX242" i="9" s="1"/>
  <c r="CA124" i="9"/>
  <c r="CA121" i="9" s="1"/>
  <c r="CA120" i="9" s="1"/>
  <c r="CA191" i="9"/>
  <c r="BS69" i="9"/>
  <c r="BR183" i="9"/>
  <c r="BR182" i="9" s="1"/>
  <c r="BS177" i="9"/>
  <c r="BS191" i="9"/>
  <c r="BS112" i="9"/>
  <c r="BR75" i="9"/>
  <c r="BR93" i="9"/>
  <c r="BR92" i="9" s="1"/>
  <c r="BR91" i="9" s="1"/>
  <c r="AQ15" i="9"/>
  <c r="H16" i="16" s="1"/>
  <c r="BR209" i="9"/>
  <c r="BR208" i="9" s="1"/>
  <c r="BZ244" i="9"/>
  <c r="BZ243" i="9" s="1"/>
  <c r="BZ242" i="9" s="1"/>
  <c r="CA17" i="9"/>
  <c r="CA16" i="9" s="1"/>
  <c r="AS15" i="9"/>
  <c r="J16" i="16" s="1"/>
  <c r="BS60" i="9"/>
  <c r="BS59" i="9" s="1"/>
  <c r="AR15" i="9"/>
  <c r="I16" i="16" s="1"/>
  <c r="BP58" i="9"/>
  <c r="BP75" i="9"/>
  <c r="BQ33" i="9"/>
  <c r="BQ32" i="9" s="1"/>
  <c r="BQ31" i="9" s="1"/>
  <c r="Z57" i="9"/>
  <c r="BP209" i="9"/>
  <c r="BP226" i="9"/>
  <c r="BS289" i="9"/>
  <c r="BS288" i="9" s="1"/>
  <c r="BS37" i="9"/>
  <c r="BS33" i="9" s="1"/>
  <c r="Z32" i="9"/>
  <c r="Z31" i="9" s="1"/>
  <c r="BQ58" i="9"/>
  <c r="BQ57" i="9" s="1"/>
  <c r="X181" i="9"/>
  <c r="X168" i="9" s="1"/>
  <c r="E47" i="1" s="1"/>
  <c r="BS184" i="9"/>
  <c r="BP183" i="9"/>
  <c r="BP182" i="9" s="1"/>
  <c r="BS281" i="9"/>
  <c r="BQ183" i="9"/>
  <c r="BQ182" i="9" s="1"/>
  <c r="BR242" i="9"/>
  <c r="CA275" i="9"/>
  <c r="CA272" i="9" s="1"/>
  <c r="CA271" i="9" s="1"/>
  <c r="Z93" i="9"/>
  <c r="Z92" i="9" s="1"/>
  <c r="Z91" i="9" s="1"/>
  <c r="BP93" i="9"/>
  <c r="BP92" i="9" s="1"/>
  <c r="Y181" i="9"/>
  <c r="Y168" i="9" s="1"/>
  <c r="F47" i="1" s="1"/>
  <c r="F46" i="1" s="1"/>
  <c r="BX226" i="9"/>
  <c r="BX208" i="9" s="1"/>
  <c r="J47" i="1"/>
  <c r="J46" i="1" s="1"/>
  <c r="BR58" i="9"/>
  <c r="BS130" i="9"/>
  <c r="BZ91" i="9"/>
  <c r="BS121" i="9"/>
  <c r="BS120" i="9" s="1"/>
  <c r="CA281" i="9"/>
  <c r="BX183" i="9"/>
  <c r="BX182" i="9" s="1"/>
  <c r="BP244" i="9"/>
  <c r="BP243" i="9" s="1"/>
  <c r="BP242" i="9" s="1"/>
  <c r="BP33" i="9"/>
  <c r="BP32" i="9" s="1"/>
  <c r="BP31" i="9" s="1"/>
  <c r="J76" i="1"/>
  <c r="CA209" i="9" l="1"/>
  <c r="CA208" i="9" s="1"/>
  <c r="W156" i="11"/>
  <c r="X143" i="11"/>
  <c r="W133" i="11"/>
  <c r="W159" i="11" s="1"/>
  <c r="W158" i="11" s="1"/>
  <c r="Z64" i="11"/>
  <c r="C14" i="16"/>
  <c r="C99" i="16" s="1"/>
  <c r="CA91" i="9"/>
  <c r="BS154" i="9"/>
  <c r="BS153" i="9" s="1"/>
  <c r="BI296" i="9"/>
  <c r="J15" i="16"/>
  <c r="J14" i="16" s="1"/>
  <c r="J99" i="16" s="1"/>
  <c r="J106" i="16" s="1"/>
  <c r="O16" i="16"/>
  <c r="O15" i="16" s="1"/>
  <c r="O14" i="16" s="1"/>
  <c r="O99" i="16" s="1"/>
  <c r="O106" i="16" s="1"/>
  <c r="H155" i="11"/>
  <c r="H153" i="11" s="1"/>
  <c r="H104" i="11"/>
  <c r="BJ296" i="9"/>
  <c r="K16" i="15"/>
  <c r="K372" i="15" s="1"/>
  <c r="Z487" i="13"/>
  <c r="Y487" i="13"/>
  <c r="Z916" i="13"/>
  <c r="N356" i="13"/>
  <c r="Z381" i="13"/>
  <c r="Y704" i="13"/>
  <c r="N615" i="13"/>
  <c r="Y246" i="13"/>
  <c r="Z586" i="13"/>
  <c r="I17" i="15"/>
  <c r="I16" i="15" s="1"/>
  <c r="X236" i="15"/>
  <c r="X235" i="15" s="1"/>
  <c r="B18" i="14" s="1"/>
  <c r="E18" i="14" s="1"/>
  <c r="V32" i="16"/>
  <c r="X32" i="16"/>
  <c r="W32" i="16"/>
  <c r="V38" i="16"/>
  <c r="X38" i="16"/>
  <c r="W38" i="16"/>
  <c r="Z704" i="13"/>
  <c r="Y236" i="15"/>
  <c r="Y235" i="15" s="1"/>
  <c r="O17" i="1"/>
  <c r="S16" i="16"/>
  <c r="S15" i="16" s="1"/>
  <c r="S14" i="16" s="1"/>
  <c r="S99" i="16" s="1"/>
  <c r="S106" i="16" s="1"/>
  <c r="AB58" i="11"/>
  <c r="Y627" i="13"/>
  <c r="V45" i="11"/>
  <c r="V159" i="11"/>
  <c r="BD296" i="9"/>
  <c r="Y171" i="13"/>
  <c r="Y146" i="13" s="1"/>
  <c r="Z171" i="13"/>
  <c r="Z146" i="13" s="1"/>
  <c r="BF296" i="9"/>
  <c r="Y511" i="13"/>
  <c r="Z511" i="13"/>
  <c r="J275" i="13"/>
  <c r="X166" i="11"/>
  <c r="CA58" i="9"/>
  <c r="CA57" i="9" s="1"/>
  <c r="BN181" i="9"/>
  <c r="BN168" i="9" s="1"/>
  <c r="R65" i="16" s="1"/>
  <c r="M130" i="16"/>
  <c r="M134" i="16"/>
  <c r="G180" i="16"/>
  <c r="L180" i="16" s="1"/>
  <c r="E159" i="16"/>
  <c r="G159" i="16" s="1"/>
  <c r="L159" i="16" s="1"/>
  <c r="N180" i="16"/>
  <c r="D109" i="16"/>
  <c r="C159" i="16"/>
  <c r="C130" i="16"/>
  <c r="C109" i="16" s="1"/>
  <c r="BS183" i="9"/>
  <c r="BS182" i="9" s="1"/>
  <c r="C73" i="1"/>
  <c r="C57" i="1" s="1"/>
  <c r="E130" i="16"/>
  <c r="E109" i="16" s="1"/>
  <c r="E134" i="16"/>
  <c r="G134" i="16" s="1"/>
  <c r="L134" i="16" s="1"/>
  <c r="N155" i="16"/>
  <c r="BZ181" i="9"/>
  <c r="BZ168" i="9" s="1"/>
  <c r="BS209" i="9"/>
  <c r="BS208" i="9" s="1"/>
  <c r="G155" i="16"/>
  <c r="L155" i="16" s="1"/>
  <c r="Z143" i="11"/>
  <c r="CA93" i="9"/>
  <c r="CA92" i="9" s="1"/>
  <c r="R130" i="16"/>
  <c r="R109" i="16" s="1"/>
  <c r="BB296" i="9"/>
  <c r="Z1205" i="13"/>
  <c r="Z1128" i="13" s="1"/>
  <c r="Y1205" i="13"/>
  <c r="Y1128" i="13" s="1"/>
  <c r="AB16" i="13"/>
  <c r="Z281" i="13"/>
  <c r="Z277" i="13" s="1"/>
  <c r="V159" i="16"/>
  <c r="X159" i="16"/>
  <c r="V180" i="16"/>
  <c r="X180" i="16"/>
  <c r="M16" i="16"/>
  <c r="M15" i="16" s="1"/>
  <c r="M14" i="16" s="1"/>
  <c r="M99" i="16" s="1"/>
  <c r="M106" i="16" s="1"/>
  <c r="H15" i="16"/>
  <c r="H14" i="16" s="1"/>
  <c r="H99" i="16" s="1"/>
  <c r="H106" i="16" s="1"/>
  <c r="K16" i="16"/>
  <c r="L16" i="16" s="1"/>
  <c r="I15" i="16"/>
  <c r="N16" i="16"/>
  <c r="P36" i="1"/>
  <c r="M35" i="1"/>
  <c r="P35" i="1" s="1"/>
  <c r="T46" i="16"/>
  <c r="Q45" i="16"/>
  <c r="T45" i="16" s="1"/>
  <c r="M76" i="1"/>
  <c r="K66" i="11"/>
  <c r="Z168" i="11"/>
  <c r="G66" i="11"/>
  <c r="G106" i="11"/>
  <c r="G155" i="11" s="1"/>
  <c r="I67" i="11"/>
  <c r="I105" i="11" s="1"/>
  <c r="J19" i="15"/>
  <c r="AB143" i="11"/>
  <c r="AB945" i="13"/>
  <c r="Y586" i="13"/>
  <c r="Y117" i="13"/>
  <c r="Z117" i="13"/>
  <c r="Z42" i="13"/>
  <c r="Y281" i="13"/>
  <c r="Y277" i="13" s="1"/>
  <c r="Y42" i="13"/>
  <c r="X15" i="13"/>
  <c r="X1234" i="13" s="1"/>
  <c r="Q104" i="11"/>
  <c r="Z627" i="13"/>
  <c r="BS93" i="9"/>
  <c r="BS92" i="9" s="1"/>
  <c r="BS91" i="9" s="1"/>
  <c r="AB19" i="11"/>
  <c r="AB17" i="11" s="1"/>
  <c r="BY181" i="9"/>
  <c r="BY168" i="9" s="1"/>
  <c r="Z948" i="13"/>
  <c r="Z947" i="13" s="1"/>
  <c r="O372" i="15"/>
  <c r="BS244" i="9"/>
  <c r="BS243" i="9" s="1"/>
  <c r="BS242" i="9" s="1"/>
  <c r="Z137" i="11"/>
  <c r="N19" i="15"/>
  <c r="B16" i="14" s="1"/>
  <c r="Y23" i="15"/>
  <c r="Y1024" i="13"/>
  <c r="Y1023" i="13" s="1"/>
  <c r="Y841" i="13"/>
  <c r="Z811" i="13"/>
  <c r="Z1024" i="13"/>
  <c r="Z1023" i="13" s="1"/>
  <c r="Y811" i="13"/>
  <c r="Y916" i="13"/>
  <c r="N276" i="13"/>
  <c r="G372" i="15"/>
  <c r="Y381" i="13"/>
  <c r="Y356" i="13" s="1"/>
  <c r="AB275" i="13"/>
  <c r="J945" i="13"/>
  <c r="Z736" i="13"/>
  <c r="Y736" i="13"/>
  <c r="Y948" i="13"/>
  <c r="Y947" i="13" s="1"/>
  <c r="N946" i="13"/>
  <c r="N945" i="13" s="1"/>
  <c r="Z841" i="13"/>
  <c r="O154" i="11"/>
  <c r="BK30" i="9"/>
  <c r="BK15" i="9" s="1"/>
  <c r="Q16" i="16" s="1"/>
  <c r="BL14" i="9"/>
  <c r="BL296" i="9" s="1"/>
  <c r="C6" i="14" s="1"/>
  <c r="N17" i="1"/>
  <c r="N16" i="1" s="1"/>
  <c r="N15" i="1" s="1"/>
  <c r="V132" i="11"/>
  <c r="P111" i="11"/>
  <c r="W45" i="11"/>
  <c r="BN30" i="9"/>
  <c r="BN15" i="9" s="1"/>
  <c r="N73" i="1"/>
  <c r="N57" i="1" s="1"/>
  <c r="N76" i="1"/>
  <c r="J296" i="9"/>
  <c r="BP91" i="9"/>
  <c r="BY30" i="9"/>
  <c r="BY15" i="9" s="1"/>
  <c r="BY14" i="9" s="1"/>
  <c r="K106" i="11"/>
  <c r="K155" i="11" s="1"/>
  <c r="K78" i="1"/>
  <c r="L74" i="1"/>
  <c r="I76" i="1"/>
  <c r="G45" i="11"/>
  <c r="X133" i="11"/>
  <c r="X132" i="11" s="1"/>
  <c r="O46" i="1"/>
  <c r="BS32" i="9"/>
  <c r="BS31" i="9" s="1"/>
  <c r="AB17" i="15"/>
  <c r="S17" i="15"/>
  <c r="AA66" i="11"/>
  <c r="AA105" i="11"/>
  <c r="K154" i="11"/>
  <c r="Z18" i="13"/>
  <c r="Z45" i="15"/>
  <c r="Z43" i="15" s="1"/>
  <c r="N43" i="15"/>
  <c r="Y45" i="15"/>
  <c r="Y43" i="15" s="1"/>
  <c r="AB266" i="15"/>
  <c r="AB265" i="15" s="1"/>
  <c r="N121" i="15"/>
  <c r="J118" i="15"/>
  <c r="I266" i="15"/>
  <c r="I265" i="15" s="1"/>
  <c r="Z21" i="15"/>
  <c r="Z19" i="15" s="1"/>
  <c r="Y21" i="15"/>
  <c r="N346" i="15"/>
  <c r="J343" i="15"/>
  <c r="N270" i="15"/>
  <c r="J268" i="15"/>
  <c r="Q156" i="11"/>
  <c r="AB703" i="13"/>
  <c r="Z150" i="15"/>
  <c r="P45" i="11"/>
  <c r="P81" i="1"/>
  <c r="H46" i="1"/>
  <c r="K47" i="1"/>
  <c r="K46" i="1" s="1"/>
  <c r="T154" i="11"/>
  <c r="P106" i="11"/>
  <c r="P155" i="11" s="1"/>
  <c r="S68" i="11"/>
  <c r="S113" i="11"/>
  <c r="AB114" i="11"/>
  <c r="Z114" i="11"/>
  <c r="AA159" i="11"/>
  <c r="AA158" i="11" s="1"/>
  <c r="AA132" i="11"/>
  <c r="V66" i="11"/>
  <c r="V105" i="11"/>
  <c r="M132" i="11"/>
  <c r="M159" i="11"/>
  <c r="M158" i="11" s="1"/>
  <c r="P159" i="11"/>
  <c r="P132" i="11"/>
  <c r="U159" i="11"/>
  <c r="U158" i="11" s="1"/>
  <c r="U132" i="11"/>
  <c r="P107" i="11"/>
  <c r="P156" i="11" s="1"/>
  <c r="S69" i="11"/>
  <c r="Q149" i="11"/>
  <c r="Q155" i="11"/>
  <c r="R132" i="11"/>
  <c r="R159" i="11"/>
  <c r="R158" i="11" s="1"/>
  <c r="O156" i="11"/>
  <c r="S151" i="11"/>
  <c r="AB50" i="11"/>
  <c r="X46" i="11"/>
  <c r="Z58" i="11"/>
  <c r="P83" i="1"/>
  <c r="AB57" i="11"/>
  <c r="I57" i="1"/>
  <c r="AR14" i="9"/>
  <c r="I17" i="1"/>
  <c r="I16" i="1" s="1"/>
  <c r="I15" i="1" s="1"/>
  <c r="AS14" i="9"/>
  <c r="AS296" i="9" s="1"/>
  <c r="D5" i="14" s="1"/>
  <c r="J17" i="1"/>
  <c r="J16" i="1" s="1"/>
  <c r="J15" i="1" s="1"/>
  <c r="J54" i="1" s="1"/>
  <c r="S67" i="11"/>
  <c r="P66" i="11"/>
  <c r="T107" i="11"/>
  <c r="T156" i="11" s="1"/>
  <c r="X69" i="11"/>
  <c r="X107" i="11" s="1"/>
  <c r="D12" i="14" s="1"/>
  <c r="D23" i="14" s="1"/>
  <c r="BM14" i="9"/>
  <c r="BM296" i="9" s="1"/>
  <c r="D6" i="14" s="1"/>
  <c r="M155" i="11"/>
  <c r="M153" i="11" s="1"/>
  <c r="M149" i="11"/>
  <c r="AB136" i="11"/>
  <c r="S133" i="11"/>
  <c r="S132" i="11" s="1"/>
  <c r="U155" i="11"/>
  <c r="U149" i="11"/>
  <c r="W66" i="11"/>
  <c r="W105" i="11"/>
  <c r="K149" i="11"/>
  <c r="AB142" i="11"/>
  <c r="Z142" i="11"/>
  <c r="P160" i="11"/>
  <c r="AB146" i="11"/>
  <c r="AB144" i="11" s="1"/>
  <c r="T45" i="11"/>
  <c r="AQ14" i="9"/>
  <c r="AQ296" i="9" s="1"/>
  <c r="B5" i="14" s="1"/>
  <c r="H17" i="1"/>
  <c r="AB51" i="11"/>
  <c r="S46" i="11"/>
  <c r="P149" i="11"/>
  <c r="H81" i="1"/>
  <c r="K81" i="1" s="1"/>
  <c r="L81" i="1" s="1"/>
  <c r="K83" i="1"/>
  <c r="L83" i="1" s="1"/>
  <c r="W155" i="11"/>
  <c r="W149" i="11"/>
  <c r="AB123" i="11"/>
  <c r="AB121" i="11" s="1"/>
  <c r="S121" i="11"/>
  <c r="Z123" i="11"/>
  <c r="Z121" i="11" s="1"/>
  <c r="X67" i="11"/>
  <c r="T66" i="11"/>
  <c r="K159" i="11"/>
  <c r="K158" i="11" s="1"/>
  <c r="K132" i="11"/>
  <c r="O73" i="1"/>
  <c r="O57" i="1" s="1"/>
  <c r="O76" i="1"/>
  <c r="H73" i="1"/>
  <c r="H57" i="1" s="1"/>
  <c r="H76" i="1"/>
  <c r="Z57" i="11"/>
  <c r="Y57" i="11"/>
  <c r="T149" i="11"/>
  <c r="X150" i="11"/>
  <c r="O149" i="11"/>
  <c r="S150" i="11"/>
  <c r="O155" i="11"/>
  <c r="T106" i="11"/>
  <c r="X68" i="11"/>
  <c r="X106" i="11" s="1"/>
  <c r="AB115" i="11"/>
  <c r="Z115" i="11"/>
  <c r="V160" i="11"/>
  <c r="AB168" i="11"/>
  <c r="AB166" i="11" s="1"/>
  <c r="S166" i="11"/>
  <c r="S60" i="11"/>
  <c r="S160" i="11" s="1"/>
  <c r="Z63" i="11"/>
  <c r="U107" i="11"/>
  <c r="U66" i="11"/>
  <c r="R106" i="11"/>
  <c r="R104" i="11" s="1"/>
  <c r="R66" i="11"/>
  <c r="W132" i="11"/>
  <c r="AB118" i="11"/>
  <c r="AB117" i="11" s="1"/>
  <c r="S117" i="11"/>
  <c r="Z118" i="11"/>
  <c r="Z117" i="11" s="1"/>
  <c r="P72" i="11"/>
  <c r="P88" i="11" s="1"/>
  <c r="S82" i="11"/>
  <c r="V155" i="11"/>
  <c r="V149" i="11"/>
  <c r="AB62" i="11"/>
  <c r="X60" i="11"/>
  <c r="X160" i="11" s="1"/>
  <c r="Q132" i="11"/>
  <c r="Q159" i="11"/>
  <c r="Q158" i="11" s="1"/>
  <c r="T159" i="11"/>
  <c r="T158" i="11" s="1"/>
  <c r="T132" i="11"/>
  <c r="R149" i="11"/>
  <c r="O132" i="11"/>
  <c r="O159" i="11"/>
  <c r="O158" i="11" s="1"/>
  <c r="AB63" i="11"/>
  <c r="Z101" i="11"/>
  <c r="N101" i="11"/>
  <c r="AB258" i="15"/>
  <c r="AB236" i="15" s="1"/>
  <c r="Z258" i="15"/>
  <c r="Z236" i="15" s="1"/>
  <c r="AB263" i="15"/>
  <c r="AB261" i="15" s="1"/>
  <c r="Z263" i="15"/>
  <c r="Z261" i="15" s="1"/>
  <c r="S261" i="15"/>
  <c r="Y101" i="11"/>
  <c r="Y87" i="11"/>
  <c r="N87" i="11"/>
  <c r="I132" i="11"/>
  <c r="I159" i="11"/>
  <c r="Y14" i="9"/>
  <c r="Y296" i="9" s="1"/>
  <c r="D4" i="14" s="1"/>
  <c r="F17" i="1"/>
  <c r="F16" i="1" s="1"/>
  <c r="F15" i="1" s="1"/>
  <c r="F54" i="1" s="1"/>
  <c r="X14" i="9"/>
  <c r="X296" i="9" s="1"/>
  <c r="C4" i="14" s="1"/>
  <c r="E17" i="1"/>
  <c r="E16" i="1" s="1"/>
  <c r="E15" i="1" s="1"/>
  <c r="W14" i="9"/>
  <c r="W296" i="9" s="1"/>
  <c r="B4" i="14" s="1"/>
  <c r="D17" i="1"/>
  <c r="BP57" i="9"/>
  <c r="N146" i="11"/>
  <c r="J144" i="11"/>
  <c r="F73" i="1"/>
  <c r="F57" i="1" s="1"/>
  <c r="F76" i="1"/>
  <c r="J150" i="11"/>
  <c r="I149" i="11"/>
  <c r="N136" i="11"/>
  <c r="J133" i="11"/>
  <c r="G160" i="11"/>
  <c r="G158" i="11" s="1"/>
  <c r="E46" i="1"/>
  <c r="G47" i="1"/>
  <c r="J167" i="11"/>
  <c r="I166" i="11"/>
  <c r="C54" i="1"/>
  <c r="BS58" i="9"/>
  <c r="BS57" i="9" s="1"/>
  <c r="I155" i="11"/>
  <c r="J68" i="11"/>
  <c r="J106" i="11" s="1"/>
  <c r="N59" i="11"/>
  <c r="J46" i="11"/>
  <c r="I156" i="11"/>
  <c r="J69" i="11"/>
  <c r="J107" i="11" s="1"/>
  <c r="J62" i="11"/>
  <c r="I60" i="11"/>
  <c r="I45" i="11" s="1"/>
  <c r="G78" i="1"/>
  <c r="D76" i="1"/>
  <c r="D73" i="1"/>
  <c r="N20" i="11"/>
  <c r="J19" i="11"/>
  <c r="J17" i="11" s="1"/>
  <c r="G154" i="11"/>
  <c r="N734" i="13"/>
  <c r="N733" i="13" s="1"/>
  <c r="I15" i="13"/>
  <c r="I1234" i="13" s="1"/>
  <c r="J617" i="13"/>
  <c r="J615" i="13" s="1"/>
  <c r="J729" i="13"/>
  <c r="J703" i="13" s="1"/>
  <c r="L44" i="1"/>
  <c r="AB734" i="13"/>
  <c r="AB733" i="13" s="1"/>
  <c r="N840" i="13"/>
  <c r="N16" i="13"/>
  <c r="Z356" i="13"/>
  <c r="N485" i="13"/>
  <c r="N111" i="11"/>
  <c r="Y111" i="11"/>
  <c r="Y31" i="11"/>
  <c r="Z31" i="11"/>
  <c r="K35" i="1"/>
  <c r="L35" i="1" s="1"/>
  <c r="CA243" i="9"/>
  <c r="CA242" i="9" s="1"/>
  <c r="BZ30" i="9"/>
  <c r="BZ15" i="9" s="1"/>
  <c r="BZ14" i="9" s="1"/>
  <c r="BX30" i="9"/>
  <c r="BX15" i="9" s="1"/>
  <c r="BX14" i="9" s="1"/>
  <c r="CA183" i="9"/>
  <c r="CA182" i="9" s="1"/>
  <c r="BP208" i="9"/>
  <c r="BP181" i="9" s="1"/>
  <c r="BP168" i="9" s="1"/>
  <c r="BR57" i="9"/>
  <c r="BR30" i="9" s="1"/>
  <c r="BR15" i="9" s="1"/>
  <c r="BR14" i="9" s="1"/>
  <c r="Z181" i="9"/>
  <c r="Z168" i="9" s="1"/>
  <c r="BQ181" i="9"/>
  <c r="BQ168" i="9" s="1"/>
  <c r="Z30" i="9"/>
  <c r="Z15" i="9" s="1"/>
  <c r="Z14" i="9" s="1"/>
  <c r="BR181" i="9"/>
  <c r="BR168" i="9" s="1"/>
  <c r="AT15" i="9"/>
  <c r="AT14" i="9" s="1"/>
  <c r="BQ30" i="9"/>
  <c r="BQ15" i="9" s="1"/>
  <c r="BQ14" i="9" s="1"/>
  <c r="BX181" i="9"/>
  <c r="BX168" i="9" s="1"/>
  <c r="C106" i="16" l="1"/>
  <c r="AB150" i="11"/>
  <c r="Z840" i="13"/>
  <c r="Z485" i="13"/>
  <c r="I372" i="15"/>
  <c r="X16" i="15"/>
  <c r="X372" i="15" s="1"/>
  <c r="O16" i="1"/>
  <c r="O15" i="1" s="1"/>
  <c r="O54" i="1" s="1"/>
  <c r="V158" i="11"/>
  <c r="W180" i="16"/>
  <c r="Y16" i="13"/>
  <c r="Y485" i="13"/>
  <c r="AR296" i="9"/>
  <c r="C5" i="14" s="1"/>
  <c r="E5" i="14" s="1"/>
  <c r="Z276" i="13"/>
  <c r="N47" i="1"/>
  <c r="N46" i="1" s="1"/>
  <c r="N54" i="1" s="1"/>
  <c r="M109" i="16"/>
  <c r="N130" i="16"/>
  <c r="N109" i="16" s="1"/>
  <c r="N134" i="16"/>
  <c r="P134" i="16" s="1"/>
  <c r="W159" i="16"/>
  <c r="G109" i="16"/>
  <c r="L109" i="16" s="1"/>
  <c r="P155" i="16"/>
  <c r="N159" i="16"/>
  <c r="P159" i="16" s="1"/>
  <c r="P180" i="16"/>
  <c r="BZ296" i="9"/>
  <c r="G130" i="16"/>
  <c r="L130" i="16" s="1"/>
  <c r="N275" i="13"/>
  <c r="G104" i="11"/>
  <c r="G153" i="11"/>
  <c r="T65" i="16"/>
  <c r="R64" i="16"/>
  <c r="I14" i="16"/>
  <c r="K15" i="16"/>
  <c r="L15" i="16" s="1"/>
  <c r="N15" i="16"/>
  <c r="P16" i="16"/>
  <c r="V46" i="16"/>
  <c r="X46" i="16"/>
  <c r="W46" i="16"/>
  <c r="W45" i="16"/>
  <c r="V45" i="16"/>
  <c r="X45" i="16"/>
  <c r="Q130" i="16"/>
  <c r="T155" i="16"/>
  <c r="Q134" i="16"/>
  <c r="T134" i="16" s="1"/>
  <c r="P78" i="1"/>
  <c r="M73" i="1"/>
  <c r="M57" i="1" s="1"/>
  <c r="P57" i="1" s="1"/>
  <c r="T16" i="16"/>
  <c r="Q15" i="16"/>
  <c r="J67" i="11"/>
  <c r="J105" i="11" s="1"/>
  <c r="X159" i="11"/>
  <c r="X158" i="11" s="1"/>
  <c r="I66" i="11"/>
  <c r="J17" i="15"/>
  <c r="J16" i="15" s="1"/>
  <c r="K104" i="11"/>
  <c r="Z16" i="13"/>
  <c r="Y276" i="13"/>
  <c r="BY296" i="9"/>
  <c r="Z946" i="13"/>
  <c r="Z945" i="13" s="1"/>
  <c r="Y19" i="15"/>
  <c r="Y840" i="13"/>
  <c r="Z734" i="13"/>
  <c r="Z733" i="13" s="1"/>
  <c r="Y734" i="13"/>
  <c r="Y733" i="13" s="1"/>
  <c r="Y946" i="13"/>
  <c r="Y945" i="13" s="1"/>
  <c r="CA30" i="9"/>
  <c r="CA15" i="9" s="1"/>
  <c r="CA14" i="9" s="1"/>
  <c r="BP30" i="9"/>
  <c r="BP15" i="9" s="1"/>
  <c r="BP14" i="9" s="1"/>
  <c r="BP296" i="9" s="1"/>
  <c r="BK14" i="9"/>
  <c r="BK296" i="9" s="1"/>
  <c r="B6" i="14" s="1"/>
  <c r="E6" i="14" s="1"/>
  <c r="M17" i="1"/>
  <c r="M16" i="1" s="1"/>
  <c r="M15" i="1" s="1"/>
  <c r="Q153" i="11"/>
  <c r="P76" i="1"/>
  <c r="K153" i="11"/>
  <c r="BN14" i="9"/>
  <c r="BN296" i="9" s="1"/>
  <c r="Z296" i="9"/>
  <c r="K76" i="1"/>
  <c r="L78" i="1"/>
  <c r="K57" i="1"/>
  <c r="T104" i="11"/>
  <c r="AA154" i="11"/>
  <c r="AA153" i="11" s="1"/>
  <c r="AA104" i="11"/>
  <c r="Z346" i="15"/>
  <c r="Z343" i="15" s="1"/>
  <c r="N343" i="15"/>
  <c r="Y346" i="15"/>
  <c r="Y343" i="15" s="1"/>
  <c r="Z270" i="15"/>
  <c r="Z268" i="15" s="1"/>
  <c r="N268" i="15"/>
  <c r="C16" i="14" s="1"/>
  <c r="Y270" i="15"/>
  <c r="Y268" i="15" s="1"/>
  <c r="Z121" i="15"/>
  <c r="Z118" i="15" s="1"/>
  <c r="Z17" i="15" s="1"/>
  <c r="N118" i="15"/>
  <c r="Y121" i="15"/>
  <c r="Y118" i="15" s="1"/>
  <c r="J266" i="15"/>
  <c r="J265" i="15" s="1"/>
  <c r="Z235" i="15"/>
  <c r="R155" i="11"/>
  <c r="R153" i="11" s="1"/>
  <c r="AB60" i="11"/>
  <c r="AB160" i="11" s="1"/>
  <c r="AB46" i="11"/>
  <c r="AB235" i="15"/>
  <c r="P158" i="11"/>
  <c r="AB113" i="11"/>
  <c r="AB111" i="11" s="1"/>
  <c r="K73" i="1"/>
  <c r="O153" i="11"/>
  <c r="T155" i="11"/>
  <c r="T153" i="11" s="1"/>
  <c r="S106" i="11"/>
  <c r="S155" i="11" s="1"/>
  <c r="C11" i="14" s="1"/>
  <c r="C22" i="14" s="1"/>
  <c r="AB68" i="11"/>
  <c r="AB106" i="11" s="1"/>
  <c r="P157" i="15"/>
  <c r="S625" i="13"/>
  <c r="P617" i="13"/>
  <c r="P615" i="13" s="1"/>
  <c r="P15" i="13" s="1"/>
  <c r="P1234" i="13" s="1"/>
  <c r="S149" i="11"/>
  <c r="X66" i="11"/>
  <c r="X105" i="11"/>
  <c r="H16" i="1"/>
  <c r="K17" i="1"/>
  <c r="S235" i="15"/>
  <c r="S4" i="15" s="1"/>
  <c r="X45" i="11"/>
  <c r="S111" i="11"/>
  <c r="P87" i="11"/>
  <c r="P105" i="11"/>
  <c r="U156" i="11"/>
  <c r="U153" i="11" s="1"/>
  <c r="U104" i="11"/>
  <c r="S66" i="11"/>
  <c r="AB67" i="11"/>
  <c r="AB133" i="11"/>
  <c r="AB82" i="11"/>
  <c r="AB72" i="11" s="1"/>
  <c r="AB88" i="11" s="1"/>
  <c r="S72" i="11"/>
  <c r="S88" i="11" s="1"/>
  <c r="Z82" i="11"/>
  <c r="Z72" i="11" s="1"/>
  <c r="Z88" i="11" s="1"/>
  <c r="Z87" i="11" s="1"/>
  <c r="X149" i="11"/>
  <c r="X155" i="11"/>
  <c r="S159" i="11"/>
  <c r="S158" i="11" s="1"/>
  <c r="S45" i="11"/>
  <c r="W104" i="11"/>
  <c r="W154" i="11"/>
  <c r="W153" i="11" s="1"/>
  <c r="AB151" i="11"/>
  <c r="Z151" i="11"/>
  <c r="S107" i="11"/>
  <c r="S156" i="11" s="1"/>
  <c r="D11" i="14" s="1"/>
  <c r="D22" i="14" s="1"/>
  <c r="AB69" i="11"/>
  <c r="AB107" i="11" s="1"/>
  <c r="V154" i="11"/>
  <c r="V153" i="11" s="1"/>
  <c r="V104" i="11"/>
  <c r="Z113" i="11"/>
  <c r="Z111" i="11" s="1"/>
  <c r="E54" i="1"/>
  <c r="J159" i="11"/>
  <c r="G76" i="1"/>
  <c r="N167" i="11"/>
  <c r="J166" i="11"/>
  <c r="Z136" i="11"/>
  <c r="Z133" i="11" s="1"/>
  <c r="Y136" i="11"/>
  <c r="Y133" i="11" s="1"/>
  <c r="N133" i="11"/>
  <c r="I160" i="11"/>
  <c r="I158" i="11" s="1"/>
  <c r="J132" i="11"/>
  <c r="G46" i="1"/>
  <c r="L46" i="1" s="1"/>
  <c r="L47" i="1"/>
  <c r="J149" i="11"/>
  <c r="N150" i="11"/>
  <c r="Z146" i="11"/>
  <c r="Z144" i="11" s="1"/>
  <c r="Y146" i="11"/>
  <c r="Y144" i="11" s="1"/>
  <c r="N144" i="11"/>
  <c r="BQ296" i="9"/>
  <c r="J155" i="11"/>
  <c r="N68" i="11"/>
  <c r="N106" i="11" s="1"/>
  <c r="N69" i="11"/>
  <c r="N107" i="11" s="1"/>
  <c r="J156" i="11"/>
  <c r="Z59" i="11"/>
  <c r="Z46" i="11" s="1"/>
  <c r="Y59" i="11"/>
  <c r="Y46" i="11" s="1"/>
  <c r="N46" i="11"/>
  <c r="N62" i="11"/>
  <c r="J60" i="11"/>
  <c r="J45" i="11" s="1"/>
  <c r="D57" i="1"/>
  <c r="G57" i="1" s="1"/>
  <c r="G73" i="1"/>
  <c r="I154" i="11"/>
  <c r="I153" i="11" s="1"/>
  <c r="I104" i="11"/>
  <c r="Z20" i="11"/>
  <c r="Z19" i="11" s="1"/>
  <c r="Z17" i="11" s="1"/>
  <c r="N19" i="11"/>
  <c r="N17" i="11" s="1"/>
  <c r="Y20" i="11"/>
  <c r="Y19" i="11" s="1"/>
  <c r="Y17" i="11" s="1"/>
  <c r="J15" i="13"/>
  <c r="J1234" i="13" s="1"/>
  <c r="Y730" i="13"/>
  <c r="Y729" i="13" s="1"/>
  <c r="Y703" i="13" s="1"/>
  <c r="N729" i="13"/>
  <c r="N703" i="13" s="1"/>
  <c r="Z730" i="13"/>
  <c r="Z729" i="13" s="1"/>
  <c r="Z703" i="13" s="1"/>
  <c r="Z618" i="13"/>
  <c r="Y618" i="13"/>
  <c r="Y617" i="13" s="1"/>
  <c r="Y615" i="13" s="1"/>
  <c r="E4" i="14"/>
  <c r="I54" i="1"/>
  <c r="G17" i="1"/>
  <c r="D16" i="1"/>
  <c r="D15" i="1" s="1"/>
  <c r="G15" i="1" s="1"/>
  <c r="BX296" i="9"/>
  <c r="CA181" i="9"/>
  <c r="CA168" i="9" s="1"/>
  <c r="BS30" i="9"/>
  <c r="BS15" i="9" s="1"/>
  <c r="BS14" i="9" s="1"/>
  <c r="AT296" i="9"/>
  <c r="BR296" i="9"/>
  <c r="BS181" i="9"/>
  <c r="BS168" i="9" s="1"/>
  <c r="Z275" i="13" l="1"/>
  <c r="Y275" i="13"/>
  <c r="P130" i="16"/>
  <c r="P47" i="1"/>
  <c r="P46" i="1" s="1"/>
  <c r="P109" i="16"/>
  <c r="Y17" i="15"/>
  <c r="Y16" i="15" s="1"/>
  <c r="N105" i="11"/>
  <c r="V65" i="16"/>
  <c r="W65" i="16"/>
  <c r="X65" i="16"/>
  <c r="T64" i="16"/>
  <c r="R99" i="16"/>
  <c r="R106" i="16" s="1"/>
  <c r="P15" i="16"/>
  <c r="N14" i="16"/>
  <c r="I99" i="16"/>
  <c r="K14" i="16"/>
  <c r="V155" i="16"/>
  <c r="X155" i="16"/>
  <c r="W155" i="16"/>
  <c r="V134" i="16"/>
  <c r="X134" i="16"/>
  <c r="W134" i="16"/>
  <c r="P73" i="1"/>
  <c r="T130" i="16"/>
  <c r="Q109" i="16"/>
  <c r="T109" i="16" s="1"/>
  <c r="W16" i="16"/>
  <c r="X16" i="16"/>
  <c r="V16" i="16"/>
  <c r="T15" i="16"/>
  <c r="Q14" i="16"/>
  <c r="J66" i="11"/>
  <c r="J372" i="15"/>
  <c r="CA296" i="9"/>
  <c r="P16" i="1"/>
  <c r="L73" i="1"/>
  <c r="L76" i="1"/>
  <c r="P17" i="1"/>
  <c r="L57" i="1"/>
  <c r="N17" i="15"/>
  <c r="N16" i="15" s="1"/>
  <c r="D16" i="14"/>
  <c r="E16" i="14" s="1"/>
  <c r="Z266" i="15"/>
  <c r="Z265" i="15" s="1"/>
  <c r="Y266" i="15"/>
  <c r="Y265" i="15" s="1"/>
  <c r="N266" i="15"/>
  <c r="N265" i="15" s="1"/>
  <c r="AB45" i="11"/>
  <c r="L17" i="1"/>
  <c r="S87" i="11"/>
  <c r="S105" i="11"/>
  <c r="K16" i="1"/>
  <c r="H15" i="1"/>
  <c r="S157" i="15"/>
  <c r="P149" i="15"/>
  <c r="P147" i="15" s="1"/>
  <c r="P16" i="15" s="1"/>
  <c r="P372" i="15" s="1"/>
  <c r="AB159" i="11"/>
  <c r="AB158" i="11" s="1"/>
  <c r="AB132" i="11"/>
  <c r="AB625" i="13"/>
  <c r="AB617" i="13" s="1"/>
  <c r="AB615" i="13" s="1"/>
  <c r="AB15" i="13" s="1"/>
  <c r="Z625" i="13"/>
  <c r="Z617" i="13" s="1"/>
  <c r="Z615" i="13" s="1"/>
  <c r="Z15" i="13" s="1"/>
  <c r="Z1234" i="13" s="1"/>
  <c r="S617" i="13"/>
  <c r="S615" i="13" s="1"/>
  <c r="S15" i="13" s="1"/>
  <c r="S1234" i="13" s="1"/>
  <c r="AB156" i="11"/>
  <c r="P15" i="1"/>
  <c r="M54" i="1"/>
  <c r="C12" i="14"/>
  <c r="C23" i="14" s="1"/>
  <c r="AB87" i="11"/>
  <c r="AB105" i="11"/>
  <c r="P154" i="11"/>
  <c r="P153" i="11" s="1"/>
  <c r="P104" i="11"/>
  <c r="X154" i="11"/>
  <c r="B12" i="14" s="1"/>
  <c r="B23" i="14" s="1"/>
  <c r="X104" i="11"/>
  <c r="AB155" i="11"/>
  <c r="AB149" i="11"/>
  <c r="AB66" i="11"/>
  <c r="Y159" i="11"/>
  <c r="N132" i="11"/>
  <c r="Z159" i="11"/>
  <c r="Z150" i="11"/>
  <c r="Z149" i="11" s="1"/>
  <c r="N149" i="11"/>
  <c r="Y150" i="11"/>
  <c r="Y149" i="11" s="1"/>
  <c r="Z167" i="11"/>
  <c r="Z166" i="11" s="1"/>
  <c r="N166" i="11"/>
  <c r="Y167" i="11"/>
  <c r="Y166" i="11" s="1"/>
  <c r="Z132" i="11"/>
  <c r="Y132" i="11"/>
  <c r="N159" i="11"/>
  <c r="J160" i="11"/>
  <c r="J158" i="11" s="1"/>
  <c r="Z68" i="11"/>
  <c r="Z106" i="11" s="1"/>
  <c r="Y68" i="11"/>
  <c r="Y106" i="11" s="1"/>
  <c r="N155" i="11"/>
  <c r="C10" i="14" s="1"/>
  <c r="C21" i="14" s="1"/>
  <c r="N156" i="11"/>
  <c r="D10" i="14" s="1"/>
  <c r="Y69" i="11"/>
  <c r="Z69" i="11"/>
  <c r="Z62" i="11"/>
  <c r="Z60" i="11" s="1"/>
  <c r="Z45" i="11" s="1"/>
  <c r="N60" i="11"/>
  <c r="N45" i="11" s="1"/>
  <c r="Y62" i="11"/>
  <c r="Y60" i="11" s="1"/>
  <c r="Y45" i="11" s="1"/>
  <c r="J154" i="11"/>
  <c r="J153" i="11" s="1"/>
  <c r="J104" i="11"/>
  <c r="Y15" i="13"/>
  <c r="Y1234" i="13" s="1"/>
  <c r="N15" i="13"/>
  <c r="N1234" i="13" s="1"/>
  <c r="G16" i="1"/>
  <c r="BS296" i="9"/>
  <c r="L14" i="16" l="1"/>
  <c r="Y372" i="15"/>
  <c r="P54" i="1"/>
  <c r="Y67" i="11"/>
  <c r="Y105" i="11" s="1"/>
  <c r="Z67" i="11"/>
  <c r="Z105" i="11" s="1"/>
  <c r="N66" i="11"/>
  <c r="W64" i="16"/>
  <c r="V64" i="16"/>
  <c r="X64" i="16"/>
  <c r="N99" i="16"/>
  <c r="P14" i="16"/>
  <c r="I106" i="16"/>
  <c r="K106" i="16" s="1"/>
  <c r="L106" i="16" s="1"/>
  <c r="K99" i="16"/>
  <c r="L99" i="16" s="1"/>
  <c r="V109" i="16"/>
  <c r="X109" i="16"/>
  <c r="W109" i="16"/>
  <c r="V130" i="16"/>
  <c r="X130" i="16"/>
  <c r="W130" i="16"/>
  <c r="T14" i="16"/>
  <c r="Q99" i="16"/>
  <c r="V15" i="16"/>
  <c r="W15" i="16"/>
  <c r="X15" i="16"/>
  <c r="AB1234" i="13"/>
  <c r="D21" i="14"/>
  <c r="E23" i="14"/>
  <c r="N372" i="15"/>
  <c r="X153" i="11"/>
  <c r="E12" i="14"/>
  <c r="AB154" i="11"/>
  <c r="AB153" i="11" s="1"/>
  <c r="AB104" i="11"/>
  <c r="AB157" i="15"/>
  <c r="AB149" i="15" s="1"/>
  <c r="AB147" i="15" s="1"/>
  <c r="AB16" i="15" s="1"/>
  <c r="AB372" i="15" s="1"/>
  <c r="Z157" i="15"/>
  <c r="Z149" i="15" s="1"/>
  <c r="Z147" i="15" s="1"/>
  <c r="Z16" i="15" s="1"/>
  <c r="Z372" i="15" s="1"/>
  <c r="S149" i="15"/>
  <c r="L16" i="1"/>
  <c r="H54" i="1"/>
  <c r="K15" i="1"/>
  <c r="K54" i="1" s="1"/>
  <c r="S154" i="11"/>
  <c r="S104" i="11"/>
  <c r="Y107" i="11"/>
  <c r="Y156" i="11" s="1"/>
  <c r="Z107" i="11"/>
  <c r="Z156" i="11" s="1"/>
  <c r="Z155" i="11"/>
  <c r="Y155" i="11"/>
  <c r="N160" i="11"/>
  <c r="N158" i="11" s="1"/>
  <c r="Z160" i="11"/>
  <c r="Z158" i="11" s="1"/>
  <c r="Y160" i="11"/>
  <c r="Y158" i="11" s="1"/>
  <c r="N104" i="11"/>
  <c r="D54" i="1"/>
  <c r="I4" i="1" l="1"/>
  <c r="Y66" i="11"/>
  <c r="Z66" i="11"/>
  <c r="N106" i="16"/>
  <c r="P106" i="16" s="1"/>
  <c r="P99" i="16"/>
  <c r="X14" i="16"/>
  <c r="W14" i="16"/>
  <c r="V14" i="16"/>
  <c r="T99" i="16"/>
  <c r="Q106" i="16"/>
  <c r="T106" i="16" s="1"/>
  <c r="S147" i="15"/>
  <c r="S16" i="15" s="1"/>
  <c r="S372" i="15" s="1"/>
  <c r="B17" i="14"/>
  <c r="S153" i="11"/>
  <c r="B11" i="14"/>
  <c r="E11" i="14" s="1"/>
  <c r="B10" i="14"/>
  <c r="B21" i="14" s="1"/>
  <c r="E21" i="14" s="1"/>
  <c r="N153" i="11"/>
  <c r="Y154" i="11"/>
  <c r="Y153" i="11" s="1"/>
  <c r="Y104" i="11"/>
  <c r="Z154" i="11"/>
  <c r="Z153" i="11" s="1"/>
  <c r="Z104" i="11"/>
  <c r="G54" i="1"/>
  <c r="L54" i="1" s="1"/>
  <c r="L15" i="1"/>
  <c r="W106" i="16" l="1"/>
  <c r="V106" i="16"/>
  <c r="X106" i="16"/>
  <c r="X99" i="16"/>
  <c r="V99" i="16"/>
  <c r="W99" i="16"/>
  <c r="E17" i="14"/>
  <c r="G23" i="14" s="1"/>
  <c r="B22" i="14"/>
  <c r="E22" i="14" s="1"/>
  <c r="E10" i="14"/>
</calcChain>
</file>

<file path=xl/sharedStrings.xml><?xml version="1.0" encoding="utf-8"?>
<sst xmlns="http://schemas.openxmlformats.org/spreadsheetml/2006/main" count="4547" uniqueCount="821">
  <si>
    <t>Department of Environment and Natural Resources</t>
  </si>
  <si>
    <t>Financial Monitoring Report</t>
  </si>
  <si>
    <t>ALL FUNDS</t>
  </si>
  <si>
    <t>(in Thousand Pesos)</t>
  </si>
  <si>
    <t>REGION/BUREAU:</t>
  </si>
  <si>
    <t>I. EXPENDITURES</t>
  </si>
  <si>
    <t>FUND SOURCE</t>
  </si>
  <si>
    <t>ALLOTMENTS RECEIVED</t>
  </si>
  <si>
    <t>OBLIGATIONS INCURRED</t>
  </si>
  <si>
    <t>UTILIZATION</t>
  </si>
  <si>
    <t>APPRO.</t>
  </si>
  <si>
    <t>PS</t>
  </si>
  <si>
    <t>MOOE</t>
  </si>
  <si>
    <t>CO</t>
  </si>
  <si>
    <t>TOTAL</t>
  </si>
  <si>
    <t>RATE (in %)</t>
  </si>
  <si>
    <t>(Full Year)</t>
  </si>
  <si>
    <t xml:space="preserve">      Agency Specific Budget - ABM</t>
  </si>
  <si>
    <t xml:space="preserve">          Regular - Fund 101</t>
  </si>
  <si>
    <t xml:space="preserve">          Comprehensive Agrarian Reform Program (CARP)</t>
  </si>
  <si>
    <t xml:space="preserve">      Foreign Assisted Projects (FAPs) - Fund 102</t>
  </si>
  <si>
    <t xml:space="preserve">          Fund 102 - GOP</t>
  </si>
  <si>
    <t xml:space="preserve">             INREMP</t>
  </si>
  <si>
    <t xml:space="preserve">             FMP</t>
  </si>
  <si>
    <t xml:space="preserve">             CBFMMP</t>
  </si>
  <si>
    <t xml:space="preserve">             ICRMP</t>
  </si>
  <si>
    <t xml:space="preserve">             LAMP2</t>
  </si>
  <si>
    <t xml:space="preserve">          Fund 102 - LP</t>
  </si>
  <si>
    <t xml:space="preserve">      Special Purpose Fund (Other Releases)</t>
  </si>
  <si>
    <t xml:space="preserve">      Automatic Appropriation</t>
  </si>
  <si>
    <t xml:space="preserve">         RLIP</t>
  </si>
  <si>
    <t xml:space="preserve">         Fund 171 - Grants</t>
  </si>
  <si>
    <t xml:space="preserve">            ICRMP</t>
  </si>
  <si>
    <t xml:space="preserve">            PhilCCAP</t>
  </si>
  <si>
    <t xml:space="preserve">            PCEEP</t>
  </si>
  <si>
    <t xml:space="preserve">            CBFMMP</t>
  </si>
  <si>
    <t xml:space="preserve">            IPOPs</t>
  </si>
  <si>
    <t xml:space="preserve">         Fund 401 - IPAF</t>
  </si>
  <si>
    <t xml:space="preserve">         Fund 338 - Minres</t>
  </si>
  <si>
    <t xml:space="preserve">      Fund 101 - Regular</t>
  </si>
  <si>
    <t xml:space="preserve">      Comprehensive Agrarian Reform Program (CARP)</t>
  </si>
  <si>
    <t xml:space="preserve">      Foreignt Assisted Projects (FAPs)</t>
  </si>
  <si>
    <t xml:space="preserve">      Grants (171)</t>
  </si>
  <si>
    <t xml:space="preserve">      Fund 401 - IPAF</t>
  </si>
  <si>
    <t xml:space="preserve">      Fund  338- Minres</t>
  </si>
  <si>
    <t xml:space="preserve">   GRAND TOTAL</t>
  </si>
  <si>
    <t>OF WHICH:</t>
  </si>
  <si>
    <t>Key Programs/Projects</t>
  </si>
  <si>
    <t>TOTAL  (Current &amp; Continuing)</t>
  </si>
  <si>
    <t>National Greening Program</t>
  </si>
  <si>
    <t xml:space="preserve">     Grassroot Participatory Budgeting (GPB)</t>
  </si>
  <si>
    <t>Forest Protection</t>
  </si>
  <si>
    <t>Watershed Management</t>
  </si>
  <si>
    <t>Cadastral Survey</t>
  </si>
  <si>
    <t>Comprehensive Agrarian Reform Program (CARP)</t>
  </si>
  <si>
    <t>Ecotourism Development</t>
  </si>
  <si>
    <t>Protected Area Protection (SCREMP)</t>
  </si>
  <si>
    <t>Operation Plan for Manila Bay Coastal Mgt.</t>
  </si>
  <si>
    <t>Settlement of Obligations for the non-power component of San Roque Multi -Purpose Project payable to PSALM</t>
  </si>
  <si>
    <t>Foreign Assisted Projects (FAPs)</t>
  </si>
  <si>
    <t>Clean Air Program (EMB)</t>
  </si>
  <si>
    <t>Clean Water Program (EMB)</t>
  </si>
  <si>
    <t>Solid Waste Management Program (EMB)</t>
  </si>
  <si>
    <t>Geohazard Assessment &amp; Mapping Program (MGB)</t>
  </si>
  <si>
    <t>Groundwater Resource Assessment</t>
  </si>
  <si>
    <t>Prepared by:</t>
  </si>
  <si>
    <t>Budget Officer</t>
  </si>
  <si>
    <t>COORDINATE THE FORMAT TO CENTRAL OFFICE FOR POSSIBLE CHANGE/IMPROVEMENT</t>
  </si>
  <si>
    <t>STATEMENT OF APPROPRIATIONS, ALLOTMENT, OBLIGATIONS, DISBURSEMENTS AND BALANCES</t>
  </si>
  <si>
    <t>Department</t>
  </si>
  <si>
    <t>:</t>
  </si>
  <si>
    <t xml:space="preserve"> Environment and Natural Resources</t>
  </si>
  <si>
    <t>Agency</t>
  </si>
  <si>
    <t xml:space="preserve"> Mines and Geosciences Bureau </t>
  </si>
  <si>
    <t>Current Year Appropriations</t>
  </si>
  <si>
    <t>Operating Unit</t>
  </si>
  <si>
    <t>Supplemental Appropriations</t>
  </si>
  <si>
    <t>Organization Code (UACS)</t>
  </si>
  <si>
    <t>Continuing Appropriations</t>
  </si>
  <si>
    <t>Funding Source Code</t>
  </si>
  <si>
    <t>Particulars</t>
  </si>
  <si>
    <t>UACS CODE</t>
  </si>
  <si>
    <t>Allotments</t>
  </si>
  <si>
    <t xml:space="preserve">OBLIGATIONS </t>
  </si>
  <si>
    <t>DISBURSEMENTS</t>
  </si>
  <si>
    <t>Balances</t>
  </si>
  <si>
    <t>Allotments Received</t>
  </si>
  <si>
    <t>Adjusments (Withdrawal, Realigment)</t>
  </si>
  <si>
    <t>Transfer To Regional Office</t>
  </si>
  <si>
    <t>Transfer from Central Office</t>
  </si>
  <si>
    <t>Adjusted Total Allotments</t>
  </si>
  <si>
    <t>1st Quarter Ending March 31</t>
  </si>
  <si>
    <t>2nd Quarter Ending June30</t>
  </si>
  <si>
    <t>3rd Quarter Ending Sept30</t>
  </si>
  <si>
    <t>4th Quarter Ending Dec31</t>
  </si>
  <si>
    <t>Total</t>
  </si>
  <si>
    <t>Unreleased Appropriation</t>
  </si>
  <si>
    <t>Unobligated Allotment</t>
  </si>
  <si>
    <t>Unpaid Obligations</t>
  </si>
  <si>
    <t>Due and Demandable</t>
  </si>
  <si>
    <t>Not Yet Due and Demandable</t>
  </si>
  <si>
    <t>A.01</t>
  </si>
  <si>
    <t>GENERAL ADMINISTRATION AND SUPPORT SERVICES</t>
  </si>
  <si>
    <t>A.01.a</t>
  </si>
  <si>
    <t>General Management and Supervision</t>
  </si>
  <si>
    <t>A.01.a.1</t>
  </si>
  <si>
    <t>Administrative Services</t>
  </si>
  <si>
    <t>A.01.a.2</t>
  </si>
  <si>
    <t>Financial Management Services</t>
  </si>
  <si>
    <t>A.01.a.3</t>
  </si>
  <si>
    <t>A.01.b</t>
  </si>
  <si>
    <t>Human Resource Development</t>
  </si>
  <si>
    <t>A.02</t>
  </si>
  <si>
    <t>SUPPORT TO OPERATIONS</t>
  </si>
  <si>
    <t>A.02.a</t>
  </si>
  <si>
    <t>Planning and Policy Formulation</t>
  </si>
  <si>
    <t>A.02.b</t>
  </si>
  <si>
    <t>A.02.c</t>
  </si>
  <si>
    <t>Research and Development</t>
  </si>
  <si>
    <t>A.03</t>
  </si>
  <si>
    <t>OPERATIONS</t>
  </si>
  <si>
    <t>A.03.a</t>
  </si>
  <si>
    <t>Mineral Resource Services</t>
  </si>
  <si>
    <t>A.03.a.1</t>
  </si>
  <si>
    <t>Communication Plan for Minerals Development</t>
  </si>
  <si>
    <t>A.03.a.1.a</t>
  </si>
  <si>
    <t>a.</t>
  </si>
  <si>
    <t>A.03.a.1.a.1</t>
  </si>
  <si>
    <t>A.03.a.1.a.2</t>
  </si>
  <si>
    <t>IEC Activities</t>
  </si>
  <si>
    <t>A.03.a.1.b</t>
  </si>
  <si>
    <t>b.</t>
  </si>
  <si>
    <t>Capacity Building Training</t>
  </si>
  <si>
    <t>For MGB Personnel</t>
  </si>
  <si>
    <t>c.</t>
  </si>
  <si>
    <t>A.03.a.1.c</t>
  </si>
  <si>
    <t>Generate Information/Publish and Disseminate IEC Materials</t>
  </si>
  <si>
    <t>A.03.a.1.c.1</t>
  </si>
  <si>
    <t>A.03.a.1.c.2</t>
  </si>
  <si>
    <t>A.03.a.1.c.3</t>
  </si>
  <si>
    <t>A.03.a.1.c.4</t>
  </si>
  <si>
    <t>A.03.a.1.c.5</t>
  </si>
  <si>
    <t>A.03.a.1.c.6</t>
  </si>
  <si>
    <t>A.03.a.1.d</t>
  </si>
  <si>
    <t>d.</t>
  </si>
  <si>
    <t>National Mineral Reservation Program</t>
  </si>
  <si>
    <t>1.</t>
  </si>
  <si>
    <t>2.</t>
  </si>
  <si>
    <t>Assessment of Mineral Reservation Areas</t>
  </si>
  <si>
    <t>3.</t>
  </si>
  <si>
    <t>4.</t>
  </si>
  <si>
    <t>A.03.b</t>
  </si>
  <si>
    <t>Geosciences Development Services</t>
  </si>
  <si>
    <t>A.03.b.1</t>
  </si>
  <si>
    <t>Geohazard Assessment and Mapping</t>
  </si>
  <si>
    <t>A.03.b.1.a</t>
  </si>
  <si>
    <t>Land</t>
  </si>
  <si>
    <t>A.03.b.1.a.1</t>
  </si>
  <si>
    <t>Vulnerability and Risk Assessment</t>
  </si>
  <si>
    <t>A.03.b.1.a.2</t>
  </si>
  <si>
    <t>A.03.b.1.a.3</t>
  </si>
  <si>
    <t>A.03.b.1.a.4</t>
  </si>
  <si>
    <t>Conduct of IEC to LGUs</t>
  </si>
  <si>
    <t>A.03.b.1.b</t>
  </si>
  <si>
    <t>Coastal Geohazard and Impact of Climate Change</t>
  </si>
  <si>
    <t xml:space="preserve">Production of Coastal Geohazards Maps </t>
  </si>
  <si>
    <t>Operation and Maintenance of RPS Explorer</t>
  </si>
  <si>
    <t>Conduct IEC to LGUs</t>
  </si>
  <si>
    <t>A.03.b.2</t>
  </si>
  <si>
    <t>Geologic Mapping</t>
  </si>
  <si>
    <t>A.03.b.2.a</t>
  </si>
  <si>
    <t xml:space="preserve">Geologic Quadrangle Mapping and Surveys </t>
  </si>
  <si>
    <t>A.03.b.2.a.1</t>
  </si>
  <si>
    <t>A.03.b.2.b</t>
  </si>
  <si>
    <t>Mineral Exploration</t>
  </si>
  <si>
    <t>Lands Geology</t>
  </si>
  <si>
    <t>2.a</t>
  </si>
  <si>
    <t>Mineral Resources Validation</t>
  </si>
  <si>
    <t>A.03.b.2.b.2</t>
  </si>
  <si>
    <t>Drilling Services</t>
  </si>
  <si>
    <t>A.03.b.2.b.2(b)</t>
  </si>
  <si>
    <t>2.b</t>
  </si>
  <si>
    <t>Updating of Mineral Resources Inventory</t>
  </si>
  <si>
    <t>A.03.b.2.c</t>
  </si>
  <si>
    <t>c</t>
  </si>
  <si>
    <t>A.03.b.2.c.1</t>
  </si>
  <si>
    <t>Petrological/Chemical Analysis</t>
  </si>
  <si>
    <t>A.03.b.2.c.2</t>
  </si>
  <si>
    <t>Metallurgical/Chemical Analysis</t>
  </si>
  <si>
    <t>A.03.b.3</t>
  </si>
  <si>
    <t>A.03.b.3.a</t>
  </si>
  <si>
    <t>A.03.b.4</t>
  </si>
  <si>
    <t>Technical Assistance Provided</t>
  </si>
  <si>
    <t>A.03.c</t>
  </si>
  <si>
    <t>Mineral Lands Administration</t>
  </si>
  <si>
    <t>A.03.c.1</t>
  </si>
  <si>
    <t>Mining Industry Development Program</t>
  </si>
  <si>
    <t>A.03.c.1.a</t>
  </si>
  <si>
    <t>Monitoring/audit of approved mining contracts/permits including areas within mineral reservations as to compliance with the implementation of approved Work Program and Safety, Health, Environment and Socials Programs</t>
  </si>
  <si>
    <t>7.</t>
  </si>
  <si>
    <t>5.</t>
  </si>
  <si>
    <t>6.</t>
  </si>
  <si>
    <t>A.03.c.1.b</t>
  </si>
  <si>
    <t>A.03.c.1.b.1</t>
  </si>
  <si>
    <t>A.03.c.1.b.2</t>
  </si>
  <si>
    <t>A.03.c.1.b.3</t>
  </si>
  <si>
    <t>A.03.c.1.b.4</t>
  </si>
  <si>
    <t>Panel of Arbitrators</t>
  </si>
  <si>
    <t>Strengthen Multi-Partite Monitoring System</t>
  </si>
  <si>
    <t>A.03.c.2</t>
  </si>
  <si>
    <t>Mineral Investment Promotion Program</t>
  </si>
  <si>
    <t>A.03.c.2.a</t>
  </si>
  <si>
    <t>Issuance of mining contracts/permits including areas within mineral reservations and other related permits</t>
  </si>
  <si>
    <t>ISSUANCE OF PERMITS</t>
  </si>
  <si>
    <t>USE IT OR LOSE IT POLICY</t>
  </si>
  <si>
    <t>Mining Application Processes</t>
  </si>
  <si>
    <t>APPROVAL OF SHES</t>
  </si>
  <si>
    <t>Assistance to P/CMRB/LGU/Other Stakeholders</t>
  </si>
  <si>
    <t>A.03.c.3</t>
  </si>
  <si>
    <t xml:space="preserve">Mine Rehablititation Program </t>
  </si>
  <si>
    <t>A.03.c.3.a</t>
  </si>
  <si>
    <t>A.03.c.3.b</t>
  </si>
  <si>
    <t>A.03.c.3.b.1</t>
  </si>
  <si>
    <t>A.03.c.3.b.2</t>
  </si>
  <si>
    <t>A.03.c.3.c</t>
  </si>
  <si>
    <t>GRAND TOTAL</t>
  </si>
  <si>
    <t>Certified Correct:</t>
  </si>
  <si>
    <t>Recommending Approval:</t>
  </si>
  <si>
    <t>Approved By:</t>
  </si>
  <si>
    <t>FAR No. 1</t>
  </si>
  <si>
    <t>Appropriations</t>
  </si>
  <si>
    <t>Current Year Obligations</t>
  </si>
  <si>
    <t>Current Year Disbursements</t>
  </si>
  <si>
    <t>Authorized Appropriation</t>
  </si>
  <si>
    <t>Adjustments (Transfer (To)From, Realignment)</t>
  </si>
  <si>
    <t>Adjusted Appropriation</t>
  </si>
  <si>
    <t>Transfer To</t>
  </si>
  <si>
    <t>Transfer from</t>
  </si>
  <si>
    <t>5=(3+4)</t>
  </si>
  <si>
    <t>10=(6+(-)7-8+9)</t>
  </si>
  <si>
    <t>15=(11+12+13+14)</t>
  </si>
  <si>
    <t>20=(16+17+18+19)</t>
  </si>
  <si>
    <t>21=(5-10)</t>
  </si>
  <si>
    <t>22=(10-15)</t>
  </si>
  <si>
    <t>1 01 101</t>
  </si>
  <si>
    <t>General Administration and Supervision</t>
  </si>
  <si>
    <t>1 00 010000</t>
  </si>
  <si>
    <t>1 00 020000</t>
  </si>
  <si>
    <t>Human Resource Development Service</t>
  </si>
  <si>
    <t>1 00 020001</t>
  </si>
  <si>
    <t>2 00 000000</t>
  </si>
  <si>
    <t>2 00 010000</t>
  </si>
  <si>
    <t>Mineral Economics, Information and Publication</t>
  </si>
  <si>
    <t>2 00 020000</t>
  </si>
  <si>
    <t>2 00 030000</t>
  </si>
  <si>
    <t>3 00 00 000</t>
  </si>
  <si>
    <t>MFO 1 - Mineral Resources Development Services</t>
  </si>
  <si>
    <t>3 01 00 000</t>
  </si>
  <si>
    <t>3 01 01 000</t>
  </si>
  <si>
    <t>3 01 01 001</t>
  </si>
  <si>
    <t>3 01 01 002</t>
  </si>
  <si>
    <t>3 01 02 000</t>
  </si>
  <si>
    <t>MFO 2 - Mining Regulation Services</t>
  </si>
  <si>
    <t>3 02 00 000</t>
  </si>
  <si>
    <t>3 02 01 000</t>
  </si>
  <si>
    <t>Sub-Total, Agency Specific Budget</t>
  </si>
  <si>
    <t>Retirement and Life Insurance Premium</t>
  </si>
  <si>
    <t>1 04 102</t>
  </si>
  <si>
    <t>Sub-Total, Automatic Appropriations</t>
  </si>
  <si>
    <t>Miscellaneous Personnel Benefit Fund</t>
  </si>
  <si>
    <t>1 04 406</t>
  </si>
  <si>
    <t>Personnel Services( Regular)</t>
  </si>
  <si>
    <t>Pension and Gratuity Fund/Retirement Benefits Fund</t>
  </si>
  <si>
    <t>Terminal Leave Benefits - Civilian</t>
  </si>
  <si>
    <t>1 04 407</t>
  </si>
  <si>
    <t>Recapitulation by MFO:</t>
  </si>
  <si>
    <t>Major Programs/Projects</t>
  </si>
  <si>
    <t>KRA No. 5 Integrity of the Environment and Climate</t>
  </si>
  <si>
    <t xml:space="preserve">                   Change Mitigation and Adaption</t>
  </si>
  <si>
    <t>3 01 02 001</t>
  </si>
  <si>
    <t>03 1 04 338</t>
  </si>
  <si>
    <t>SUMMARY</t>
  </si>
  <si>
    <t>01 1 01 101</t>
  </si>
  <si>
    <t>Personnel Services</t>
  </si>
  <si>
    <t>Salaries and Wages - Regular</t>
  </si>
  <si>
    <t>Salaries and Wages - Civilian</t>
  </si>
  <si>
    <t>50101010 01</t>
  </si>
  <si>
    <t>Other Compensation</t>
  </si>
  <si>
    <t>Personnel Economic Relief Allowance (PERA) - Civilian</t>
  </si>
  <si>
    <t>50102010 01</t>
  </si>
  <si>
    <t>Representation Allowance (RA)</t>
  </si>
  <si>
    <t>50102020 00</t>
  </si>
  <si>
    <t>Transportation Allowance (TA) - Civilian</t>
  </si>
  <si>
    <t>50102030 01</t>
  </si>
  <si>
    <t>Clothing/uniform Allowance - Civilian</t>
  </si>
  <si>
    <t>50102040 01</t>
  </si>
  <si>
    <t>Productivity Incentive Allownace - Civilian</t>
  </si>
  <si>
    <t>50102080 01</t>
  </si>
  <si>
    <t>Longevity Pay - Civilian</t>
  </si>
  <si>
    <t>50102120 01</t>
  </si>
  <si>
    <t>Year End Bonus - Civilian</t>
  </si>
  <si>
    <t>50102140 01</t>
  </si>
  <si>
    <t>Cash Gift - Civilian</t>
  </si>
  <si>
    <t>50102150 01</t>
  </si>
  <si>
    <t>Other Bonuses and Allowances-Collective Negotiation Agreement Incentive - Civilian</t>
  </si>
  <si>
    <t>50102990 11</t>
  </si>
  <si>
    <t>Personnel Benefit Contributions</t>
  </si>
  <si>
    <t>Pag-IBIG Contributions - Civilian</t>
  </si>
  <si>
    <t>50103020 01</t>
  </si>
  <si>
    <t>PhilHealth Contributions - Civilian</t>
  </si>
  <si>
    <t>50103030 01</t>
  </si>
  <si>
    <t>Employees Compensation Insurance Premiums - Civilian</t>
  </si>
  <si>
    <t>50103040 01</t>
  </si>
  <si>
    <t>Other Personnel Benefits</t>
  </si>
  <si>
    <t>Other Personnel Benefits-Lump Sum of Step Increment-Length of Service</t>
  </si>
  <si>
    <t>50104990 10</t>
  </si>
  <si>
    <t>Maintenance &amp; Other Operating Expenses</t>
  </si>
  <si>
    <t>Travelling Expenses</t>
  </si>
  <si>
    <t>Travelling Expenses - Local</t>
  </si>
  <si>
    <t>50201010 00</t>
  </si>
  <si>
    <t>Travelling Expenses - Foreign</t>
  </si>
  <si>
    <t>50201020 00</t>
  </si>
  <si>
    <t>Training and Scholarship Expenses</t>
  </si>
  <si>
    <t>Training Expenses</t>
  </si>
  <si>
    <t>50202010 00</t>
  </si>
  <si>
    <t>Scholarship/Grants Expenses</t>
  </si>
  <si>
    <t>50202020 00</t>
  </si>
  <si>
    <t>Supplies and Materials</t>
  </si>
  <si>
    <t>Office Supplies Expenses</t>
  </si>
  <si>
    <t>50203010 00</t>
  </si>
  <si>
    <t>ICT Office Supplies Expenses</t>
  </si>
  <si>
    <t>50203010 01</t>
  </si>
  <si>
    <t>Accountable Forms Expenses</t>
  </si>
  <si>
    <t>50203020 00</t>
  </si>
  <si>
    <t>Medical,Dental,Laboratory Supplies Expenses</t>
  </si>
  <si>
    <t>50203080 00</t>
  </si>
  <si>
    <t>Fuel, Oil &amp; Lubricants Expenses</t>
  </si>
  <si>
    <t>50203090 00</t>
  </si>
  <si>
    <t>Other Supplies and Materials Expenses</t>
  </si>
  <si>
    <t>50203990 00</t>
  </si>
  <si>
    <t>Utilities Expenses</t>
  </si>
  <si>
    <t>Water Expenses</t>
  </si>
  <si>
    <t>50204010 00</t>
  </si>
  <si>
    <t>Electricity Expenses</t>
  </si>
  <si>
    <t>50204020 00</t>
  </si>
  <si>
    <t>Communication Expenses</t>
  </si>
  <si>
    <t>Postage and Courier Services</t>
  </si>
  <si>
    <t>50205010 00</t>
  </si>
  <si>
    <t>Telephone Expenses - Mobile</t>
  </si>
  <si>
    <t>50205020 01</t>
  </si>
  <si>
    <t>Telephone Expenses - Landline</t>
  </si>
  <si>
    <t>50205020 02</t>
  </si>
  <si>
    <t>Internet Subscription Expenses</t>
  </si>
  <si>
    <t>50205030 00</t>
  </si>
  <si>
    <t>Cable, Satellite, Telegraph, and Radio Expenses</t>
  </si>
  <si>
    <t>50205040 00</t>
  </si>
  <si>
    <t>Confidential, Intellegence, Extraordinary &amp; Miscellaneous Expense</t>
  </si>
  <si>
    <t>Extraordinary and Miscellaneous Expenses</t>
  </si>
  <si>
    <t>50210030 00</t>
  </si>
  <si>
    <t>Professional Services</t>
  </si>
  <si>
    <t>Legal Services</t>
  </si>
  <si>
    <t>50211010 00</t>
  </si>
  <si>
    <t>Auditing Services</t>
  </si>
  <si>
    <t>50211020 00</t>
  </si>
  <si>
    <t>Other Professional Services</t>
  </si>
  <si>
    <t>50211990 00</t>
  </si>
  <si>
    <t>General Services</t>
  </si>
  <si>
    <t>50212000 00</t>
  </si>
  <si>
    <t>Janitorial Services</t>
  </si>
  <si>
    <t>50212020 00</t>
  </si>
  <si>
    <t>Security Services</t>
  </si>
  <si>
    <t>50212030 00</t>
  </si>
  <si>
    <t>Other General Services</t>
  </si>
  <si>
    <t>50212990 00</t>
  </si>
  <si>
    <t>Repair and Maintenance</t>
  </si>
  <si>
    <t>R&amp;M - Land Improvements - Other Land Improvement</t>
  </si>
  <si>
    <t>50213020 99</t>
  </si>
  <si>
    <t>R&amp;M - Buildings &amp; Other Structures - Buildings</t>
  </si>
  <si>
    <t>50213040 01</t>
  </si>
  <si>
    <t>R&amp;M - Buildings &amp; Other Structures - Hostels &amp; Dormitories</t>
  </si>
  <si>
    <t>50213040 06</t>
  </si>
  <si>
    <t>R&amp;M - Buildings &amp; Other Structures - Other Structures</t>
  </si>
  <si>
    <t>50213040 99</t>
  </si>
  <si>
    <t>R&amp;M - Machinery &amp; Equipment - Machinery</t>
  </si>
  <si>
    <t>50213050 01</t>
  </si>
  <si>
    <t>R&amp;M - Machinery &amp; Equipment - Office Equipment</t>
  </si>
  <si>
    <t>50213050 02</t>
  </si>
  <si>
    <t>50213050 03</t>
  </si>
  <si>
    <t>R&amp;M - Machinery &amp; Equipment - Communication Equipment</t>
  </si>
  <si>
    <t>50213050 07</t>
  </si>
  <si>
    <t>R&amp;M - Machinery &amp; Equipment - Medical Equipment</t>
  </si>
  <si>
    <t>50213050 11</t>
  </si>
  <si>
    <t>R&amp;M - Machinery &amp; Equipment - Printing Equipment</t>
  </si>
  <si>
    <t>50213050 12</t>
  </si>
  <si>
    <t>R&amp;M - Machinery &amp; Equipment - Technical &amp; Scientific Equipment</t>
  </si>
  <si>
    <t>50213050 14</t>
  </si>
  <si>
    <t>R&amp;M - Machinery &amp; Equipment - Other Machinery &amp; Equipment</t>
  </si>
  <si>
    <t>50213050 99</t>
  </si>
  <si>
    <t>R&amp;M - Transportation Equipment - Motor Vehicles</t>
  </si>
  <si>
    <t>50213060 01</t>
  </si>
  <si>
    <t>R&amp;M - Transportation Equipment - Watercrafts</t>
  </si>
  <si>
    <t>50213060 04</t>
  </si>
  <si>
    <t>R&amp;M - Transportation Equipment - Other Transportation Equipment</t>
  </si>
  <si>
    <t>50213060 99</t>
  </si>
  <si>
    <t>R&amp;M - Furniture &amp; Fixtures</t>
  </si>
  <si>
    <t>50213070 00</t>
  </si>
  <si>
    <t>R&amp;M - Other Property Plant &amp; Equipment</t>
  </si>
  <si>
    <t>50213990 00</t>
  </si>
  <si>
    <t>Taxes, Insurance Premium &amp; Other Fees</t>
  </si>
  <si>
    <t>Taxes, Duties &amp; Licenses</t>
  </si>
  <si>
    <t>50215010 00</t>
  </si>
  <si>
    <t>Fidelity Bond Premiums</t>
  </si>
  <si>
    <t>50215020 00</t>
  </si>
  <si>
    <t>Insurance Expenses</t>
  </si>
  <si>
    <t>50215030 00</t>
  </si>
  <si>
    <t>Other Maintenance &amp; Operating Expenses</t>
  </si>
  <si>
    <t>Survey Expense</t>
  </si>
  <si>
    <t>50207010 00</t>
  </si>
  <si>
    <t>Advertising Expenses</t>
  </si>
  <si>
    <t>50299010 00</t>
  </si>
  <si>
    <t>Printing and Publication Expenses</t>
  </si>
  <si>
    <t>50299020 00</t>
  </si>
  <si>
    <t>Representation Expenses</t>
  </si>
  <si>
    <t>50299030 00</t>
  </si>
  <si>
    <t>Transportation and Delivery Expenses</t>
  </si>
  <si>
    <t>50299040 00</t>
  </si>
  <si>
    <t>Rent/Lease Expenses - Buildings</t>
  </si>
  <si>
    <t>50299050 01</t>
  </si>
  <si>
    <t>Rent/Lease Expenses - Motor Vehicles</t>
  </si>
  <si>
    <t>50299050 03</t>
  </si>
  <si>
    <t>Rent/Lease Expenses - Equipment</t>
  </si>
  <si>
    <t>50299050 04</t>
  </si>
  <si>
    <t>Membership Dues and Contribution to Organization</t>
  </si>
  <si>
    <t>50299060 00</t>
  </si>
  <si>
    <t>Other Maintenance and Operating Expenses</t>
  </si>
  <si>
    <t>50299990 00</t>
  </si>
  <si>
    <t>Capital Outlays</t>
  </si>
  <si>
    <t>Property, Plant, and Equipment</t>
  </si>
  <si>
    <t>Land Improvements Outlay</t>
  </si>
  <si>
    <t>Reforestration Project</t>
  </si>
  <si>
    <t>50604020 02</t>
  </si>
  <si>
    <t>Other Land Improvements</t>
  </si>
  <si>
    <t>50604020 99</t>
  </si>
  <si>
    <t>Buildings and Other Structures Outlay</t>
  </si>
  <si>
    <t>Buildings</t>
  </si>
  <si>
    <t>50604040 01</t>
  </si>
  <si>
    <t>Hostels and Dormitory</t>
  </si>
  <si>
    <t>50604040 06</t>
  </si>
  <si>
    <t>Other Structures</t>
  </si>
  <si>
    <t>50604040 99</t>
  </si>
  <si>
    <t>Machinery and Equipment Outlay</t>
  </si>
  <si>
    <t>Machinery</t>
  </si>
  <si>
    <t>50604050 01</t>
  </si>
  <si>
    <t>Office Equipment</t>
  </si>
  <si>
    <t>50604050 02</t>
  </si>
  <si>
    <t>Information and Communication Technology Equipment</t>
  </si>
  <si>
    <t>50604050 03</t>
  </si>
  <si>
    <t>Communication Equipment</t>
  </si>
  <si>
    <t>50604050 07</t>
  </si>
  <si>
    <t>Medical Equipment</t>
  </si>
  <si>
    <t>50604050 11</t>
  </si>
  <si>
    <t>Technical and Scientific Equipment</t>
  </si>
  <si>
    <t>50604050 14</t>
  </si>
  <si>
    <t>Other Machinery Equipment</t>
  </si>
  <si>
    <t>50604050 99</t>
  </si>
  <si>
    <t>Transportation Equipment</t>
  </si>
  <si>
    <t>Motor Vehicles</t>
  </si>
  <si>
    <t>50604060 01</t>
  </si>
  <si>
    <t>Watercrafts</t>
  </si>
  <si>
    <t>50604060 04</t>
  </si>
  <si>
    <t>Other Transportation Equipment</t>
  </si>
  <si>
    <t>50604060 99</t>
  </si>
  <si>
    <t>Furniture, Fixtures and Books Outlay</t>
  </si>
  <si>
    <t>Furniture and Fixtures</t>
  </si>
  <si>
    <t>50604070 01</t>
  </si>
  <si>
    <t>Books</t>
  </si>
  <si>
    <t>50604070 02</t>
  </si>
  <si>
    <t>Other Property Plant and Equipment Outlay</t>
  </si>
  <si>
    <t>Other Property Plant and Equipment</t>
  </si>
  <si>
    <t>50604090 99</t>
  </si>
  <si>
    <t>Intangible Asset Outlay</t>
  </si>
  <si>
    <t>Computer Software</t>
  </si>
  <si>
    <t>50606020 00</t>
  </si>
  <si>
    <t>01 1 04 102</t>
  </si>
  <si>
    <t>50103010 00</t>
  </si>
  <si>
    <t>01 1 01 406</t>
  </si>
  <si>
    <t>50102990 12</t>
  </si>
  <si>
    <t>01 1 01 407</t>
  </si>
  <si>
    <t>50104030 01</t>
  </si>
  <si>
    <t>50102990 14</t>
  </si>
  <si>
    <t>FAR No. 1-B</t>
  </si>
  <si>
    <t>List of Allotment and Sub Allotments</t>
  </si>
  <si>
    <t xml:space="preserve">No. </t>
  </si>
  <si>
    <t>Allotments / Sub-Allotments</t>
  </si>
  <si>
    <t>Funding Source</t>
  </si>
  <si>
    <t>Allotments / Sub-Allotments received from COs/Ros</t>
  </si>
  <si>
    <t>Sub-Allotment to Regions/Operating Units</t>
  </si>
  <si>
    <t>Total Allotments / Net of Sub-Allotments</t>
  </si>
  <si>
    <t>Number</t>
  </si>
  <si>
    <t>Date</t>
  </si>
  <si>
    <t>Description</t>
  </si>
  <si>
    <t>UACS Code</t>
  </si>
  <si>
    <t xml:space="preserve">CO </t>
  </si>
  <si>
    <t>9=(6+7+8)</t>
  </si>
  <si>
    <t>13-(10+11+12)</t>
  </si>
  <si>
    <t>14=(6-10)</t>
  </si>
  <si>
    <t>15=(7+11)</t>
  </si>
  <si>
    <t>16=(8+12)</t>
  </si>
  <si>
    <t>17=(14+15+16)</t>
  </si>
  <si>
    <t>A.  Allotments received from DBM</t>
  </si>
  <si>
    <t>Agency Specific Budget</t>
  </si>
  <si>
    <t>Miscellaneous Personnel Benefit Funds</t>
  </si>
  <si>
    <t>Sub-total</t>
  </si>
  <si>
    <t xml:space="preserve">B. Sub-allotments Downloaded to </t>
  </si>
  <si>
    <t>Regional Office</t>
  </si>
  <si>
    <t>Sub-Total</t>
  </si>
  <si>
    <t>Total Allotments</t>
  </si>
  <si>
    <t>Summary by Funding Source Code:</t>
  </si>
  <si>
    <t>Pension and Gratuity Fund</t>
  </si>
  <si>
    <t xml:space="preserve">          Pension &amp; Gratuity Fund </t>
  </si>
  <si>
    <t xml:space="preserve">          MPBF </t>
  </si>
  <si>
    <t>FY 2015 Continuing Appropriations:</t>
  </si>
  <si>
    <t>A.01.a.4</t>
  </si>
  <si>
    <t>A.03.a.1.a.1.a</t>
  </si>
  <si>
    <t>a</t>
  </si>
  <si>
    <t>Dialogues with Sangguniang Panlalawigan/Bayan/Panlungsod/Barangay</t>
  </si>
  <si>
    <t>Dialogues with Other Groups(religious, CSO,Academe, etc)</t>
  </si>
  <si>
    <t>A.03.a.1.a.1.b</t>
  </si>
  <si>
    <t>1.a</t>
  </si>
  <si>
    <t>Conduct of Investigation anf Provision of Legal Assistance</t>
  </si>
  <si>
    <t>A.01.b.1</t>
  </si>
  <si>
    <t>Human Resource Development Service (CO Only)</t>
  </si>
  <si>
    <t>SUPPORT TO OPERATION</t>
  </si>
  <si>
    <t>Conduct Awareness &amp; Advocay on Mineral Resources and Geosciences(MRGS)</t>
  </si>
  <si>
    <t>1</t>
  </si>
  <si>
    <t>Stakeholders Forum (no.)</t>
  </si>
  <si>
    <t>b</t>
  </si>
  <si>
    <t>A.03.a.1.a.2.a</t>
  </si>
  <si>
    <t>Radio/TV guestings</t>
  </si>
  <si>
    <t>A.03.a.1.a.2.b</t>
  </si>
  <si>
    <t>Press Releases/phoyo releases</t>
  </si>
  <si>
    <t>A.03.a.1.b.1</t>
  </si>
  <si>
    <t>A.03.a.1.b.2</t>
  </si>
  <si>
    <t>LGU and  other Stakeholders</t>
  </si>
  <si>
    <t>A.03.a.1.b.3</t>
  </si>
  <si>
    <t>Small Scale Miners</t>
  </si>
  <si>
    <t>Website Maintained</t>
  </si>
  <si>
    <t>IEC materials produced</t>
  </si>
  <si>
    <t>IEC materials reproduced/distributed</t>
  </si>
  <si>
    <t>Statistics reports submitted to MGBCO</t>
  </si>
  <si>
    <t>Maps/Map Info Databsed Submitted to MGBCO</t>
  </si>
  <si>
    <t>MGRS reports submitted to MGBCO</t>
  </si>
  <si>
    <t>National LinkagesLinkages</t>
  </si>
  <si>
    <t>A.03.a.2</t>
  </si>
  <si>
    <t>A.03.a.2.a</t>
  </si>
  <si>
    <t>Management of Existing Mineral Reservations</t>
  </si>
  <si>
    <t>A.03.a.2.b</t>
  </si>
  <si>
    <t>A.03.a.2.c</t>
  </si>
  <si>
    <t>A.03.a.2.d</t>
  </si>
  <si>
    <t>d</t>
  </si>
  <si>
    <t>Field Mapping and Survey</t>
  </si>
  <si>
    <t>A.03.b.1.a.1.a</t>
  </si>
  <si>
    <t>A.03.b.1.a.1.b</t>
  </si>
  <si>
    <t>Updating of 1:10,000 scale geohazard maps as a result of changes due to natural calamities</t>
  </si>
  <si>
    <t>A.03.b.1.a.1.c</t>
  </si>
  <si>
    <t>Detailed Sub-surface Assessment</t>
  </si>
  <si>
    <t>Production of Geohazard/VRA Maps (CO)</t>
  </si>
  <si>
    <t>Geohazard IEC Materials Dissemination</t>
  </si>
  <si>
    <t>Capacity Building</t>
  </si>
  <si>
    <t>A.03.b.1.a.5</t>
  </si>
  <si>
    <t>A.03.b.1.a.6</t>
  </si>
  <si>
    <t>Geohazards Operation Center</t>
  </si>
  <si>
    <t>A.03.b.1.b.1</t>
  </si>
  <si>
    <t>Field Mapping and Survey 1:10,000 scale</t>
  </si>
  <si>
    <t>A.03.b.1.b.2</t>
  </si>
  <si>
    <t>A.03.b.1.b.3</t>
  </si>
  <si>
    <t>A.03.b.1.b.4</t>
  </si>
  <si>
    <t>A.03.b.1.b.5</t>
  </si>
  <si>
    <t>Land and coastal areas</t>
  </si>
  <si>
    <t>A.03.b.2.b.1(a)</t>
  </si>
  <si>
    <t>b.2</t>
  </si>
  <si>
    <t>(b.)</t>
  </si>
  <si>
    <t>Laboratory Services</t>
  </si>
  <si>
    <t>A.03.b.2.d</t>
  </si>
  <si>
    <t>Mineral Resources Inventory</t>
  </si>
  <si>
    <t>MISCELLANEOUS GEOLOGICAL SERVICES</t>
  </si>
  <si>
    <t>A.03.c.1.a(1)</t>
  </si>
  <si>
    <t>A.03.c.1.a(1).1</t>
  </si>
  <si>
    <t>Issued/endorsed mining rights/contracts/permits</t>
  </si>
  <si>
    <t>A.03.c.1.a(1).1.a</t>
  </si>
  <si>
    <t>Agreements/contracts/permits(FTAA,MPSA,EP,ISAGP,MPP)</t>
  </si>
  <si>
    <t>A.03.c.1.a(1).1.b</t>
  </si>
  <si>
    <t>Ore Transport Permit (OTP)/Certification</t>
  </si>
  <si>
    <t>A.03.c.1.a(1).1.c</t>
  </si>
  <si>
    <t>Others(DMPF for RO,Accreditations,CEMCRR/Coe)</t>
  </si>
  <si>
    <t>A.03.c.1.a(1).1.d</t>
  </si>
  <si>
    <t>MOEP(issued/validated)</t>
  </si>
  <si>
    <t>A.03.c.1.a(2)</t>
  </si>
  <si>
    <t>A.03.c.1.a(2).1</t>
  </si>
  <si>
    <t>Review of the Performance of Existing Mining Operation per EO79</t>
  </si>
  <si>
    <t>A.03.c.1.a(2).1.a</t>
  </si>
  <si>
    <t>A.03.c.1.a(2).1.b</t>
  </si>
  <si>
    <t>Mining Permits/Contracts reviewed/endorsed for cancellation</t>
  </si>
  <si>
    <t>A.03.c.1.a(3)</t>
  </si>
  <si>
    <t>A.03.c.1.a(3).1</t>
  </si>
  <si>
    <t>EPEP/FMRDP/PEIR endorsed to MRCF</t>
  </si>
  <si>
    <t>A.03.c.1.a(3).2</t>
  </si>
  <si>
    <t>A.03.c.1.a(3).3</t>
  </si>
  <si>
    <t>SDMP/CDP approved</t>
  </si>
  <si>
    <t>A.03.c.1.a(3).4</t>
  </si>
  <si>
    <t>Annual SDMP approved</t>
  </si>
  <si>
    <t>A.03.c.1.a(3).5</t>
  </si>
  <si>
    <t>Annual Safety and Heath Programs approved</t>
  </si>
  <si>
    <t>A.03.c.1.a(3).6</t>
  </si>
  <si>
    <t>Environmental Work Program endorsed to MMD</t>
  </si>
  <si>
    <t>A.03.c.1.a(3).7</t>
  </si>
  <si>
    <t>NGP monitoring reports submitted</t>
  </si>
  <si>
    <t>Provinces Inventoried for Small Scale Mining Sites</t>
  </si>
  <si>
    <t>Minahang Bayan Sites Identified</t>
  </si>
  <si>
    <t>Minahang Bayan Sites endorsed to DENR through MGBCO</t>
  </si>
  <si>
    <t>P/CMRBs operationalized</t>
  </si>
  <si>
    <t>A.03.c.1.b.5</t>
  </si>
  <si>
    <t>P/CMRBs reconstituted</t>
  </si>
  <si>
    <t>A.03.c.1.b.6</t>
  </si>
  <si>
    <t>Meetings conducted/participated</t>
  </si>
  <si>
    <t>A.03.c.1.b.7</t>
  </si>
  <si>
    <t>P/CMRBs regional consultations conducted</t>
  </si>
  <si>
    <t>A.03.c.2.a-a(1)</t>
  </si>
  <si>
    <t>Permit areas/projects monitored</t>
  </si>
  <si>
    <t>A.03.c.2.a-a(1).1</t>
  </si>
  <si>
    <t>Work Program</t>
  </si>
  <si>
    <t>A.03.c.2.a-a(1).2</t>
  </si>
  <si>
    <t>Safety, Health, Environments and Social Programs</t>
  </si>
  <si>
    <t>A.03.c.2.a-a(1).2.a</t>
  </si>
  <si>
    <t>No. of permits/contracts</t>
  </si>
  <si>
    <t>A.03.c.2.a-a(1).2.b</t>
  </si>
  <si>
    <t>No. of Monitoring</t>
  </si>
  <si>
    <t>A.03.c.2.a-a(1).3</t>
  </si>
  <si>
    <t>Monitoring of report on Mining Forest Program</t>
  </si>
  <si>
    <t>A.03.c.2.b</t>
  </si>
  <si>
    <t>A.03.c.2.b.1</t>
  </si>
  <si>
    <t>Multipartite Monitoring Teams(MMT) operationalized</t>
  </si>
  <si>
    <t>Bagacay Mine Rehabilitation</t>
  </si>
  <si>
    <t>Other Abandoned Mine Sites</t>
  </si>
  <si>
    <t>Reconnaissance Survey of Abandoned/Inactive Mine Site</t>
  </si>
  <si>
    <t>Risk Assessment (Preparation of FMRDP)</t>
  </si>
  <si>
    <t>A.03.c.3.b.3</t>
  </si>
  <si>
    <t>Implementation of Mine Environment Management Plan</t>
  </si>
  <si>
    <t>Marcopper</t>
  </si>
  <si>
    <t>A.03.c.4</t>
  </si>
  <si>
    <t>Resolution of Complaints/Cases/Conflicts</t>
  </si>
  <si>
    <t>A.03.c.4.a</t>
  </si>
  <si>
    <t xml:space="preserve">      Complaints/Cases/conflicts investigated/resolved (no.)</t>
  </si>
  <si>
    <t>A.03.c.4.a.1</t>
  </si>
  <si>
    <t>MGB personnel</t>
  </si>
  <si>
    <t>A.03.c.4.a.2</t>
  </si>
  <si>
    <t>2</t>
  </si>
  <si>
    <t>2(b)</t>
  </si>
  <si>
    <t>Quarterly accomplishment/Inventory Report of the Panel of Arbitrators</t>
  </si>
  <si>
    <t>A.03.c.4.a.3</t>
  </si>
  <si>
    <t>Complaints/Charges filed with the Provincial/City Prosecutors Office</t>
  </si>
  <si>
    <t>A.03.c.5</t>
  </si>
  <si>
    <t>Anti-Illegal Mining</t>
  </si>
  <si>
    <t>A.03.c.5.a</t>
  </si>
  <si>
    <t>Illegal Mining Sites with Cease and DesistOrder(CDO) issued/implemented</t>
  </si>
  <si>
    <t>Capacity Building &amp; Facility Upgrading for Mineral Reservation Facilities /Equipment &lt;Research/Studies conducted/developed (no.)&gt;</t>
  </si>
  <si>
    <t>Capacity Building &amp; Facility Upgrading for Mineral Reservation Facilities /Equipment &lt;MGB facilities/ Equipment upgraded/maintained/enhance (no.)&gt;</t>
  </si>
  <si>
    <t>Annual EPEP approved</t>
  </si>
  <si>
    <t>Agency Specific Budget - ABM</t>
  </si>
  <si>
    <t>FUND 338</t>
  </si>
  <si>
    <t>FY 2016  Current Appropriations</t>
  </si>
  <si>
    <t>FY 2015 Continuing Appropriations</t>
  </si>
  <si>
    <t>●</t>
  </si>
  <si>
    <t xml:space="preserve"> 1 00 000000</t>
  </si>
  <si>
    <t>Sub-Total, Current Appropriations</t>
  </si>
  <si>
    <t>FY 2016 CURRENT YEAR</t>
  </si>
  <si>
    <t xml:space="preserve"> 01 1 02 101</t>
  </si>
  <si>
    <t>Sub-Total, Continuing Appropriations</t>
  </si>
  <si>
    <t>GRAND TOTAL:</t>
  </si>
  <si>
    <t>3 01 02 003</t>
  </si>
  <si>
    <t>FAR No. 1A</t>
  </si>
  <si>
    <t>RECAPITULATION:</t>
  </si>
  <si>
    <t>B. Automatic Appropriation</t>
  </si>
  <si>
    <t xml:space="preserve">A. Agency Specific Budget </t>
  </si>
  <si>
    <t>Other Bonuses and Allowances</t>
  </si>
  <si>
    <t>Collective Negotiation Agreement Incentive - Civilian</t>
  </si>
  <si>
    <t>Productvity Enhancement Incentive - Civilian</t>
  </si>
  <si>
    <t>Performance Based Bonus - Civilian</t>
  </si>
  <si>
    <t>Retirement Gratuity</t>
  </si>
  <si>
    <t>50104020 01</t>
  </si>
  <si>
    <t>C. Special Purpose Fund (Other Releases)</t>
  </si>
  <si>
    <t>CHIEF, ACCOUNTING SECTION</t>
  </si>
  <si>
    <t>CHIEF, BUDGET SECTION</t>
  </si>
  <si>
    <t>CHIEF, Administrative and Finance Division</t>
  </si>
  <si>
    <t>REGIONAL DIRECTOR</t>
  </si>
  <si>
    <t>Automatic Appropriation- RLIP</t>
  </si>
  <si>
    <t>Automatic Appropriation- MINRES</t>
  </si>
  <si>
    <t>Continuing Appropriation</t>
  </si>
  <si>
    <t>SUMMARY OF APPROPRIATIONS, ALLOTMENT, OBLIGATIONS, DISBURSEMENTS AND BALANCES</t>
  </si>
  <si>
    <t>Allotment</t>
  </si>
  <si>
    <t>Disbursement</t>
  </si>
  <si>
    <t>FAR 1</t>
  </si>
  <si>
    <t>FAR 1A</t>
  </si>
  <si>
    <t xml:space="preserve">Obligation </t>
  </si>
  <si>
    <t>DETAILED FUND U</t>
  </si>
  <si>
    <t>Personnel Services( Differential)</t>
  </si>
  <si>
    <t>Personnnel Enhancement Incentive- Civilian</t>
  </si>
  <si>
    <t>Performance Based Bonus- Civilian</t>
  </si>
  <si>
    <t>Personnel Services(Differential)</t>
  </si>
  <si>
    <t>Geohazard Assessment &amp; Mapping Program</t>
  </si>
  <si>
    <t>GAA FY2016, RA No. 10717</t>
  </si>
  <si>
    <t>Press Releases/photo releases</t>
  </si>
  <si>
    <t>FY 2016</t>
  </si>
  <si>
    <t>Sub-Total, Special Purpose Fund (Oher Releases)</t>
  </si>
  <si>
    <t>DISBURSEMENTS  INCURRED</t>
  </si>
  <si>
    <t>Administration of Personnel Benefits</t>
  </si>
  <si>
    <t>Terminal Leave Benefits-Civilian</t>
  </si>
  <si>
    <t>PS-  Terminal Leave Benefits-Civilian</t>
  </si>
  <si>
    <t>Rent/Lease Expenses - ICT Machinery and Equipment</t>
  </si>
  <si>
    <t>50299050 08</t>
  </si>
  <si>
    <t>ICT Training Expenses</t>
  </si>
  <si>
    <t>50202010 01</t>
  </si>
  <si>
    <t>ICT Consultancy Services</t>
  </si>
  <si>
    <t>50211030 01</t>
  </si>
  <si>
    <t>General ICT Services</t>
  </si>
  <si>
    <t>50212000 01</t>
  </si>
  <si>
    <t>R&amp;M - Machinery &amp; Equipment - ICT Machinery and Equipment</t>
  </si>
  <si>
    <t>R&amp;M -Leased Assets- ICT Machinery and Equipment</t>
  </si>
  <si>
    <t>50213080 04</t>
  </si>
  <si>
    <t>R&amp;M - Leased Assests-  ICT Machinery and Equipment</t>
  </si>
  <si>
    <t>ICT Software Subscription</t>
  </si>
  <si>
    <t>50299990 01</t>
  </si>
  <si>
    <t>Website Maintenance</t>
  </si>
  <si>
    <t>50299070 01</t>
  </si>
  <si>
    <t>Remarks</t>
  </si>
  <si>
    <t>Productivity Enhancement Incentive- Civilian</t>
  </si>
  <si>
    <t>Productivity Enhancement Incentive - Civilian</t>
  </si>
  <si>
    <t>Other Subscription Expenses</t>
  </si>
  <si>
    <t>50299070 99</t>
  </si>
  <si>
    <t>Region VII</t>
  </si>
  <si>
    <t>10 003 03 00007</t>
  </si>
  <si>
    <t xml:space="preserve">D. Agency Specific Budget </t>
  </si>
  <si>
    <t>Variance: FAR 1A VS FAR 1</t>
  </si>
  <si>
    <t>50203010 02</t>
  </si>
  <si>
    <t>50205010 02</t>
  </si>
  <si>
    <t>REGION VII</t>
  </si>
  <si>
    <t>SAA# 101-2016-03-049</t>
  </si>
  <si>
    <t xml:space="preserve">REGION/BUREAU:  </t>
  </si>
  <si>
    <t>BALANCES</t>
  </si>
  <si>
    <t>DISBURSEMENT</t>
  </si>
  <si>
    <t>NCA</t>
  </si>
  <si>
    <t>Disbursement Utilization (%)</t>
  </si>
  <si>
    <t>REMARKS</t>
  </si>
  <si>
    <t>Released</t>
  </si>
  <si>
    <t>vs NCA</t>
  </si>
  <si>
    <t>vs Allotment</t>
  </si>
  <si>
    <t>vs Obligations</t>
  </si>
  <si>
    <t xml:space="preserve">          Central Based - Fund 101</t>
  </si>
  <si>
    <t xml:space="preserve">          Int'l. Commitment Fund (ICF)</t>
  </si>
  <si>
    <t xml:space="preserve">          E-Government Fund: Philippine Geoportal (NAMRIA)</t>
  </si>
  <si>
    <t xml:space="preserve">          Pensioners Fund (NAMRIA)</t>
  </si>
  <si>
    <t xml:space="preserve">          San Mateo Sanitary Landfill</t>
  </si>
  <si>
    <t xml:space="preserve">          Pension &amp; Gratuity Fund - Terminal Leave Benefits</t>
  </si>
  <si>
    <t xml:space="preserve">          MPBF -Performance Enhancement Incentives (PEI)</t>
  </si>
  <si>
    <t xml:space="preserve">          MPBF - PS Additional Requirements</t>
  </si>
  <si>
    <t xml:space="preserve">          MPBF - Performance Based-Bonus (PBB)</t>
  </si>
  <si>
    <t xml:space="preserve">          Pension &amp; Gratuity - Monetization</t>
  </si>
  <si>
    <t xml:space="preserve">          Monetization of Leave Credits - NAMRIA</t>
  </si>
  <si>
    <t xml:space="preserve">          Overall Savings (Mechanized Nurseries)</t>
  </si>
  <si>
    <t xml:space="preserve">          (blank)</t>
  </si>
  <si>
    <t xml:space="preserve">         RLIP - Regular</t>
  </si>
  <si>
    <t xml:space="preserve">         RLIP Additional Requirements</t>
  </si>
  <si>
    <t xml:space="preserve">         Custom Duties and Taxes</t>
  </si>
  <si>
    <t xml:space="preserve">         Air Quality Management Fund (AQMF)</t>
  </si>
  <si>
    <t xml:space="preserve">         Mineral Reservation - MGB</t>
  </si>
  <si>
    <t xml:space="preserve">            INREMP</t>
  </si>
  <si>
    <t xml:space="preserve">            Manila Bay Water Quality - MBCO</t>
  </si>
  <si>
    <t xml:space="preserve">         Fund 151 - WF</t>
  </si>
  <si>
    <t xml:space="preserve">      Central Based - Fund 101</t>
  </si>
  <si>
    <t xml:space="preserve">          Rehabilitation Reconstruction Program (RRP) - MBFDP</t>
  </si>
  <si>
    <t xml:space="preserve">          San Mateo Sanitary Landfill (EMB)</t>
  </si>
  <si>
    <t xml:space="preserve">          EAAF Congress - ERDB</t>
  </si>
  <si>
    <t xml:space="preserve">          Unreleased Allotment - FY 2014 (NAMRIA)</t>
  </si>
  <si>
    <t xml:space="preserve">      Fund 151 - WF</t>
  </si>
  <si>
    <t>Accounts Payable:</t>
  </si>
  <si>
    <t xml:space="preserve">   GRAND TOTAL (with A/P Disbursement)</t>
  </si>
  <si>
    <t xml:space="preserve"> </t>
  </si>
  <si>
    <t>Key Programs/Projects As of February 29, 2016</t>
  </si>
  <si>
    <t>National Greening Program (NGP) - Total</t>
  </si>
  <si>
    <t xml:space="preserve">     National Greening Program (NGP) - Net of BuB</t>
  </si>
  <si>
    <t xml:space="preserve">     Bottom-Up Budgeting (BuB)</t>
  </si>
  <si>
    <t>Forest Protection Program</t>
  </si>
  <si>
    <t>Mangrove and Beach Forest Development Program</t>
  </si>
  <si>
    <t>Land Records Data Capture</t>
  </si>
  <si>
    <t>PA Protection, Management &amp; Development</t>
  </si>
  <si>
    <t>Coastal &amp; Marine Ecosystems Rehabilitation Program</t>
  </si>
  <si>
    <t>Operation Plan for Manila Bay Coastal Management Strategy</t>
  </si>
  <si>
    <t>Implementation of the Payapa at Masaganang Pamayanan (PAMANA)</t>
  </si>
  <si>
    <t>Mapping &amp; Geohazard Assessment (MGB)</t>
  </si>
  <si>
    <t>Geospatial Data Infrastructure (NAMRIA)</t>
  </si>
  <si>
    <t>Billing and Accounts Receivable System (NWRB)</t>
  </si>
  <si>
    <r>
      <t></t>
    </r>
    <r>
      <rPr>
        <sz val="10"/>
        <color indexed="8"/>
        <rFont val="Calibri"/>
        <family val="2"/>
        <scheme val="minor"/>
      </rPr>
      <t>●</t>
    </r>
  </si>
  <si>
    <t>SAA# 101-2016-05-050</t>
  </si>
  <si>
    <t>SAA# 406-2016-03-025</t>
  </si>
  <si>
    <t>SAA# 102-2016-03-040</t>
  </si>
  <si>
    <t>SAA# 102-2016-05-060</t>
  </si>
  <si>
    <t>Miscellaneous and Personal Benefits</t>
  </si>
  <si>
    <t>Midyear Bonus - Civilian</t>
  </si>
  <si>
    <t>50102990 36</t>
  </si>
  <si>
    <t>SAA # 101-2016-02-010</t>
  </si>
  <si>
    <t>SAA# 338-2016-07-008</t>
  </si>
  <si>
    <t>aUTomatic Appropriation- MINRES</t>
  </si>
  <si>
    <t>MidYear Bonus - Civilian</t>
  </si>
  <si>
    <t xml:space="preserve">  </t>
  </si>
  <si>
    <t>Subsistence Allowance - Magna Carta</t>
  </si>
  <si>
    <t>50102050 03</t>
  </si>
  <si>
    <t>Laundry Allowance - Magna Carta</t>
  </si>
  <si>
    <t>50102060 04</t>
  </si>
  <si>
    <t>As of Quarterly Ending December 31, 2016</t>
  </si>
  <si>
    <t>SAA# 101-2016-09-081</t>
  </si>
  <si>
    <t>As of December 31,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</si>
</sst>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Php&quot;* #,##0.00_);_(&quot;Php&quot;* \(#,##0.00\);_(&quot;Php&quot;* &quot;-&quot;??_);_(@_)"/>
    <numFmt numFmtId="43" formatCode="_(* #,##0.00_);_(* \(#,##0.00\);_(* &quot;-&quot;??_);_(@_)"/>
    <numFmt numFmtId="164" formatCode="_(* #,##0_);_(* \(#,##0\);_(* &quot;-&quot;??_);_(@_)"/>
    <numFmt numFmtId="165" formatCode="#,##0.00;[Red]#,##0.00"/>
    <numFmt numFmtId="166" formatCode="[$-409]dd\-mmm\-yy;@"/>
    <numFmt numFmtId="167" formatCode="[$-F800]dddd\,\ mmmm\ dd\,\ yyyy"/>
    <numFmt numFmtId="168" formatCode="_(* #,##0.000000_);_(* \(#,##0.000000\);_(* &quot;-&quot;_);_(@_)"/>
    <numFmt numFmtId="169" formatCode="_(&quot;$&quot;* #,##0.00_);_(&quot;$&quot;* \(#,##0.00\);_(&quot;$&quot;* &quot;-&quot;??_);_(@_)"/>
  </numFmts>
  <fonts count="8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1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u/>
      <sz val="10"/>
      <name val="Arial Narrow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  <charset val="1"/>
    </font>
    <font>
      <sz val="8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color theme="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3" tint="0.39997558519241921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theme="0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u val="singleAccounting"/>
      <sz val="1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b/>
      <u/>
      <sz val="10"/>
      <color indexed="8"/>
      <name val="Arial Narrow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3"/>
      <name val="Arial Narrow"/>
      <family val="2"/>
    </font>
    <font>
      <b/>
      <u val="singleAccounting"/>
      <sz val="10"/>
      <color theme="3"/>
      <name val="Calibri"/>
      <family val="2"/>
      <scheme val="minor"/>
    </font>
    <font>
      <b/>
      <u val="singleAccounting"/>
      <sz val="10"/>
      <color theme="0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sz val="10"/>
      <name val="Arial"/>
      <family val="2"/>
    </font>
    <font>
      <sz val="10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653">
    <xf numFmtId="0" fontId="0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0" fontId="3" fillId="0" borderId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3" fillId="0" borderId="0"/>
    <xf numFmtId="0" fontId="11" fillId="0" borderId="0"/>
    <xf numFmtId="0" fontId="9" fillId="0" borderId="0"/>
    <xf numFmtId="43" fontId="11" fillId="0" borderId="0" applyFont="0" applyFill="0" applyBorder="0" applyAlignment="0" applyProtection="0"/>
    <xf numFmtId="0" fontId="9" fillId="0" borderId="0"/>
    <xf numFmtId="0" fontId="3" fillId="0" borderId="0"/>
    <xf numFmtId="43" fontId="9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21" fillId="0" borderId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2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21" fillId="0" borderId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1" fillId="0" borderId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9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5" fillId="0" borderId="41" applyNumberFormat="0" applyFill="0" applyAlignment="0" applyProtection="0"/>
    <xf numFmtId="0" fontId="25" fillId="0" borderId="41" applyNumberFormat="0" applyFill="0" applyAlignment="0" applyProtection="0"/>
    <xf numFmtId="0" fontId="26" fillId="0" borderId="42" applyNumberFormat="0" applyFill="0" applyAlignment="0" applyProtection="0"/>
    <xf numFmtId="0" fontId="26" fillId="0" borderId="42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10" borderId="39" applyNumberFormat="0" applyAlignment="0" applyProtection="0"/>
    <xf numFmtId="0" fontId="28" fillId="10" borderId="39" applyNumberFormat="0" applyAlignment="0" applyProtection="0"/>
    <xf numFmtId="0" fontId="28" fillId="10" borderId="39" applyNumberFormat="0" applyAlignment="0" applyProtection="0"/>
    <xf numFmtId="0" fontId="29" fillId="0" borderId="44" applyNumberFormat="0" applyFill="0" applyAlignment="0" applyProtection="0"/>
    <xf numFmtId="0" fontId="29" fillId="0" borderId="44" applyNumberFormat="0" applyFill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26" borderId="45" applyNumberFormat="0" applyFont="0" applyAlignment="0" applyProtection="0"/>
    <xf numFmtId="0" fontId="9" fillId="26" borderId="45" applyNumberFormat="0" applyFont="0" applyAlignment="0" applyProtection="0"/>
    <xf numFmtId="0" fontId="9" fillId="26" borderId="45" applyNumberFormat="0" applyFont="0" applyAlignment="0" applyProtection="0"/>
    <xf numFmtId="0" fontId="9" fillId="26" borderId="45" applyNumberFormat="0" applyFont="0" applyAlignment="0" applyProtection="0"/>
    <xf numFmtId="0" fontId="9" fillId="26" borderId="45" applyNumberFormat="0" applyFont="0" applyAlignment="0" applyProtection="0"/>
    <xf numFmtId="0" fontId="32" fillId="23" borderId="46" applyNumberFormat="0" applyAlignment="0" applyProtection="0"/>
    <xf numFmtId="0" fontId="32" fillId="23" borderId="46" applyNumberFormat="0" applyAlignment="0" applyProtection="0"/>
    <xf numFmtId="0" fontId="32" fillId="23" borderId="4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0" fillId="27" borderId="0" applyNumberFormat="0" applyFont="0" applyFill="0" applyBorder="0" applyAlignment="0">
      <alignment horizont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76" fillId="0" borderId="0" applyFont="0" applyFill="0" applyBorder="0" applyAlignment="0" applyProtection="0"/>
  </cellStyleXfs>
  <cellXfs count="1017">
    <xf numFmtId="0" fontId="0" fillId="0" borderId="0" xfId="0"/>
    <xf numFmtId="0" fontId="4" fillId="0" borderId="0" xfId="3" applyFont="1" applyAlignment="1"/>
    <xf numFmtId="0" fontId="5" fillId="0" borderId="0" xfId="3" applyFont="1" applyAlignment="1"/>
    <xf numFmtId="0" fontId="6" fillId="0" borderId="0" xfId="3" applyFont="1"/>
    <xf numFmtId="0" fontId="4" fillId="2" borderId="0" xfId="3" applyFont="1" applyFill="1" applyAlignment="1"/>
    <xf numFmtId="0" fontId="5" fillId="2" borderId="0" xfId="3" applyFont="1" applyFill="1" applyAlignment="1"/>
    <xf numFmtId="164" fontId="6" fillId="0" borderId="0" xfId="3" applyNumberFormat="1" applyFont="1"/>
    <xf numFmtId="43" fontId="6" fillId="0" borderId="0" xfId="3" applyNumberFormat="1" applyFont="1"/>
    <xf numFmtId="0" fontId="7" fillId="0" borderId="0" xfId="3" quotePrefix="1" applyFont="1" applyAlignment="1"/>
    <xf numFmtId="0" fontId="5" fillId="0" borderId="0" xfId="3" quotePrefix="1" applyFont="1" applyAlignment="1"/>
    <xf numFmtId="0" fontId="8" fillId="0" borderId="0" xfId="3" applyFont="1"/>
    <xf numFmtId="0" fontId="12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43" fontId="13" fillId="0" borderId="0" xfId="0" applyNumberFormat="1" applyFont="1" applyFill="1" applyBorder="1" applyAlignment="1">
      <alignment horizontal="left" vertical="center"/>
    </xf>
    <xf numFmtId="0" fontId="15" fillId="0" borderId="0" xfId="14" applyFont="1" applyBorder="1" applyAlignment="1"/>
    <xf numFmtId="0" fontId="37" fillId="0" borderId="22" xfId="4" applyFont="1" applyBorder="1"/>
    <xf numFmtId="0" fontId="38" fillId="0" borderId="23" xfId="4" applyFont="1" applyBorder="1"/>
    <xf numFmtId="0" fontId="38" fillId="0" borderId="23" xfId="4" applyFont="1" applyBorder="1" applyAlignment="1"/>
    <xf numFmtId="43" fontId="38" fillId="0" borderId="23" xfId="1" applyFont="1" applyBorder="1"/>
    <xf numFmtId="43" fontId="36" fillId="0" borderId="23" xfId="1" applyFont="1" applyBorder="1"/>
    <xf numFmtId="43" fontId="36" fillId="0" borderId="24" xfId="1" applyFont="1" applyBorder="1"/>
    <xf numFmtId="43" fontId="38" fillId="0" borderId="0" xfId="1" applyFont="1"/>
    <xf numFmtId="0" fontId="38" fillId="0" borderId="0" xfId="4" applyFont="1"/>
    <xf numFmtId="0" fontId="39" fillId="0" borderId="25" xfId="4" applyFont="1" applyBorder="1" applyAlignment="1"/>
    <xf numFmtId="0" fontId="39" fillId="0" borderId="0" xfId="4" applyFont="1" applyBorder="1"/>
    <xf numFmtId="0" fontId="39" fillId="0" borderId="0" xfId="4" applyFont="1" applyBorder="1" applyAlignment="1">
      <alignment horizontal="center"/>
    </xf>
    <xf numFmtId="43" fontId="39" fillId="0" borderId="0" xfId="1" applyFont="1" applyBorder="1"/>
    <xf numFmtId="43" fontId="40" fillId="0" borderId="0" xfId="1" applyFont="1" applyBorder="1"/>
    <xf numFmtId="43" fontId="40" fillId="0" borderId="0" xfId="1" applyFont="1" applyBorder="1" applyAlignment="1"/>
    <xf numFmtId="43" fontId="40" fillId="0" borderId="26" xfId="1" applyFont="1" applyBorder="1" applyAlignment="1"/>
    <xf numFmtId="43" fontId="39" fillId="0" borderId="0" xfId="1" applyFont="1"/>
    <xf numFmtId="0" fontId="39" fillId="0" borderId="0" xfId="4" applyFont="1"/>
    <xf numFmtId="43" fontId="40" fillId="0" borderId="26" xfId="1" applyFont="1" applyBorder="1"/>
    <xf numFmtId="0" fontId="38" fillId="0" borderId="25" xfId="4" applyFont="1" applyBorder="1" applyAlignment="1"/>
    <xf numFmtId="0" fontId="38" fillId="0" borderId="0" xfId="4" applyFont="1" applyBorder="1"/>
    <xf numFmtId="43" fontId="38" fillId="0" borderId="0" xfId="1" applyFont="1" applyBorder="1"/>
    <xf numFmtId="43" fontId="36" fillId="0" borderId="0" xfId="1" applyFont="1" applyBorder="1"/>
    <xf numFmtId="43" fontId="36" fillId="0" borderId="26" xfId="1" applyFont="1" applyBorder="1"/>
    <xf numFmtId="0" fontId="39" fillId="0" borderId="1" xfId="4" applyFont="1" applyBorder="1"/>
    <xf numFmtId="43" fontId="40" fillId="0" borderId="0" xfId="1" applyFont="1" applyBorder="1" applyAlignment="1">
      <alignment horizontal="center"/>
    </xf>
    <xf numFmtId="0" fontId="39" fillId="0" borderId="4" xfId="4" applyFont="1" applyBorder="1" applyAlignment="1">
      <alignment horizontal="left"/>
    </xf>
    <xf numFmtId="164" fontId="39" fillId="0" borderId="0" xfId="1" applyNumberFormat="1" applyFont="1" applyBorder="1"/>
    <xf numFmtId="164" fontId="40" fillId="0" borderId="0" xfId="1" applyNumberFormat="1" applyFont="1" applyBorder="1"/>
    <xf numFmtId="0" fontId="39" fillId="0" borderId="25" xfId="4" applyFont="1" applyBorder="1" applyAlignment="1">
      <alignment vertical="center"/>
    </xf>
    <xf numFmtId="0" fontId="39" fillId="0" borderId="0" xfId="4" applyFont="1" applyBorder="1" applyAlignment="1">
      <alignment vertical="center"/>
    </xf>
    <xf numFmtId="43" fontId="39" fillId="0" borderId="0" xfId="1" applyFont="1" applyBorder="1" applyAlignment="1">
      <alignment vertical="center"/>
    </xf>
    <xf numFmtId="164" fontId="39" fillId="0" borderId="0" xfId="1" applyNumberFormat="1" applyFont="1" applyBorder="1" applyAlignment="1">
      <alignment vertical="center"/>
    </xf>
    <xf numFmtId="43" fontId="40" fillId="0" borderId="0" xfId="1" applyFont="1" applyBorder="1" applyAlignment="1">
      <alignment vertical="center"/>
    </xf>
    <xf numFmtId="43" fontId="40" fillId="0" borderId="0" xfId="1" applyFont="1" applyBorder="1" applyAlignment="1">
      <alignment horizontal="center" vertical="center"/>
    </xf>
    <xf numFmtId="43" fontId="40" fillId="0" borderId="26" xfId="1" applyFont="1" applyBorder="1" applyAlignment="1">
      <alignment vertical="center"/>
    </xf>
    <xf numFmtId="43" fontId="39" fillId="0" borderId="0" xfId="1" applyFont="1" applyAlignment="1">
      <alignment vertical="center"/>
    </xf>
    <xf numFmtId="0" fontId="39" fillId="0" borderId="0" xfId="4" applyFont="1" applyAlignment="1">
      <alignment vertical="center"/>
    </xf>
    <xf numFmtId="0" fontId="39" fillId="0" borderId="1" xfId="5" applyFont="1" applyBorder="1"/>
    <xf numFmtId="164" fontId="40" fillId="0" borderId="0" xfId="1" applyNumberFormat="1" applyFont="1" applyBorder="1" applyAlignment="1">
      <alignment vertical="center"/>
    </xf>
    <xf numFmtId="43" fontId="38" fillId="0" borderId="0" xfId="1" applyFont="1" applyAlignment="1">
      <alignment horizontal="center" vertical="center" wrapText="1"/>
    </xf>
    <xf numFmtId="0" fontId="38" fillId="0" borderId="0" xfId="4" applyFont="1" applyAlignment="1">
      <alignment horizontal="center" vertical="center" wrapText="1"/>
    </xf>
    <xf numFmtId="43" fontId="40" fillId="0" borderId="0" xfId="6" applyNumberFormat="1" applyFont="1" applyFill="1" applyBorder="1" applyAlignment="1">
      <alignment horizontal="left" vertical="center"/>
    </xf>
    <xf numFmtId="43" fontId="36" fillId="0" borderId="0" xfId="6" applyNumberFormat="1" applyFont="1" applyFill="1" applyBorder="1" applyAlignment="1">
      <alignment horizontal="center" vertical="center"/>
    </xf>
    <xf numFmtId="43" fontId="36" fillId="0" borderId="0" xfId="6" applyNumberFormat="1" applyFont="1" applyFill="1" applyBorder="1" applyAlignment="1">
      <alignment vertical="center"/>
    </xf>
    <xf numFmtId="43" fontId="36" fillId="0" borderId="0" xfId="6" applyNumberFormat="1" applyFont="1" applyFill="1" applyBorder="1" applyAlignment="1">
      <alignment horizontal="left" vertical="center"/>
    </xf>
    <xf numFmtId="43" fontId="36" fillId="0" borderId="0" xfId="1" applyFont="1" applyFill="1" applyBorder="1" applyAlignment="1">
      <alignment vertical="center"/>
    </xf>
    <xf numFmtId="0" fontId="36" fillId="28" borderId="0" xfId="7" applyFont="1" applyFill="1" applyBorder="1" applyAlignment="1">
      <alignment horizontal="left" vertical="center"/>
    </xf>
    <xf numFmtId="0" fontId="36" fillId="28" borderId="0" xfId="7" quotePrefix="1" applyFont="1" applyFill="1" applyBorder="1" applyAlignment="1">
      <alignment horizontal="center" vertical="center"/>
    </xf>
    <xf numFmtId="0" fontId="36" fillId="28" borderId="0" xfId="7" applyFont="1" applyFill="1" applyBorder="1" applyAlignment="1">
      <alignment vertical="center"/>
    </xf>
    <xf numFmtId="0" fontId="36" fillId="28" borderId="18" xfId="7" applyFont="1" applyFill="1" applyBorder="1" applyAlignment="1">
      <alignment horizontal="left" vertical="center"/>
    </xf>
    <xf numFmtId="0" fontId="36" fillId="28" borderId="0" xfId="7" applyFont="1" applyFill="1" applyBorder="1" applyAlignment="1">
      <alignment horizontal="center" vertical="center"/>
    </xf>
    <xf numFmtId="0" fontId="40" fillId="28" borderId="0" xfId="7" applyFont="1" applyFill="1" applyBorder="1" applyAlignment="1">
      <alignment horizontal="left" vertical="center"/>
    </xf>
    <xf numFmtId="0" fontId="36" fillId="28" borderId="18" xfId="7" applyFont="1" applyFill="1" applyBorder="1" applyAlignment="1">
      <alignment vertical="center"/>
    </xf>
    <xf numFmtId="0" fontId="36" fillId="29" borderId="0" xfId="7" applyFont="1" applyFill="1" applyBorder="1" applyAlignment="1">
      <alignment vertical="center"/>
    </xf>
    <xf numFmtId="0" fontId="36" fillId="29" borderId="0" xfId="0" applyFont="1" applyFill="1" applyBorder="1" applyAlignment="1">
      <alignment vertical="center" wrapText="1"/>
    </xf>
    <xf numFmtId="0" fontId="36" fillId="29" borderId="0" xfId="6" applyNumberFormat="1" applyFont="1" applyFill="1" applyBorder="1" applyAlignment="1">
      <alignment horizontal="center" vertical="center"/>
    </xf>
    <xf numFmtId="3" fontId="36" fillId="29" borderId="18" xfId="7" applyNumberFormat="1" applyFont="1" applyFill="1" applyBorder="1" applyAlignment="1">
      <alignment horizontal="right" vertical="center"/>
    </xf>
    <xf numFmtId="0" fontId="40" fillId="29" borderId="0" xfId="7" applyFont="1" applyFill="1" applyBorder="1" applyAlignment="1">
      <alignment vertical="center"/>
    </xf>
    <xf numFmtId="0" fontId="40" fillId="29" borderId="0" xfId="7" applyFont="1" applyFill="1" applyBorder="1" applyAlignment="1">
      <alignment horizontal="center" vertical="center"/>
    </xf>
    <xf numFmtId="0" fontId="36" fillId="29" borderId="18" xfId="7" applyFont="1" applyFill="1" applyBorder="1" applyAlignment="1">
      <alignment horizontal="left" vertical="center"/>
    </xf>
    <xf numFmtId="0" fontId="40" fillId="29" borderId="18" xfId="7" applyFont="1" applyFill="1" applyBorder="1" applyAlignment="1">
      <alignment vertical="center"/>
    </xf>
    <xf numFmtId="0" fontId="40" fillId="29" borderId="0" xfId="7" applyFont="1" applyFill="1" applyBorder="1" applyAlignment="1">
      <alignment horizontal="center" vertical="center" wrapText="1"/>
    </xf>
    <xf numFmtId="0" fontId="36" fillId="29" borderId="0" xfId="7" applyFont="1" applyFill="1" applyBorder="1" applyAlignment="1">
      <alignment horizontal="center" vertical="center"/>
    </xf>
    <xf numFmtId="0" fontId="36" fillId="29" borderId="18" xfId="7" applyFont="1" applyFill="1" applyBorder="1" applyAlignment="1">
      <alignment vertical="center"/>
    </xf>
    <xf numFmtId="43" fontId="36" fillId="29" borderId="0" xfId="6" applyNumberFormat="1" applyFont="1" applyFill="1" applyBorder="1" applyAlignment="1">
      <alignment horizontal="center" vertical="center"/>
    </xf>
    <xf numFmtId="0" fontId="36" fillId="29" borderId="0" xfId="7" quotePrefix="1" applyFont="1" applyFill="1" applyBorder="1" applyAlignment="1">
      <alignment horizontal="center" vertical="center"/>
    </xf>
    <xf numFmtId="0" fontId="36" fillId="29" borderId="0" xfId="7" applyFont="1" applyFill="1" applyBorder="1" applyAlignment="1">
      <alignment horizontal="center" vertical="center" wrapText="1"/>
    </xf>
    <xf numFmtId="0" fontId="36" fillId="29" borderId="18" xfId="0" applyFont="1" applyFill="1" applyBorder="1" applyAlignment="1">
      <alignment vertical="center"/>
    </xf>
    <xf numFmtId="43" fontId="42" fillId="0" borderId="0" xfId="1" applyFont="1" applyFill="1" applyBorder="1" applyAlignment="1">
      <alignment vertical="center"/>
    </xf>
    <xf numFmtId="43" fontId="43" fillId="0" borderId="0" xfId="1" applyFont="1" applyFill="1" applyBorder="1" applyAlignment="1">
      <alignment vertical="center"/>
    </xf>
    <xf numFmtId="0" fontId="36" fillId="29" borderId="18" xfId="7" applyFont="1" applyFill="1" applyBorder="1" applyAlignment="1">
      <alignment vertical="center" wrapText="1"/>
    </xf>
    <xf numFmtId="43" fontId="40" fillId="0" borderId="0" xfId="6" applyNumberFormat="1" applyFont="1" applyFill="1" applyBorder="1" applyAlignment="1">
      <alignment vertical="center"/>
    </xf>
    <xf numFmtId="43" fontId="45" fillId="0" borderId="0" xfId="1" applyFont="1" applyFill="1" applyBorder="1" applyAlignment="1">
      <alignment vertical="center"/>
    </xf>
    <xf numFmtId="43" fontId="44" fillId="0" borderId="0" xfId="1" applyFont="1" applyFill="1" applyBorder="1" applyAlignment="1">
      <alignment vertical="center"/>
    </xf>
    <xf numFmtId="43" fontId="36" fillId="29" borderId="0" xfId="6" applyNumberFormat="1" applyFont="1" applyFill="1" applyBorder="1" applyAlignment="1">
      <alignment vertical="center"/>
    </xf>
    <xf numFmtId="43" fontId="36" fillId="29" borderId="0" xfId="1" applyFont="1" applyFill="1" applyBorder="1" applyAlignment="1">
      <alignment vertical="center"/>
    </xf>
    <xf numFmtId="0" fontId="40" fillId="29" borderId="18" xfId="7" applyFont="1" applyFill="1" applyBorder="1" applyAlignment="1">
      <alignment horizontal="left" vertical="center"/>
    </xf>
    <xf numFmtId="0" fontId="41" fillId="29" borderId="18" xfId="7" applyFont="1" applyFill="1" applyBorder="1" applyAlignment="1">
      <alignment vertical="center"/>
    </xf>
    <xf numFmtId="0" fontId="36" fillId="29" borderId="0" xfId="7" applyFont="1" applyFill="1" applyBorder="1" applyAlignment="1">
      <alignment horizontal="left" vertical="center"/>
    </xf>
    <xf numFmtId="43" fontId="40" fillId="0" borderId="0" xfId="1" applyFont="1" applyFill="1" applyBorder="1" applyAlignment="1">
      <alignment vertical="center"/>
    </xf>
    <xf numFmtId="43" fontId="43" fillId="29" borderId="0" xfId="1" applyFont="1" applyFill="1" applyBorder="1" applyAlignment="1">
      <alignment vertical="center"/>
    </xf>
    <xf numFmtId="43" fontId="46" fillId="0" borderId="0" xfId="1" applyFont="1" applyFill="1" applyBorder="1" applyAlignment="1">
      <alignment vertical="center"/>
    </xf>
    <xf numFmtId="0" fontId="36" fillId="29" borderId="0" xfId="7" quotePrefix="1" applyFont="1" applyFill="1" applyBorder="1" applyAlignment="1">
      <alignment vertical="center"/>
    </xf>
    <xf numFmtId="43" fontId="44" fillId="29" borderId="0" xfId="1" applyFont="1" applyFill="1" applyBorder="1" applyAlignment="1">
      <alignment vertical="center"/>
    </xf>
    <xf numFmtId="43" fontId="40" fillId="29" borderId="0" xfId="1" applyFont="1" applyFill="1" applyBorder="1" applyAlignment="1">
      <alignment vertical="center"/>
    </xf>
    <xf numFmtId="0" fontId="40" fillId="29" borderId="0" xfId="7" applyFont="1" applyFill="1" applyBorder="1" applyAlignment="1">
      <alignment horizontal="left" vertical="center"/>
    </xf>
    <xf numFmtId="43" fontId="36" fillId="34" borderId="0" xfId="6" applyNumberFormat="1" applyFont="1" applyFill="1" applyBorder="1" applyAlignment="1">
      <alignment horizontal="center" vertical="center"/>
    </xf>
    <xf numFmtId="43" fontId="36" fillId="34" borderId="0" xfId="6" applyNumberFormat="1" applyFont="1" applyFill="1" applyBorder="1" applyAlignment="1">
      <alignment vertical="center"/>
    </xf>
    <xf numFmtId="43" fontId="36" fillId="34" borderId="0" xfId="6" applyNumberFormat="1" applyFont="1" applyFill="1" applyBorder="1" applyAlignment="1">
      <alignment horizontal="left" vertical="center"/>
    </xf>
    <xf numFmtId="43" fontId="36" fillId="34" borderId="0" xfId="1" applyFont="1" applyFill="1" applyBorder="1" applyAlignment="1">
      <alignment vertical="center"/>
    </xf>
    <xf numFmtId="43" fontId="40" fillId="34" borderId="27" xfId="6" applyNumberFormat="1" applyFont="1" applyFill="1" applyBorder="1" applyAlignment="1">
      <alignment horizontal="left" vertical="center"/>
    </xf>
    <xf numFmtId="0" fontId="47" fillId="35" borderId="0" xfId="4" applyFont="1" applyFill="1" applyBorder="1" applyAlignment="1">
      <alignment horizontal="center" vertical="center" wrapText="1"/>
    </xf>
    <xf numFmtId="43" fontId="47" fillId="35" borderId="0" xfId="1" applyFont="1" applyFill="1" applyBorder="1" applyAlignment="1">
      <alignment horizontal="center" vertical="center" wrapText="1"/>
    </xf>
    <xf numFmtId="0" fontId="36" fillId="29" borderId="0" xfId="0" applyFont="1" applyFill="1" applyBorder="1" applyAlignment="1">
      <alignment vertical="center"/>
    </xf>
    <xf numFmtId="43" fontId="47" fillId="35" borderId="27" xfId="6" applyNumberFormat="1" applyFont="1" applyFill="1" applyBorder="1" applyAlignment="1">
      <alignment horizontal="left" vertical="center"/>
    </xf>
    <xf numFmtId="43" fontId="48" fillId="35" borderId="0" xfId="6" applyNumberFormat="1" applyFont="1" applyFill="1" applyBorder="1" applyAlignment="1">
      <alignment horizontal="center" vertical="center"/>
    </xf>
    <xf numFmtId="43" fontId="48" fillId="35" borderId="0" xfId="6" applyNumberFormat="1" applyFont="1" applyFill="1" applyBorder="1" applyAlignment="1">
      <alignment vertical="center"/>
    </xf>
    <xf numFmtId="43" fontId="48" fillId="35" borderId="0" xfId="6" applyNumberFormat="1" applyFont="1" applyFill="1" applyBorder="1" applyAlignment="1">
      <alignment horizontal="left" vertical="center"/>
    </xf>
    <xf numFmtId="43" fontId="48" fillId="35" borderId="0" xfId="1" applyFont="1" applyFill="1" applyBorder="1" applyAlignment="1">
      <alignment vertical="center"/>
    </xf>
    <xf numFmtId="43" fontId="47" fillId="33" borderId="31" xfId="6" applyNumberFormat="1" applyFont="1" applyFill="1" applyBorder="1" applyAlignment="1">
      <alignment horizontal="left" vertical="center"/>
    </xf>
    <xf numFmtId="43" fontId="48" fillId="33" borderId="32" xfId="6" applyNumberFormat="1" applyFont="1" applyFill="1" applyBorder="1" applyAlignment="1">
      <alignment horizontal="center" vertical="center"/>
    </xf>
    <xf numFmtId="43" fontId="48" fillId="33" borderId="32" xfId="6" applyNumberFormat="1" applyFont="1" applyFill="1" applyBorder="1" applyAlignment="1">
      <alignment vertical="center"/>
    </xf>
    <xf numFmtId="43" fontId="48" fillId="33" borderId="32" xfId="6" applyNumberFormat="1" applyFont="1" applyFill="1" applyBorder="1" applyAlignment="1">
      <alignment horizontal="left" vertical="center"/>
    </xf>
    <xf numFmtId="43" fontId="48" fillId="33" borderId="32" xfId="1" applyFont="1" applyFill="1" applyBorder="1" applyAlignment="1">
      <alignment vertical="center"/>
    </xf>
    <xf numFmtId="43" fontId="36" fillId="34" borderId="26" xfId="1" applyFont="1" applyFill="1" applyBorder="1" applyAlignment="1">
      <alignment vertical="center"/>
    </xf>
    <xf numFmtId="0" fontId="36" fillId="29" borderId="9" xfId="7" applyFont="1" applyFill="1" applyBorder="1" applyAlignment="1">
      <alignment horizontal="center" vertical="center" wrapText="1"/>
    </xf>
    <xf numFmtId="0" fontId="36" fillId="29" borderId="9" xfId="7" applyFont="1" applyFill="1" applyBorder="1" applyAlignment="1">
      <alignment horizontal="center" vertical="center"/>
    </xf>
    <xf numFmtId="43" fontId="40" fillId="29" borderId="9" xfId="7" applyNumberFormat="1" applyFont="1" applyFill="1" applyBorder="1" applyAlignment="1">
      <alignment horizontal="center" vertical="center"/>
    </xf>
    <xf numFmtId="43" fontId="43" fillId="0" borderId="26" xfId="1" applyFont="1" applyFill="1" applyBorder="1" applyAlignment="1">
      <alignment vertical="center"/>
    </xf>
    <xf numFmtId="43" fontId="36" fillId="29" borderId="9" xfId="7" applyNumberFormat="1" applyFont="1" applyFill="1" applyBorder="1" applyAlignment="1">
      <alignment horizontal="center" vertical="center"/>
    </xf>
    <xf numFmtId="43" fontId="42" fillId="0" borderId="26" xfId="1" applyFont="1" applyFill="1" applyBorder="1" applyAlignment="1">
      <alignment vertical="center"/>
    </xf>
    <xf numFmtId="43" fontId="36" fillId="29" borderId="9" xfId="298" applyFont="1" applyFill="1" applyBorder="1" applyAlignment="1">
      <alignment horizontal="center" vertical="center"/>
    </xf>
    <xf numFmtId="43" fontId="36" fillId="29" borderId="9" xfId="8" applyFont="1" applyFill="1" applyBorder="1" applyAlignment="1">
      <alignment horizontal="left" vertical="center"/>
    </xf>
    <xf numFmtId="43" fontId="45" fillId="0" borderId="26" xfId="1" applyFont="1" applyFill="1" applyBorder="1" applyAlignment="1">
      <alignment vertical="center"/>
    </xf>
    <xf numFmtId="43" fontId="44" fillId="0" borderId="26" xfId="1" applyFont="1" applyFill="1" applyBorder="1" applyAlignment="1">
      <alignment vertical="center"/>
    </xf>
    <xf numFmtId="43" fontId="36" fillId="29" borderId="9" xfId="8" applyFont="1" applyFill="1" applyBorder="1" applyAlignment="1">
      <alignment horizontal="center" vertical="center"/>
    </xf>
    <xf numFmtId="0" fontId="36" fillId="29" borderId="9" xfId="9" applyFont="1" applyFill="1" applyBorder="1" applyAlignment="1">
      <alignment horizontal="center"/>
    </xf>
    <xf numFmtId="43" fontId="40" fillId="29" borderId="9" xfId="298" applyFont="1" applyFill="1" applyBorder="1" applyAlignment="1">
      <alignment horizontal="center" vertical="center"/>
    </xf>
    <xf numFmtId="43" fontId="40" fillId="29" borderId="26" xfId="1" applyFont="1" applyFill="1" applyBorder="1" applyAlignment="1">
      <alignment vertical="center"/>
    </xf>
    <xf numFmtId="43" fontId="43" fillId="29" borderId="26" xfId="1" applyFont="1" applyFill="1" applyBorder="1" applyAlignment="1">
      <alignment vertical="center"/>
    </xf>
    <xf numFmtId="43" fontId="36" fillId="28" borderId="9" xfId="298" applyFont="1" applyFill="1" applyBorder="1" applyAlignment="1">
      <alignment horizontal="center" vertical="center"/>
    </xf>
    <xf numFmtId="43" fontId="44" fillId="29" borderId="26" xfId="1" applyFont="1" applyFill="1" applyBorder="1" applyAlignment="1">
      <alignment vertical="center"/>
    </xf>
    <xf numFmtId="43" fontId="40" fillId="28" borderId="9" xfId="298" applyFont="1" applyFill="1" applyBorder="1" applyAlignment="1">
      <alignment horizontal="center" vertical="center"/>
    </xf>
    <xf numFmtId="43" fontId="46" fillId="0" borderId="26" xfId="1" applyFont="1" applyFill="1" applyBorder="1" applyAlignment="1">
      <alignment vertical="center"/>
    </xf>
    <xf numFmtId="43" fontId="36" fillId="29" borderId="25" xfId="7" applyNumberFormat="1" applyFont="1" applyFill="1" applyBorder="1" applyAlignment="1">
      <alignment horizontal="center" vertical="center"/>
    </xf>
    <xf numFmtId="43" fontId="48" fillId="35" borderId="26" xfId="1" applyFont="1" applyFill="1" applyBorder="1" applyAlignment="1">
      <alignment vertical="center"/>
    </xf>
    <xf numFmtId="43" fontId="40" fillId="0" borderId="36" xfId="6" applyNumberFormat="1" applyFont="1" applyFill="1" applyBorder="1" applyAlignment="1">
      <alignment horizontal="left" vertical="center"/>
    </xf>
    <xf numFmtId="43" fontId="36" fillId="0" borderId="13" xfId="6" applyNumberFormat="1" applyFont="1" applyFill="1" applyBorder="1" applyAlignment="1">
      <alignment horizontal="center" vertical="center"/>
    </xf>
    <xf numFmtId="43" fontId="36" fillId="0" borderId="13" xfId="6" applyNumberFormat="1" applyFont="1" applyFill="1" applyBorder="1" applyAlignment="1">
      <alignment vertical="center"/>
    </xf>
    <xf numFmtId="43" fontId="36" fillId="0" borderId="13" xfId="6" applyNumberFormat="1" applyFont="1" applyFill="1" applyBorder="1" applyAlignment="1">
      <alignment horizontal="left" vertical="center"/>
    </xf>
    <xf numFmtId="43" fontId="36" fillId="0" borderId="13" xfId="1" applyFont="1" applyFill="1" applyBorder="1" applyAlignment="1">
      <alignment vertical="center"/>
    </xf>
    <xf numFmtId="43" fontId="36" fillId="0" borderId="37" xfId="1" applyFont="1" applyFill="1" applyBorder="1" applyAlignment="1">
      <alignment vertical="center"/>
    </xf>
    <xf numFmtId="43" fontId="36" fillId="0" borderId="17" xfId="1" applyFont="1" applyFill="1" applyBorder="1" applyAlignment="1">
      <alignment vertical="center"/>
    </xf>
    <xf numFmtId="43" fontId="36" fillId="29" borderId="17" xfId="1" applyFont="1" applyFill="1" applyBorder="1" applyAlignment="1">
      <alignment vertical="center"/>
    </xf>
    <xf numFmtId="43" fontId="47" fillId="35" borderId="19" xfId="1" applyFont="1" applyFill="1" applyBorder="1" applyAlignment="1">
      <alignment horizontal="center" vertical="center" wrapText="1"/>
    </xf>
    <xf numFmtId="43" fontId="36" fillId="34" borderId="19" xfId="1" applyFont="1" applyFill="1" applyBorder="1" applyAlignment="1">
      <alignment vertical="center"/>
    </xf>
    <xf numFmtId="43" fontId="36" fillId="0" borderId="19" xfId="1" applyFont="1" applyFill="1" applyBorder="1" applyAlignment="1">
      <alignment vertical="center"/>
    </xf>
    <xf numFmtId="43" fontId="43" fillId="0" borderId="19" xfId="1" applyFont="1" applyFill="1" applyBorder="1" applyAlignment="1">
      <alignment vertical="center"/>
    </xf>
    <xf numFmtId="43" fontId="42" fillId="0" borderId="19" xfId="1" applyFont="1" applyFill="1" applyBorder="1" applyAlignment="1">
      <alignment vertical="center"/>
    </xf>
    <xf numFmtId="43" fontId="45" fillId="0" borderId="19" xfId="1" applyFont="1" applyFill="1" applyBorder="1" applyAlignment="1">
      <alignment vertical="center"/>
    </xf>
    <xf numFmtId="43" fontId="44" fillId="0" borderId="19" xfId="1" applyFont="1" applyFill="1" applyBorder="1" applyAlignment="1">
      <alignment vertical="center"/>
    </xf>
    <xf numFmtId="43" fontId="40" fillId="29" borderId="19" xfId="1" applyFont="1" applyFill="1" applyBorder="1" applyAlignment="1">
      <alignment vertical="center"/>
    </xf>
    <xf numFmtId="43" fontId="43" fillId="29" borderId="19" xfId="1" applyFont="1" applyFill="1" applyBorder="1" applyAlignment="1">
      <alignment vertical="center"/>
    </xf>
    <xf numFmtId="43" fontId="36" fillId="29" borderId="19" xfId="1" applyFont="1" applyFill="1" applyBorder="1" applyAlignment="1">
      <alignment vertical="center"/>
    </xf>
    <xf numFmtId="43" fontId="44" fillId="29" borderId="19" xfId="1" applyFont="1" applyFill="1" applyBorder="1" applyAlignment="1">
      <alignment vertical="center"/>
    </xf>
    <xf numFmtId="43" fontId="46" fillId="0" borderId="19" xfId="1" applyFont="1" applyFill="1" applyBorder="1" applyAlignment="1">
      <alignment vertical="center"/>
    </xf>
    <xf numFmtId="43" fontId="40" fillId="34" borderId="19" xfId="1" applyFont="1" applyFill="1" applyBorder="1" applyAlignment="1">
      <alignment vertical="center"/>
    </xf>
    <xf numFmtId="43" fontId="48" fillId="35" borderId="19" xfId="1" applyFont="1" applyFill="1" applyBorder="1" applyAlignment="1">
      <alignment vertical="center"/>
    </xf>
    <xf numFmtId="43" fontId="48" fillId="33" borderId="33" xfId="1" applyFont="1" applyFill="1" applyBorder="1" applyAlignment="1">
      <alignment vertical="center"/>
    </xf>
    <xf numFmtId="43" fontId="36" fillId="0" borderId="49" xfId="1" applyFont="1" applyFill="1" applyBorder="1" applyAlignment="1">
      <alignment vertical="center"/>
    </xf>
    <xf numFmtId="43" fontId="47" fillId="35" borderId="18" xfId="1" applyFont="1" applyFill="1" applyBorder="1" applyAlignment="1">
      <alignment horizontal="center" vertical="center" wrapText="1"/>
    </xf>
    <xf numFmtId="43" fontId="36" fillId="34" borderId="18" xfId="1" applyFont="1" applyFill="1" applyBorder="1" applyAlignment="1">
      <alignment vertical="center"/>
    </xf>
    <xf numFmtId="43" fontId="36" fillId="0" borderId="18" xfId="1" applyFont="1" applyFill="1" applyBorder="1" applyAlignment="1">
      <alignment vertical="center"/>
    </xf>
    <xf numFmtId="43" fontId="43" fillId="0" borderId="18" xfId="1" applyFont="1" applyFill="1" applyBorder="1" applyAlignment="1">
      <alignment vertical="center"/>
    </xf>
    <xf numFmtId="43" fontId="42" fillId="0" borderId="18" xfId="1" applyFont="1" applyFill="1" applyBorder="1" applyAlignment="1">
      <alignment vertical="center"/>
    </xf>
    <xf numFmtId="43" fontId="45" fillId="0" borderId="18" xfId="1" applyFont="1" applyFill="1" applyBorder="1" applyAlignment="1">
      <alignment vertical="center"/>
    </xf>
    <xf numFmtId="43" fontId="44" fillId="0" borderId="18" xfId="1" applyFont="1" applyFill="1" applyBorder="1" applyAlignment="1">
      <alignment vertical="center"/>
    </xf>
    <xf numFmtId="43" fontId="40" fillId="29" borderId="18" xfId="1" applyFont="1" applyFill="1" applyBorder="1" applyAlignment="1">
      <alignment vertical="center"/>
    </xf>
    <xf numFmtId="43" fontId="43" fillId="29" borderId="18" xfId="1" applyFont="1" applyFill="1" applyBorder="1" applyAlignment="1">
      <alignment vertical="center"/>
    </xf>
    <xf numFmtId="43" fontId="44" fillId="29" borderId="18" xfId="1" applyFont="1" applyFill="1" applyBorder="1" applyAlignment="1">
      <alignment vertical="center"/>
    </xf>
    <xf numFmtId="43" fontId="46" fillId="0" borderId="18" xfId="1" applyFont="1" applyFill="1" applyBorder="1" applyAlignment="1">
      <alignment vertical="center"/>
    </xf>
    <xf numFmtId="43" fontId="48" fillId="35" borderId="18" xfId="1" applyFont="1" applyFill="1" applyBorder="1" applyAlignment="1">
      <alignment vertical="center"/>
    </xf>
    <xf numFmtId="43" fontId="48" fillId="33" borderId="35" xfId="1" applyFont="1" applyFill="1" applyBorder="1" applyAlignment="1">
      <alignment vertical="center"/>
    </xf>
    <xf numFmtId="164" fontId="49" fillId="32" borderId="2" xfId="1" applyNumberFormat="1" applyFont="1" applyFill="1" applyBorder="1"/>
    <xf numFmtId="9" fontId="49" fillId="32" borderId="2" xfId="2" applyFont="1" applyFill="1" applyBorder="1"/>
    <xf numFmtId="164" fontId="50" fillId="3" borderId="19" xfId="1" applyNumberFormat="1" applyFont="1" applyFill="1" applyBorder="1"/>
    <xf numFmtId="9" fontId="50" fillId="3" borderId="19" xfId="2" applyFont="1" applyFill="1" applyBorder="1"/>
    <xf numFmtId="164" fontId="50" fillId="0" borderId="19" xfId="1" applyNumberFormat="1" applyFont="1" applyBorder="1"/>
    <xf numFmtId="164" fontId="51" fillId="0" borderId="19" xfId="1" applyNumberFormat="1" applyFont="1" applyBorder="1"/>
    <xf numFmtId="164" fontId="50" fillId="0" borderId="19" xfId="1" applyNumberFormat="1" applyFont="1" applyFill="1" applyBorder="1"/>
    <xf numFmtId="164" fontId="50" fillId="0" borderId="10" xfId="1" applyNumberFormat="1" applyFont="1" applyBorder="1"/>
    <xf numFmtId="164" fontId="50" fillId="3" borderId="10" xfId="1" applyNumberFormat="1" applyFont="1" applyFill="1" applyBorder="1"/>
    <xf numFmtId="9" fontId="50" fillId="3" borderId="10" xfId="2" applyFont="1" applyFill="1" applyBorder="1"/>
    <xf numFmtId="164" fontId="49" fillId="31" borderId="2" xfId="1" applyNumberFormat="1" applyFont="1" applyFill="1" applyBorder="1"/>
    <xf numFmtId="9" fontId="49" fillId="31" borderId="2" xfId="2" applyFont="1" applyFill="1" applyBorder="1"/>
    <xf numFmtId="9" fontId="50" fillId="0" borderId="19" xfId="2" applyNumberFormat="1" applyFont="1" applyBorder="1"/>
    <xf numFmtId="9" fontId="50" fillId="0" borderId="10" xfId="2" applyNumberFormat="1" applyFont="1" applyBorder="1"/>
    <xf numFmtId="0" fontId="49" fillId="30" borderId="1" xfId="3" applyFont="1" applyFill="1" applyBorder="1" applyAlignment="1">
      <alignment horizontal="left"/>
    </xf>
    <xf numFmtId="0" fontId="50" fillId="0" borderId="0" xfId="3" applyFont="1"/>
    <xf numFmtId="0" fontId="49" fillId="30" borderId="3" xfId="3" applyFont="1" applyFill="1" applyBorder="1" applyAlignment="1">
      <alignment horizontal="center"/>
    </xf>
    <xf numFmtId="0" fontId="49" fillId="30" borderId="7" xfId="3" applyFont="1" applyFill="1" applyBorder="1" applyAlignment="1">
      <alignment horizontal="center"/>
    </xf>
    <xf numFmtId="0" fontId="49" fillId="30" borderId="9" xfId="3" applyFont="1" applyFill="1" applyBorder="1" applyAlignment="1">
      <alignment horizontal="center"/>
    </xf>
    <xf numFmtId="0" fontId="49" fillId="30" borderId="2" xfId="3" applyFont="1" applyFill="1" applyBorder="1" applyAlignment="1">
      <alignment horizontal="center" vertical="center"/>
    </xf>
    <xf numFmtId="0" fontId="49" fillId="30" borderId="10" xfId="3" applyFont="1" applyFill="1" applyBorder="1" applyAlignment="1">
      <alignment horizontal="center"/>
    </xf>
    <xf numFmtId="0" fontId="49" fillId="30" borderId="12" xfId="3" quotePrefix="1" applyFont="1" applyFill="1" applyBorder="1" applyAlignment="1">
      <alignment horizontal="center"/>
    </xf>
    <xf numFmtId="0" fontId="52" fillId="0" borderId="14" xfId="3" applyFont="1" applyFill="1" applyBorder="1" applyAlignment="1">
      <alignment horizontal="center" vertical="center"/>
    </xf>
    <xf numFmtId="0" fontId="52" fillId="0" borderId="0" xfId="3" quotePrefix="1" applyFont="1" applyFill="1" applyBorder="1" applyAlignment="1">
      <alignment horizontal="center"/>
    </xf>
    <xf numFmtId="0" fontId="52" fillId="0" borderId="0" xfId="3" applyFont="1" applyFill="1" applyBorder="1" applyAlignment="1">
      <alignment horizontal="center"/>
    </xf>
    <xf numFmtId="0" fontId="50" fillId="0" borderId="14" xfId="3" applyFont="1" applyFill="1" applyBorder="1"/>
    <xf numFmtId="0" fontId="52" fillId="0" borderId="1" xfId="3" applyFont="1" applyFill="1" applyBorder="1" applyAlignment="1">
      <alignment horizontal="center" vertical="center"/>
    </xf>
    <xf numFmtId="0" fontId="52" fillId="0" borderId="1" xfId="3" quotePrefix="1" applyFont="1" applyFill="1" applyBorder="1" applyAlignment="1">
      <alignment horizontal="center"/>
    </xf>
    <xf numFmtId="0" fontId="52" fillId="0" borderId="1" xfId="3" applyFont="1" applyFill="1" applyBorder="1" applyAlignment="1">
      <alignment horizontal="center"/>
    </xf>
    <xf numFmtId="0" fontId="50" fillId="0" borderId="1" xfId="3" applyFont="1" applyFill="1" applyBorder="1"/>
    <xf numFmtId="0" fontId="50" fillId="0" borderId="15" xfId="3" applyFont="1" applyBorder="1"/>
    <xf numFmtId="0" fontId="50" fillId="0" borderId="16" xfId="3" applyFont="1" applyBorder="1"/>
    <xf numFmtId="0" fontId="50" fillId="0" borderId="7" xfId="3" applyFont="1" applyBorder="1"/>
    <xf numFmtId="164" fontId="50" fillId="0" borderId="7" xfId="3" applyNumberFormat="1" applyFont="1" applyBorder="1"/>
    <xf numFmtId="0" fontId="53" fillId="32" borderId="17" xfId="3" applyFont="1" applyFill="1" applyBorder="1"/>
    <xf numFmtId="0" fontId="54" fillId="32" borderId="18" xfId="3" applyFont="1" applyFill="1" applyBorder="1" applyAlignment="1">
      <alignment vertical="center"/>
    </xf>
    <xf numFmtId="0" fontId="50" fillId="0" borderId="19" xfId="3" applyFont="1" applyBorder="1"/>
    <xf numFmtId="0" fontId="50" fillId="3" borderId="17" xfId="3" applyFont="1" applyFill="1" applyBorder="1"/>
    <xf numFmtId="0" fontId="52" fillId="3" borderId="18" xfId="3" applyFont="1" applyFill="1" applyBorder="1"/>
    <xf numFmtId="0" fontId="50" fillId="0" borderId="17" xfId="3" applyFont="1" applyBorder="1"/>
    <xf numFmtId="0" fontId="50" fillId="0" borderId="18" xfId="3" applyFont="1" applyBorder="1"/>
    <xf numFmtId="0" fontId="50" fillId="3" borderId="18" xfId="3" applyFont="1" applyFill="1" applyBorder="1"/>
    <xf numFmtId="0" fontId="50" fillId="0" borderId="20" xfId="3" applyFont="1" applyBorder="1"/>
    <xf numFmtId="0" fontId="50" fillId="0" borderId="21" xfId="3" applyFont="1" applyBorder="1"/>
    <xf numFmtId="0" fontId="50" fillId="0" borderId="10" xfId="3" applyFont="1" applyBorder="1"/>
    <xf numFmtId="0" fontId="50" fillId="0" borderId="2" xfId="3" applyFont="1" applyBorder="1"/>
    <xf numFmtId="0" fontId="50" fillId="0" borderId="4" xfId="3" applyFont="1" applyBorder="1" applyAlignment="1"/>
    <xf numFmtId="9" fontId="50" fillId="0" borderId="2" xfId="2" applyFont="1" applyBorder="1" applyAlignment="1"/>
    <xf numFmtId="0" fontId="52" fillId="0" borderId="2" xfId="3" applyFont="1" applyBorder="1" applyAlignment="1"/>
    <xf numFmtId="164" fontId="50" fillId="0" borderId="2" xfId="3" applyNumberFormat="1" applyFont="1" applyBorder="1"/>
    <xf numFmtId="0" fontId="50" fillId="0" borderId="6" xfId="3" applyFont="1" applyBorder="1"/>
    <xf numFmtId="9" fontId="50" fillId="0" borderId="2" xfId="2" applyFont="1" applyBorder="1"/>
    <xf numFmtId="0" fontId="49" fillId="31" borderId="6" xfId="3" applyFont="1" applyFill="1" applyBorder="1" applyAlignment="1">
      <alignment horizontal="left"/>
    </xf>
    <xf numFmtId="0" fontId="49" fillId="31" borderId="5" xfId="3" applyFont="1" applyFill="1" applyBorder="1" applyAlignment="1"/>
    <xf numFmtId="43" fontId="53" fillId="31" borderId="2" xfId="3" applyNumberFormat="1" applyFont="1" applyFill="1" applyBorder="1"/>
    <xf numFmtId="9" fontId="50" fillId="0" borderId="19" xfId="2" applyFont="1" applyBorder="1"/>
    <xf numFmtId="0" fontId="50" fillId="3" borderId="17" xfId="3" applyFont="1" applyFill="1" applyBorder="1" applyAlignment="1">
      <alignment horizontal="center" vertical="center"/>
    </xf>
    <xf numFmtId="0" fontId="50" fillId="3" borderId="18" xfId="3" applyFont="1" applyFill="1" applyBorder="1" applyAlignment="1"/>
    <xf numFmtId="43" fontId="50" fillId="3" borderId="19" xfId="3" applyNumberFormat="1" applyFont="1" applyFill="1" applyBorder="1"/>
    <xf numFmtId="164" fontId="50" fillId="3" borderId="19" xfId="3" applyNumberFormat="1" applyFont="1" applyFill="1" applyBorder="1"/>
    <xf numFmtId="0" fontId="50" fillId="3" borderId="17" xfId="3" applyFont="1" applyFill="1" applyBorder="1" applyAlignment="1">
      <alignment horizontal="center" vertical="top"/>
    </xf>
    <xf numFmtId="0" fontId="50" fillId="3" borderId="18" xfId="3" applyFont="1" applyFill="1" applyBorder="1" applyAlignment="1">
      <alignment vertical="center" wrapText="1"/>
    </xf>
    <xf numFmtId="43" fontId="50" fillId="0" borderId="19" xfId="1" applyFont="1" applyBorder="1"/>
    <xf numFmtId="0" fontId="49" fillId="32" borderId="5" xfId="3" applyFont="1" applyFill="1" applyBorder="1" applyAlignment="1"/>
    <xf numFmtId="43" fontId="53" fillId="32" borderId="2" xfId="3" applyNumberFormat="1" applyFont="1" applyFill="1" applyBorder="1"/>
    <xf numFmtId="0" fontId="50" fillId="0" borderId="17" xfId="3" applyFont="1" applyBorder="1" applyAlignment="1">
      <alignment horizontal="center" vertical="center"/>
    </xf>
    <xf numFmtId="0" fontId="50" fillId="0" borderId="18" xfId="3" applyFont="1" applyBorder="1" applyAlignment="1"/>
    <xf numFmtId="43" fontId="50" fillId="0" borderId="10" xfId="1" applyFont="1" applyBorder="1"/>
    <xf numFmtId="9" fontId="50" fillId="0" borderId="10" xfId="2" applyFont="1" applyBorder="1"/>
    <xf numFmtId="43" fontId="52" fillId="32" borderId="6" xfId="1" applyFont="1" applyFill="1" applyBorder="1"/>
    <xf numFmtId="43" fontId="49" fillId="32" borderId="6" xfId="1" applyFont="1" applyFill="1" applyBorder="1"/>
    <xf numFmtId="0" fontId="38" fillId="0" borderId="0" xfId="5" applyFont="1"/>
    <xf numFmtId="0" fontId="39" fillId="0" borderId="0" xfId="5" applyFont="1" applyBorder="1"/>
    <xf numFmtId="0" fontId="39" fillId="0" borderId="0" xfId="5" applyFont="1" applyBorder="1" applyAlignment="1">
      <alignment horizontal="center"/>
    </xf>
    <xf numFmtId="164" fontId="39" fillId="0" borderId="0" xfId="10" applyNumberFormat="1" applyFont="1" applyBorder="1"/>
    <xf numFmtId="164" fontId="40" fillId="0" borderId="0" xfId="10" applyNumberFormat="1" applyFont="1" applyBorder="1"/>
    <xf numFmtId="0" fontId="40" fillId="0" borderId="26" xfId="5" applyFont="1" applyBorder="1"/>
    <xf numFmtId="0" fontId="39" fillId="0" borderId="0" xfId="5" applyFont="1"/>
    <xf numFmtId="0" fontId="38" fillId="0" borderId="0" xfId="5" applyFont="1" applyBorder="1"/>
    <xf numFmtId="0" fontId="38" fillId="0" borderId="0" xfId="5" applyFont="1" applyBorder="1" applyAlignment="1">
      <alignment horizontal="center"/>
    </xf>
    <xf numFmtId="164" fontId="38" fillId="0" borderId="0" xfId="10" applyNumberFormat="1" applyFont="1" applyBorder="1"/>
    <xf numFmtId="164" fontId="36" fillId="0" borderId="0" xfId="10" applyNumberFormat="1" applyFont="1" applyBorder="1"/>
    <xf numFmtId="0" fontId="36" fillId="0" borderId="26" xfId="5" applyFont="1" applyBorder="1"/>
    <xf numFmtId="0" fontId="39" fillId="0" borderId="0" xfId="5" applyFont="1" applyBorder="1" applyAlignment="1">
      <alignment horizontal="right"/>
    </xf>
    <xf numFmtId="15" fontId="40" fillId="0" borderId="0" xfId="5" applyNumberFormat="1" applyFont="1" applyBorder="1" applyAlignment="1">
      <alignment horizontal="center"/>
    </xf>
    <xf numFmtId="43" fontId="40" fillId="0" borderId="0" xfId="10" applyFont="1" applyBorder="1"/>
    <xf numFmtId="0" fontId="39" fillId="0" borderId="25" xfId="5" applyFont="1" applyBorder="1" applyAlignment="1">
      <alignment vertical="center"/>
    </xf>
    <xf numFmtId="0" fontId="39" fillId="0" borderId="0" xfId="5" applyFont="1" applyBorder="1" applyAlignment="1">
      <alignment vertical="center"/>
    </xf>
    <xf numFmtId="0" fontId="39" fillId="0" borderId="0" xfId="5" applyFont="1" applyBorder="1" applyAlignment="1">
      <alignment horizontal="right" vertical="center"/>
    </xf>
    <xf numFmtId="0" fontId="39" fillId="0" borderId="0" xfId="5" applyFont="1" applyBorder="1" applyAlignment="1">
      <alignment horizontal="center" vertical="center"/>
    </xf>
    <xf numFmtId="164" fontId="39" fillId="0" borderId="0" xfId="10" applyNumberFormat="1" applyFont="1" applyBorder="1" applyAlignment="1">
      <alignment vertical="center"/>
    </xf>
    <xf numFmtId="164" fontId="40" fillId="0" borderId="0" xfId="10" applyNumberFormat="1" applyFont="1" applyBorder="1" applyAlignment="1">
      <alignment vertical="center"/>
    </xf>
    <xf numFmtId="15" fontId="40" fillId="0" borderId="0" xfId="5" applyNumberFormat="1" applyFont="1" applyBorder="1" applyAlignment="1">
      <alignment horizontal="center" vertical="center"/>
    </xf>
    <xf numFmtId="0" fontId="40" fillId="0" borderId="26" xfId="5" applyFont="1" applyBorder="1" applyAlignment="1">
      <alignment vertical="center"/>
    </xf>
    <xf numFmtId="0" fontId="39" fillId="0" borderId="0" xfId="5" applyFont="1" applyAlignment="1">
      <alignment vertical="center"/>
    </xf>
    <xf numFmtId="43" fontId="36" fillId="0" borderId="19" xfId="10" applyNumberFormat="1" applyFont="1" applyBorder="1"/>
    <xf numFmtId="43" fontId="38" fillId="0" borderId="19" xfId="10" applyNumberFormat="1" applyFont="1" applyBorder="1"/>
    <xf numFmtId="43" fontId="39" fillId="0" borderId="19" xfId="10" applyNumberFormat="1" applyFont="1" applyBorder="1"/>
    <xf numFmtId="0" fontId="38" fillId="0" borderId="38" xfId="5" applyFont="1" applyBorder="1" applyAlignment="1">
      <alignment horizontal="left" indent="1"/>
    </xf>
    <xf numFmtId="0" fontId="38" fillId="0" borderId="38" xfId="5" applyFont="1" applyBorder="1" applyAlignment="1">
      <alignment horizontal="left" indent="2"/>
    </xf>
    <xf numFmtId="43" fontId="40" fillId="34" borderId="25" xfId="6" applyNumberFormat="1" applyFont="1" applyFill="1" applyBorder="1" applyAlignment="1">
      <alignment horizontal="left" vertical="center"/>
    </xf>
    <xf numFmtId="0" fontId="39" fillId="0" borderId="0" xfId="5" applyFont="1" applyBorder="1" applyAlignment="1">
      <alignment horizontal="left"/>
    </xf>
    <xf numFmtId="0" fontId="39" fillId="0" borderId="0" xfId="4" applyFont="1" applyBorder="1" applyAlignment="1">
      <alignment horizontal="right"/>
    </xf>
    <xf numFmtId="0" fontId="38" fillId="32" borderId="7" xfId="5" quotePrefix="1" applyNumberFormat="1" applyFont="1" applyFill="1" applyBorder="1" applyAlignment="1">
      <alignment horizontal="center" wrapText="1"/>
    </xf>
    <xf numFmtId="0" fontId="38" fillId="32" borderId="7" xfId="10" quotePrefix="1" applyNumberFormat="1" applyFont="1" applyFill="1" applyBorder="1" applyAlignment="1">
      <alignment horizontal="center" wrapText="1"/>
    </xf>
    <xf numFmtId="0" fontId="38" fillId="32" borderId="7" xfId="10" applyNumberFormat="1" applyFont="1" applyFill="1" applyBorder="1" applyAlignment="1">
      <alignment horizontal="center" wrapText="1"/>
    </xf>
    <xf numFmtId="0" fontId="36" fillId="32" borderId="7" xfId="10" applyNumberFormat="1" applyFont="1" applyFill="1" applyBorder="1" applyAlignment="1">
      <alignment horizontal="center" wrapText="1"/>
    </xf>
    <xf numFmtId="43" fontId="40" fillId="29" borderId="0" xfId="6" applyNumberFormat="1" applyFont="1" applyFill="1" applyBorder="1" applyAlignment="1">
      <alignment horizontal="left" vertical="center"/>
    </xf>
    <xf numFmtId="43" fontId="40" fillId="29" borderId="0" xfId="6" applyNumberFormat="1" applyFont="1" applyFill="1" applyBorder="1" applyAlignment="1">
      <alignment vertical="center"/>
    </xf>
    <xf numFmtId="0" fontId="40" fillId="29" borderId="0" xfId="0" applyFont="1" applyFill="1" applyBorder="1" applyAlignment="1">
      <alignment vertical="center"/>
    </xf>
    <xf numFmtId="43" fontId="36" fillId="0" borderId="0" xfId="1" applyFont="1" applyFill="1" applyBorder="1" applyAlignment="1">
      <alignment horizontal="center" vertical="center"/>
    </xf>
    <xf numFmtId="43" fontId="40" fillId="0" borderId="0" xfId="6" applyNumberFormat="1" applyFont="1" applyFill="1" applyBorder="1" applyAlignment="1">
      <alignment horizontal="center" vertical="center"/>
    </xf>
    <xf numFmtId="0" fontId="38" fillId="29" borderId="0" xfId="5" applyFont="1" applyFill="1" applyBorder="1" applyAlignment="1"/>
    <xf numFmtId="0" fontId="39" fillId="0" borderId="22" xfId="5" applyFont="1" applyBorder="1" applyAlignment="1"/>
    <xf numFmtId="0" fontId="38" fillId="0" borderId="25" xfId="5" applyFont="1" applyBorder="1" applyAlignment="1"/>
    <xf numFmtId="0" fontId="39" fillId="0" borderId="25" xfId="5" applyFont="1" applyBorder="1" applyAlignment="1"/>
    <xf numFmtId="0" fontId="39" fillId="0" borderId="25" xfId="4" applyFont="1" applyBorder="1"/>
    <xf numFmtId="0" fontId="39" fillId="0" borderId="26" xfId="4" applyFont="1" applyBorder="1"/>
    <xf numFmtId="0" fontId="36" fillId="32" borderId="8" xfId="10" applyNumberFormat="1" applyFont="1" applyFill="1" applyBorder="1" applyAlignment="1">
      <alignment horizontal="center" wrapText="1"/>
    </xf>
    <xf numFmtId="43" fontId="38" fillId="0" borderId="0" xfId="1" applyFont="1" applyBorder="1" applyAlignment="1">
      <alignment horizontal="center" vertical="center" wrapText="1"/>
    </xf>
    <xf numFmtId="0" fontId="38" fillId="0" borderId="26" xfId="4" applyFont="1" applyBorder="1" applyAlignment="1">
      <alignment horizontal="center" vertical="center" wrapText="1"/>
    </xf>
    <xf numFmtId="43" fontId="36" fillId="0" borderId="26" xfId="6" applyNumberFormat="1" applyFont="1" applyFill="1" applyBorder="1" applyAlignment="1">
      <alignment vertical="center"/>
    </xf>
    <xf numFmtId="0" fontId="40" fillId="29" borderId="25" xfId="7" applyFont="1" applyFill="1" applyBorder="1" applyAlignment="1">
      <alignment horizontal="center" vertical="center"/>
    </xf>
    <xf numFmtId="43" fontId="59" fillId="29" borderId="26" xfId="1" applyFont="1" applyFill="1" applyBorder="1" applyAlignment="1">
      <alignment vertical="center"/>
    </xf>
    <xf numFmtId="0" fontId="36" fillId="29" borderId="25" xfId="7" applyFont="1" applyFill="1" applyBorder="1" applyAlignment="1">
      <alignment horizontal="center" vertical="center"/>
    </xf>
    <xf numFmtId="43" fontId="36" fillId="29" borderId="26" xfId="6" applyNumberFormat="1" applyFont="1" applyFill="1" applyBorder="1" applyAlignment="1">
      <alignment vertical="center"/>
    </xf>
    <xf numFmtId="43" fontId="55" fillId="29" borderId="26" xfId="1" applyFont="1" applyFill="1" applyBorder="1" applyAlignment="1">
      <alignment vertical="center"/>
    </xf>
    <xf numFmtId="43" fontId="36" fillId="0" borderId="26" xfId="10" applyNumberFormat="1" applyFont="1" applyBorder="1"/>
    <xf numFmtId="0" fontId="40" fillId="29" borderId="25" xfId="0" applyFont="1" applyFill="1" applyBorder="1" applyAlignment="1">
      <alignment horizontal="center" vertical="top"/>
    </xf>
    <xf numFmtId="43" fontId="59" fillId="0" borderId="26" xfId="1" applyFont="1" applyFill="1" applyBorder="1" applyAlignment="1">
      <alignment vertical="center"/>
    </xf>
    <xf numFmtId="43" fontId="55" fillId="0" borderId="26" xfId="1" applyFont="1" applyFill="1" applyBorder="1" applyAlignment="1">
      <alignment vertical="center"/>
    </xf>
    <xf numFmtId="43" fontId="36" fillId="29" borderId="25" xfId="298" applyFont="1" applyFill="1" applyBorder="1" applyAlignment="1">
      <alignment horizontal="center" vertical="center"/>
    </xf>
    <xf numFmtId="0" fontId="40" fillId="29" borderId="25" xfId="7" applyFont="1" applyFill="1" applyBorder="1" applyAlignment="1">
      <alignment horizontal="left" vertical="center"/>
    </xf>
    <xf numFmtId="43" fontId="59" fillId="29" borderId="50" xfId="1" applyFont="1" applyFill="1" applyBorder="1" applyAlignment="1">
      <alignment vertical="center"/>
    </xf>
    <xf numFmtId="43" fontId="40" fillId="29" borderId="25" xfId="6" applyNumberFormat="1" applyFont="1" applyFill="1" applyBorder="1" applyAlignment="1">
      <alignment horizontal="left" vertical="center"/>
    </xf>
    <xf numFmtId="43" fontId="40" fillId="29" borderId="25" xfId="7" applyNumberFormat="1" applyFont="1" applyFill="1" applyBorder="1" applyAlignment="1">
      <alignment horizontal="center" vertical="center"/>
    </xf>
    <xf numFmtId="43" fontId="40" fillId="0" borderId="25" xfId="6" applyNumberFormat="1" applyFont="1" applyFill="1" applyBorder="1" applyAlignment="1">
      <alignment horizontal="left" vertical="center"/>
    </xf>
    <xf numFmtId="43" fontId="59" fillId="0" borderId="50" xfId="1" applyFont="1" applyFill="1" applyBorder="1" applyAlignment="1">
      <alignment vertical="center"/>
    </xf>
    <xf numFmtId="43" fontId="40" fillId="0" borderId="26" xfId="1" applyFont="1" applyFill="1" applyBorder="1" applyAlignment="1">
      <alignment vertical="center"/>
    </xf>
    <xf numFmtId="43" fontId="40" fillId="0" borderId="26" xfId="10" applyNumberFormat="1" applyFont="1" applyBorder="1"/>
    <xf numFmtId="43" fontId="36" fillId="0" borderId="37" xfId="6" applyNumberFormat="1" applyFont="1" applyFill="1" applyBorder="1" applyAlignment="1">
      <alignment vertical="center"/>
    </xf>
    <xf numFmtId="43" fontId="38" fillId="0" borderId="17" xfId="1" applyFont="1" applyBorder="1" applyAlignment="1">
      <alignment horizontal="center" vertical="center" wrapText="1"/>
    </xf>
    <xf numFmtId="43" fontId="59" fillId="29" borderId="17" xfId="1" applyFont="1" applyFill="1" applyBorder="1" applyAlignment="1">
      <alignment vertical="center"/>
    </xf>
    <xf numFmtId="43" fontId="55" fillId="29" borderId="17" xfId="1" applyFont="1" applyFill="1" applyBorder="1" applyAlignment="1">
      <alignment vertical="center"/>
    </xf>
    <xf numFmtId="43" fontId="36" fillId="0" borderId="17" xfId="10" applyNumberFormat="1" applyFont="1" applyBorder="1"/>
    <xf numFmtId="43" fontId="59" fillId="0" borderId="17" xfId="1" applyFont="1" applyFill="1" applyBorder="1" applyAlignment="1">
      <alignment vertical="center"/>
    </xf>
    <xf numFmtId="43" fontId="55" fillId="0" borderId="17" xfId="1" applyFont="1" applyFill="1" applyBorder="1" applyAlignment="1">
      <alignment vertical="center"/>
    </xf>
    <xf numFmtId="43" fontId="59" fillId="29" borderId="20" xfId="1" applyFont="1" applyFill="1" applyBorder="1" applyAlignment="1">
      <alignment vertical="center"/>
    </xf>
    <xf numFmtId="43" fontId="59" fillId="0" borderId="20" xfId="1" applyFont="1" applyFill="1" applyBorder="1" applyAlignment="1">
      <alignment vertical="center"/>
    </xf>
    <xf numFmtId="43" fontId="40" fillId="0" borderId="17" xfId="1" applyFont="1" applyFill="1" applyBorder="1" applyAlignment="1">
      <alignment vertical="center"/>
    </xf>
    <xf numFmtId="43" fontId="38" fillId="0" borderId="17" xfId="10" applyNumberFormat="1" applyFont="1" applyBorder="1"/>
    <xf numFmtId="43" fontId="39" fillId="0" borderId="17" xfId="10" applyNumberFormat="1" applyFont="1" applyBorder="1"/>
    <xf numFmtId="43" fontId="38" fillId="0" borderId="19" xfId="1" applyFont="1" applyBorder="1" applyAlignment="1">
      <alignment horizontal="center" vertical="center" wrapText="1"/>
    </xf>
    <xf numFmtId="43" fontId="59" fillId="29" borderId="19" xfId="1" applyFont="1" applyFill="1" applyBorder="1" applyAlignment="1">
      <alignment vertical="center"/>
    </xf>
    <xf numFmtId="43" fontId="55" fillId="29" borderId="19" xfId="1" applyFont="1" applyFill="1" applyBorder="1" applyAlignment="1">
      <alignment vertical="center"/>
    </xf>
    <xf numFmtId="43" fontId="59" fillId="0" borderId="19" xfId="1" applyFont="1" applyFill="1" applyBorder="1" applyAlignment="1">
      <alignment vertical="center"/>
    </xf>
    <xf numFmtId="43" fontId="55" fillId="0" borderId="19" xfId="1" applyFont="1" applyFill="1" applyBorder="1" applyAlignment="1">
      <alignment vertical="center"/>
    </xf>
    <xf numFmtId="43" fontId="59" fillId="29" borderId="10" xfId="1" applyFont="1" applyFill="1" applyBorder="1" applyAlignment="1">
      <alignment vertical="center"/>
    </xf>
    <xf numFmtId="43" fontId="59" fillId="0" borderId="10" xfId="1" applyFont="1" applyFill="1" applyBorder="1" applyAlignment="1">
      <alignment vertical="center"/>
    </xf>
    <xf numFmtId="43" fontId="40" fillId="0" borderId="19" xfId="1" applyFont="1" applyFill="1" applyBorder="1" applyAlignment="1">
      <alignment vertical="center"/>
    </xf>
    <xf numFmtId="0" fontId="38" fillId="0" borderId="19" xfId="4" applyFont="1" applyBorder="1" applyAlignment="1">
      <alignment horizontal="center" vertical="center" wrapText="1"/>
    </xf>
    <xf numFmtId="43" fontId="36" fillId="0" borderId="19" xfId="6" applyNumberFormat="1" applyFont="1" applyFill="1" applyBorder="1" applyAlignment="1">
      <alignment vertical="center"/>
    </xf>
    <xf numFmtId="43" fontId="36" fillId="29" borderId="19" xfId="6" applyNumberFormat="1" applyFont="1" applyFill="1" applyBorder="1" applyAlignment="1">
      <alignment vertical="center"/>
    </xf>
    <xf numFmtId="43" fontId="40" fillId="0" borderId="19" xfId="10" applyNumberFormat="1" applyFont="1" applyBorder="1"/>
    <xf numFmtId="0" fontId="57" fillId="0" borderId="0" xfId="4" applyFont="1"/>
    <xf numFmtId="164" fontId="58" fillId="32" borderId="2" xfId="10" applyNumberFormat="1" applyFont="1" applyFill="1" applyBorder="1" applyAlignment="1">
      <alignment vertical="center" wrapText="1"/>
    </xf>
    <xf numFmtId="164" fontId="58" fillId="32" borderId="28" xfId="10" applyNumberFormat="1" applyFont="1" applyFill="1" applyBorder="1" applyAlignment="1">
      <alignment vertical="center" wrapText="1"/>
    </xf>
    <xf numFmtId="0" fontId="56" fillId="0" borderId="0" xfId="4" applyFont="1" applyAlignment="1">
      <alignment horizontal="center" vertical="center" wrapText="1"/>
    </xf>
    <xf numFmtId="0" fontId="16" fillId="0" borderId="0" xfId="14" applyFont="1" applyBorder="1" applyAlignment="1">
      <alignment horizontal="left" indent="1"/>
    </xf>
    <xf numFmtId="0" fontId="16" fillId="0" borderId="0" xfId="14" applyFont="1" applyBorder="1" applyAlignment="1">
      <alignment horizontal="left" indent="2"/>
    </xf>
    <xf numFmtId="0" fontId="15" fillId="0" borderId="0" xfId="14" applyFont="1" applyBorder="1" applyAlignment="1">
      <alignment horizontal="left" indent="3"/>
    </xf>
    <xf numFmtId="0" fontId="12" fillId="0" borderId="0" xfId="16" applyFont="1" applyFill="1" applyBorder="1" applyAlignment="1">
      <alignment horizontal="left" indent="3"/>
    </xf>
    <xf numFmtId="0" fontId="13" fillId="0" borderId="0" xfId="16" applyFont="1" applyFill="1" applyBorder="1" applyAlignment="1">
      <alignment horizontal="left" indent="2"/>
    </xf>
    <xf numFmtId="43" fontId="36" fillId="29" borderId="0" xfId="6" applyNumberFormat="1" applyFont="1" applyFill="1" applyBorder="1" applyAlignment="1">
      <alignment horizontal="left" vertical="center"/>
    </xf>
    <xf numFmtId="43" fontId="36" fillId="29" borderId="0" xfId="1" applyFont="1" applyFill="1" applyBorder="1" applyAlignment="1">
      <alignment horizontal="center" vertical="center"/>
    </xf>
    <xf numFmtId="43" fontId="36" fillId="29" borderId="17" xfId="6" applyNumberFormat="1" applyFont="1" applyFill="1" applyBorder="1" applyAlignment="1">
      <alignment vertical="center"/>
    </xf>
    <xf numFmtId="0" fontId="13" fillId="0" borderId="0" xfId="14" applyFont="1" applyBorder="1" applyAlignment="1">
      <alignment horizontal="left" indent="1"/>
    </xf>
    <xf numFmtId="0" fontId="44" fillId="29" borderId="25" xfId="7" applyFont="1" applyFill="1" applyBorder="1" applyAlignment="1">
      <alignment horizontal="center" vertical="center"/>
    </xf>
    <xf numFmtId="0" fontId="63" fillId="0" borderId="0" xfId="14" applyFont="1" applyBorder="1" applyAlignment="1">
      <alignment horizontal="left" indent="1"/>
    </xf>
    <xf numFmtId="0" fontId="44" fillId="29" borderId="0" xfId="7" applyFont="1" applyFill="1" applyBorder="1" applyAlignment="1">
      <alignment horizontal="left" vertical="center"/>
    </xf>
    <xf numFmtId="43" fontId="64" fillId="29" borderId="17" xfId="1" applyFont="1" applyFill="1" applyBorder="1" applyAlignment="1">
      <alignment vertical="center"/>
    </xf>
    <xf numFmtId="43" fontId="42" fillId="29" borderId="0" xfId="6" applyNumberFormat="1" applyFont="1" applyFill="1" applyBorder="1" applyAlignment="1">
      <alignment vertical="center"/>
    </xf>
    <xf numFmtId="43" fontId="40" fillId="29" borderId="17" xfId="1" applyFont="1" applyFill="1" applyBorder="1" applyAlignment="1">
      <alignment vertical="center"/>
    </xf>
    <xf numFmtId="43" fontId="60" fillId="0" borderId="17" xfId="5" applyNumberFormat="1" applyFont="1" applyBorder="1" applyAlignment="1"/>
    <xf numFmtId="43" fontId="59" fillId="34" borderId="17" xfId="1" applyFont="1" applyFill="1" applyBorder="1" applyAlignment="1">
      <alignment vertical="center"/>
    </xf>
    <xf numFmtId="43" fontId="55" fillId="34" borderId="0" xfId="6" applyNumberFormat="1" applyFont="1" applyFill="1" applyBorder="1" applyAlignment="1">
      <alignment horizontal="center" vertical="center"/>
    </xf>
    <xf numFmtId="43" fontId="55" fillId="34" borderId="0" xfId="6" applyNumberFormat="1" applyFont="1" applyFill="1" applyBorder="1" applyAlignment="1">
      <alignment vertical="center"/>
    </xf>
    <xf numFmtId="43" fontId="55" fillId="34" borderId="0" xfId="6" applyNumberFormat="1" applyFont="1" applyFill="1" applyBorder="1" applyAlignment="1">
      <alignment horizontal="left" vertical="center"/>
    </xf>
    <xf numFmtId="43" fontId="55" fillId="34" borderId="0" xfId="1" applyFont="1" applyFill="1" applyBorder="1" applyAlignment="1">
      <alignment horizontal="center" vertical="center"/>
    </xf>
    <xf numFmtId="43" fontId="39" fillId="0" borderId="0" xfId="1" applyFont="1" applyBorder="1" applyAlignment="1">
      <alignment horizontal="center"/>
    </xf>
    <xf numFmtId="0" fontId="42" fillId="29" borderId="0" xfId="5" applyFont="1" applyFill="1" applyBorder="1" applyAlignment="1">
      <alignment horizontal="center"/>
    </xf>
    <xf numFmtId="0" fontId="38" fillId="29" borderId="0" xfId="5" applyFont="1" applyFill="1" applyBorder="1" applyAlignment="1">
      <alignment horizontal="center"/>
    </xf>
    <xf numFmtId="0" fontId="40" fillId="29" borderId="0" xfId="5" applyFont="1" applyFill="1" applyBorder="1" applyAlignment="1">
      <alignment horizontal="center"/>
    </xf>
    <xf numFmtId="0" fontId="36" fillId="29" borderId="0" xfId="5" applyFont="1" applyFill="1" applyBorder="1" applyAlignment="1">
      <alignment horizontal="center"/>
    </xf>
    <xf numFmtId="43" fontId="36" fillId="34" borderId="0" xfId="1" applyFont="1" applyFill="1" applyBorder="1" applyAlignment="1">
      <alignment horizontal="center" vertical="center"/>
    </xf>
    <xf numFmtId="43" fontId="36" fillId="0" borderId="13" xfId="1" applyFont="1" applyFill="1" applyBorder="1" applyAlignment="1">
      <alignment horizontal="center" vertical="center"/>
    </xf>
    <xf numFmtId="0" fontId="39" fillId="0" borderId="38" xfId="5" applyFont="1" applyBorder="1" applyAlignment="1">
      <alignment horizontal="left" indent="1"/>
    </xf>
    <xf numFmtId="43" fontId="59" fillId="34" borderId="0" xfId="1" applyFont="1" applyFill="1" applyBorder="1" applyAlignment="1">
      <alignment horizontal="center" vertical="center"/>
    </xf>
    <xf numFmtId="43" fontId="48" fillId="31" borderId="0" xfId="1" applyFont="1" applyFill="1" applyBorder="1" applyAlignment="1">
      <alignment horizontal="center" vertical="center" wrapText="1"/>
    </xf>
    <xf numFmtId="43" fontId="65" fillId="31" borderId="17" xfId="1" applyFont="1" applyFill="1" applyBorder="1" applyAlignment="1">
      <alignment horizontal="center" vertical="center" wrapText="1"/>
    </xf>
    <xf numFmtId="43" fontId="67" fillId="31" borderId="0" xfId="1" applyFont="1" applyFill="1" applyBorder="1" applyAlignment="1">
      <alignment horizontal="center" vertical="center" wrapText="1"/>
    </xf>
    <xf numFmtId="43" fontId="67" fillId="31" borderId="17" xfId="1" applyFont="1" applyFill="1" applyBorder="1" applyAlignment="1">
      <alignment horizontal="center" vertical="center" wrapText="1"/>
    </xf>
    <xf numFmtId="43" fontId="59" fillId="29" borderId="34" xfId="1" applyFont="1" applyFill="1" applyBorder="1" applyAlignment="1">
      <alignment vertical="center"/>
    </xf>
    <xf numFmtId="43" fontId="59" fillId="29" borderId="0" xfId="1" applyFont="1" applyFill="1" applyBorder="1" applyAlignment="1">
      <alignment vertical="center"/>
    </xf>
    <xf numFmtId="0" fontId="40" fillId="29" borderId="30" xfId="7" applyFont="1" applyFill="1" applyBorder="1" applyAlignment="1">
      <alignment horizontal="left" vertical="center"/>
    </xf>
    <xf numFmtId="0" fontId="40" fillId="29" borderId="1" xfId="7" applyFont="1" applyFill="1" applyBorder="1" applyAlignment="1">
      <alignment horizontal="left" vertical="center"/>
    </xf>
    <xf numFmtId="0" fontId="38" fillId="29" borderId="1" xfId="5" applyFont="1" applyFill="1" applyBorder="1" applyAlignment="1">
      <alignment horizontal="center"/>
    </xf>
    <xf numFmtId="43" fontId="59" fillId="29" borderId="1" xfId="1" applyFont="1" applyFill="1" applyBorder="1" applyAlignment="1">
      <alignment vertical="center"/>
    </xf>
    <xf numFmtId="0" fontId="39" fillId="29" borderId="0" xfId="5" applyFont="1" applyFill="1" applyBorder="1" applyAlignment="1">
      <alignment horizontal="center"/>
    </xf>
    <xf numFmtId="43" fontId="40" fillId="0" borderId="13" xfId="1" applyFont="1" applyFill="1" applyBorder="1" applyAlignment="1">
      <alignment vertical="center"/>
    </xf>
    <xf numFmtId="0" fontId="68" fillId="0" borderId="22" xfId="18" applyFont="1" applyBorder="1" applyAlignment="1">
      <alignment vertical="center"/>
    </xf>
    <xf numFmtId="0" fontId="68" fillId="0" borderId="23" xfId="18" applyFont="1" applyBorder="1" applyAlignment="1">
      <alignment vertical="center"/>
    </xf>
    <xf numFmtId="0" fontId="68" fillId="0" borderId="23" xfId="18" applyFont="1" applyBorder="1" applyAlignment="1">
      <alignment horizontal="center" vertical="center"/>
    </xf>
    <xf numFmtId="0" fontId="68" fillId="0" borderId="24" xfId="18" applyFont="1" applyBorder="1" applyAlignment="1">
      <alignment vertical="center"/>
    </xf>
    <xf numFmtId="0" fontId="68" fillId="0" borderId="0" xfId="18" applyFont="1" applyAlignment="1">
      <alignment vertical="center"/>
    </xf>
    <xf numFmtId="0" fontId="68" fillId="0" borderId="25" xfId="18" applyFont="1" applyBorder="1" applyAlignment="1">
      <alignment vertical="center"/>
    </xf>
    <xf numFmtId="0" fontId="68" fillId="0" borderId="15" xfId="18" applyFont="1" applyBorder="1" applyAlignment="1">
      <alignment vertical="center"/>
    </xf>
    <xf numFmtId="0" fontId="68" fillId="0" borderId="14" xfId="18" applyFont="1" applyBorder="1" applyAlignment="1">
      <alignment vertical="center"/>
    </xf>
    <xf numFmtId="0" fontId="68" fillId="0" borderId="14" xfId="18" applyFont="1" applyBorder="1" applyAlignment="1">
      <alignment horizontal="center" vertical="center"/>
    </xf>
    <xf numFmtId="0" fontId="69" fillId="0" borderId="14" xfId="18" applyFont="1" applyBorder="1" applyAlignment="1">
      <alignment vertical="center"/>
    </xf>
    <xf numFmtId="0" fontId="68" fillId="0" borderId="16" xfId="18" applyFont="1" applyBorder="1" applyAlignment="1">
      <alignment horizontal="center" vertical="center"/>
    </xf>
    <xf numFmtId="0" fontId="68" fillId="0" borderId="26" xfId="18" applyFont="1" applyBorder="1" applyAlignment="1">
      <alignment vertical="center"/>
    </xf>
    <xf numFmtId="0" fontId="70" fillId="0" borderId="17" xfId="19" applyFont="1" applyBorder="1" applyAlignment="1">
      <alignment horizontal="left"/>
    </xf>
    <xf numFmtId="0" fontId="70" fillId="0" borderId="0" xfId="19" applyFont="1" applyBorder="1" applyAlignment="1">
      <alignment horizontal="right"/>
    </xf>
    <xf numFmtId="0" fontId="68" fillId="0" borderId="0" xfId="18" applyFont="1" applyBorder="1" applyAlignment="1">
      <alignment horizontal="center" vertical="center"/>
    </xf>
    <xf numFmtId="0" fontId="68" fillId="0" borderId="0" xfId="18" applyFont="1" applyBorder="1" applyAlignment="1">
      <alignment vertical="center"/>
    </xf>
    <xf numFmtId="15" fontId="69" fillId="0" borderId="0" xfId="19" applyNumberFormat="1" applyFont="1" applyBorder="1" applyAlignment="1">
      <alignment horizontal="center"/>
    </xf>
    <xf numFmtId="164" fontId="69" fillId="0" borderId="0" xfId="10" applyNumberFormat="1" applyFont="1" applyBorder="1"/>
    <xf numFmtId="0" fontId="68" fillId="0" borderId="18" xfId="18" applyFont="1" applyBorder="1" applyAlignment="1">
      <alignment vertical="center"/>
    </xf>
    <xf numFmtId="0" fontId="70" fillId="0" borderId="17" xfId="19" applyFont="1" applyBorder="1" applyAlignment="1">
      <alignment horizontal="left" vertical="center"/>
    </xf>
    <xf numFmtId="0" fontId="70" fillId="0" borderId="0" xfId="19" applyFont="1" applyBorder="1" applyAlignment="1">
      <alignment horizontal="right" vertical="center"/>
    </xf>
    <xf numFmtId="0" fontId="68" fillId="0" borderId="0" xfId="18" applyFont="1" applyBorder="1" applyAlignment="1">
      <alignment horizontal="center" vertical="center" wrapText="1"/>
    </xf>
    <xf numFmtId="15" fontId="69" fillId="0" borderId="0" xfId="19" applyNumberFormat="1" applyFont="1" applyBorder="1" applyAlignment="1">
      <alignment horizontal="center" vertical="center"/>
    </xf>
    <xf numFmtId="164" fontId="69" fillId="0" borderId="0" xfId="10" applyNumberFormat="1" applyFont="1" applyBorder="1" applyAlignment="1">
      <alignment vertical="center"/>
    </xf>
    <xf numFmtId="0" fontId="68" fillId="0" borderId="18" xfId="18" applyFont="1" applyBorder="1" applyAlignment="1">
      <alignment horizontal="center" vertical="center" wrapText="1"/>
    </xf>
    <xf numFmtId="0" fontId="68" fillId="0" borderId="17" xfId="18" applyFont="1" applyBorder="1" applyAlignment="1">
      <alignment vertical="center"/>
    </xf>
    <xf numFmtId="165" fontId="71" fillId="0" borderId="0" xfId="18" applyNumberFormat="1" applyFont="1" applyBorder="1" applyAlignment="1">
      <alignment vertical="center"/>
    </xf>
    <xf numFmtId="165" fontId="71" fillId="0" borderId="18" xfId="18" applyNumberFormat="1" applyFont="1" applyBorder="1" applyAlignment="1">
      <alignment horizontal="center" vertical="center"/>
    </xf>
    <xf numFmtId="0" fontId="68" fillId="0" borderId="25" xfId="18" applyFont="1" applyBorder="1" applyAlignment="1">
      <alignment horizontal="center" vertical="center"/>
    </xf>
    <xf numFmtId="0" fontId="61" fillId="32" borderId="2" xfId="18" applyFont="1" applyFill="1" applyBorder="1" applyAlignment="1">
      <alignment horizontal="center" vertical="center"/>
    </xf>
    <xf numFmtId="43" fontId="61" fillId="32" borderId="2" xfId="13" applyFont="1" applyFill="1" applyBorder="1" applyAlignment="1">
      <alignment horizontal="center" vertical="center"/>
    </xf>
    <xf numFmtId="43" fontId="61" fillId="32" borderId="10" xfId="13" applyFont="1" applyFill="1" applyBorder="1" applyAlignment="1">
      <alignment horizontal="center" vertical="center"/>
    </xf>
    <xf numFmtId="0" fontId="68" fillId="0" borderId="26" xfId="18" applyFont="1" applyBorder="1" applyAlignment="1">
      <alignment horizontal="center" vertical="center"/>
    </xf>
    <xf numFmtId="0" fontId="68" fillId="4" borderId="10" xfId="18" applyFont="1" applyFill="1" applyBorder="1" applyAlignment="1">
      <alignment horizontal="center" vertical="center"/>
    </xf>
    <xf numFmtId="0" fontId="68" fillId="0" borderId="25" xfId="18" applyFont="1" applyFill="1" applyBorder="1" applyAlignment="1">
      <alignment horizontal="center" vertical="center"/>
    </xf>
    <xf numFmtId="0" fontId="68" fillId="0" borderId="10" xfId="18" applyFont="1" applyFill="1" applyBorder="1" applyAlignment="1">
      <alignment horizontal="center" vertical="center"/>
    </xf>
    <xf numFmtId="43" fontId="68" fillId="0" borderId="10" xfId="18" applyNumberFormat="1" applyFont="1" applyFill="1" applyBorder="1" applyAlignment="1">
      <alignment horizontal="center" vertical="center"/>
    </xf>
    <xf numFmtId="0" fontId="68" fillId="0" borderId="26" xfId="18" applyFont="1" applyFill="1" applyBorder="1" applyAlignment="1">
      <alignment horizontal="center" vertical="center"/>
    </xf>
    <xf numFmtId="0" fontId="68" fillId="0" borderId="0" xfId="18" applyFont="1" applyFill="1" applyBorder="1" applyAlignment="1">
      <alignment horizontal="center" vertical="center"/>
    </xf>
    <xf numFmtId="0" fontId="68" fillId="0" borderId="25" xfId="18" applyFont="1" applyBorder="1" applyAlignment="1">
      <alignment vertical="center" wrapText="1"/>
    </xf>
    <xf numFmtId="0" fontId="68" fillId="0" borderId="2" xfId="18" applyFont="1" applyBorder="1" applyAlignment="1">
      <alignment horizontal="center" vertical="center" wrapText="1"/>
    </xf>
    <xf numFmtId="0" fontId="68" fillId="0" borderId="2" xfId="15" applyFont="1" applyBorder="1" applyAlignment="1">
      <alignment horizontal="left" wrapText="1" indent="2"/>
    </xf>
    <xf numFmtId="15" fontId="68" fillId="0" borderId="2" xfId="15" applyNumberFormat="1" applyFont="1" applyBorder="1" applyAlignment="1">
      <alignment horizontal="center"/>
    </xf>
    <xf numFmtId="0" fontId="68" fillId="0" borderId="2" xfId="15" applyFont="1" applyBorder="1" applyAlignment="1"/>
    <xf numFmtId="0" fontId="68" fillId="0" borderId="2" xfId="15" applyFont="1" applyBorder="1" applyAlignment="1">
      <alignment horizontal="center"/>
    </xf>
    <xf numFmtId="43" fontId="68" fillId="0" borderId="2" xfId="10" applyFont="1" applyBorder="1"/>
    <xf numFmtId="0" fontId="68" fillId="0" borderId="26" xfId="18" applyFont="1" applyBorder="1" applyAlignment="1">
      <alignment vertical="center" wrapText="1"/>
    </xf>
    <xf numFmtId="0" fontId="68" fillId="0" borderId="0" xfId="18" applyFont="1" applyBorder="1" applyAlignment="1">
      <alignment vertical="center" wrapText="1"/>
    </xf>
    <xf numFmtId="0" fontId="68" fillId="0" borderId="2" xfId="18" applyFont="1" applyBorder="1" applyAlignment="1">
      <alignment horizontal="center" vertical="center"/>
    </xf>
    <xf numFmtId="43" fontId="68" fillId="0" borderId="2" xfId="10" applyFont="1" applyBorder="1" applyAlignment="1">
      <alignment horizontal="right" vertical="center"/>
    </xf>
    <xf numFmtId="0" fontId="68" fillId="0" borderId="2" xfId="15" applyFont="1" applyBorder="1" applyAlignment="1">
      <alignment horizontal="left" indent="1"/>
    </xf>
    <xf numFmtId="0" fontId="68" fillId="0" borderId="2" xfId="15" applyFont="1" applyBorder="1" applyAlignment="1">
      <alignment horizontal="left"/>
    </xf>
    <xf numFmtId="43" fontId="68" fillId="0" borderId="0" xfId="10" applyFont="1" applyBorder="1"/>
    <xf numFmtId="0" fontId="68" fillId="0" borderId="2" xfId="18" applyFont="1" applyBorder="1" applyAlignment="1">
      <alignment horizontal="left" vertical="center"/>
    </xf>
    <xf numFmtId="166" fontId="68" fillId="0" borderId="2" xfId="18" quotePrefix="1" applyNumberFormat="1" applyFont="1" applyBorder="1" applyAlignment="1">
      <alignment horizontal="center" vertical="center"/>
    </xf>
    <xf numFmtId="0" fontId="68" fillId="0" borderId="2" xfId="18" applyFont="1" applyFill="1" applyBorder="1" applyAlignment="1">
      <alignment horizontal="center" vertical="center"/>
    </xf>
    <xf numFmtId="166" fontId="68" fillId="0" borderId="2" xfId="18" applyNumberFormat="1" applyFont="1" applyBorder="1" applyAlignment="1">
      <alignment horizontal="center" vertical="center"/>
    </xf>
    <xf numFmtId="0" fontId="69" fillId="0" borderId="2" xfId="18" applyFont="1" applyBorder="1" applyAlignment="1">
      <alignment vertical="center"/>
    </xf>
    <xf numFmtId="0" fontId="71" fillId="0" borderId="2" xfId="18" applyFont="1" applyBorder="1" applyAlignment="1">
      <alignment horizontal="center" vertical="center"/>
    </xf>
    <xf numFmtId="43" fontId="72" fillId="0" borderId="2" xfId="10" applyFont="1" applyBorder="1" applyAlignment="1">
      <alignment horizontal="right" vertical="center"/>
    </xf>
    <xf numFmtId="0" fontId="68" fillId="0" borderId="2" xfId="18" quotePrefix="1" applyFont="1" applyFill="1" applyBorder="1" applyAlignment="1">
      <alignment horizontal="center" vertical="center"/>
    </xf>
    <xf numFmtId="0" fontId="68" fillId="0" borderId="2" xfId="15" applyFont="1" applyFill="1" applyBorder="1" applyAlignment="1">
      <alignment horizontal="center"/>
    </xf>
    <xf numFmtId="43" fontId="71" fillId="0" borderId="2" xfId="10" applyFont="1" applyBorder="1" applyAlignment="1">
      <alignment horizontal="right" vertical="center"/>
    </xf>
    <xf numFmtId="167" fontId="68" fillId="0" borderId="2" xfId="18" applyNumberFormat="1" applyFont="1" applyBorder="1" applyAlignment="1">
      <alignment horizontal="left" vertical="center"/>
    </xf>
    <xf numFmtId="167" fontId="68" fillId="0" borderId="2" xfId="18" applyNumberFormat="1" applyFont="1" applyBorder="1" applyAlignment="1">
      <alignment horizontal="center" vertical="center"/>
    </xf>
    <xf numFmtId="0" fontId="69" fillId="0" borderId="14" xfId="18" applyFont="1" applyBorder="1" applyAlignment="1">
      <alignment horizontal="left" vertical="center"/>
    </xf>
    <xf numFmtId="43" fontId="68" fillId="0" borderId="14" xfId="10" applyFont="1" applyBorder="1" applyAlignment="1">
      <alignment horizontal="right" vertical="center"/>
    </xf>
    <xf numFmtId="43" fontId="73" fillId="0" borderId="14" xfId="10" applyFont="1" applyBorder="1" applyAlignment="1">
      <alignment horizontal="right" vertical="center"/>
    </xf>
    <xf numFmtId="43" fontId="73" fillId="0" borderId="16" xfId="10" applyFont="1" applyBorder="1" applyAlignment="1">
      <alignment horizontal="right" vertical="center"/>
    </xf>
    <xf numFmtId="0" fontId="69" fillId="0" borderId="0" xfId="18" applyFont="1" applyBorder="1" applyAlignment="1">
      <alignment horizontal="left" vertical="center"/>
    </xf>
    <xf numFmtId="43" fontId="73" fillId="0" borderId="0" xfId="18" applyNumberFormat="1" applyFont="1" applyBorder="1" applyAlignment="1">
      <alignment vertical="center"/>
    </xf>
    <xf numFmtId="43" fontId="68" fillId="0" borderId="4" xfId="10" applyFont="1" applyBorder="1" applyAlignment="1">
      <alignment horizontal="right" vertical="center"/>
    </xf>
    <xf numFmtId="43" fontId="68" fillId="0" borderId="5" xfId="10" applyFont="1" applyBorder="1" applyAlignment="1">
      <alignment horizontal="right" vertical="center"/>
    </xf>
    <xf numFmtId="0" fontId="68" fillId="0" borderId="6" xfId="18" applyFont="1" applyBorder="1" applyAlignment="1">
      <alignment horizontal="left" vertical="center" indent="3"/>
    </xf>
    <xf numFmtId="0" fontId="68" fillId="0" borderId="5" xfId="18" applyFont="1" applyBorder="1" applyAlignment="1">
      <alignment horizontal="left" vertical="center" indent="3"/>
    </xf>
    <xf numFmtId="0" fontId="68" fillId="0" borderId="20" xfId="18" applyFont="1" applyBorder="1" applyAlignment="1">
      <alignment vertical="center"/>
    </xf>
    <xf numFmtId="0" fontId="69" fillId="0" borderId="1" xfId="18" applyFont="1" applyBorder="1" applyAlignment="1">
      <alignment horizontal="left" vertical="center"/>
    </xf>
    <xf numFmtId="43" fontId="68" fillId="0" borderId="0" xfId="13" applyFont="1" applyBorder="1" applyAlignment="1">
      <alignment vertical="center"/>
    </xf>
    <xf numFmtId="43" fontId="68" fillId="0" borderId="18" xfId="13" applyFont="1" applyBorder="1" applyAlignment="1">
      <alignment horizontal="center" vertical="center"/>
    </xf>
    <xf numFmtId="0" fontId="68" fillId="0" borderId="0" xfId="19" applyFont="1" applyBorder="1" applyAlignment="1"/>
    <xf numFmtId="0" fontId="68" fillId="0" borderId="0" xfId="18" applyFont="1" applyBorder="1" applyAlignment="1">
      <alignment horizontal="left" vertical="center"/>
    </xf>
    <xf numFmtId="0" fontId="68" fillId="0" borderId="0" xfId="19" applyFont="1" applyBorder="1" applyAlignment="1">
      <alignment horizontal="left"/>
    </xf>
    <xf numFmtId="0" fontId="69" fillId="0" borderId="0" xfId="18" applyFont="1" applyBorder="1" applyAlignment="1">
      <alignment vertical="center"/>
    </xf>
    <xf numFmtId="0" fontId="74" fillId="0" borderId="0" xfId="19" applyFont="1" applyBorder="1" applyAlignment="1">
      <alignment horizontal="left"/>
    </xf>
    <xf numFmtId="0" fontId="74" fillId="0" borderId="0" xfId="18" applyFont="1" applyBorder="1" applyAlignment="1">
      <alignment horizontal="left" vertical="center"/>
    </xf>
    <xf numFmtId="0" fontId="68" fillId="0" borderId="1" xfId="19" applyFont="1" applyBorder="1" applyAlignment="1"/>
    <xf numFmtId="0" fontId="68" fillId="0" borderId="1" xfId="18" applyFont="1" applyBorder="1" applyAlignment="1">
      <alignment horizontal="center" vertical="center"/>
    </xf>
    <xf numFmtId="0" fontId="68" fillId="0" borderId="1" xfId="18" applyFont="1" applyBorder="1" applyAlignment="1">
      <alignment horizontal="left" vertical="center"/>
    </xf>
    <xf numFmtId="43" fontId="68" fillId="0" borderId="1" xfId="13" applyFont="1" applyBorder="1" applyAlignment="1">
      <alignment vertical="center"/>
    </xf>
    <xf numFmtId="43" fontId="68" fillId="0" borderId="1" xfId="13" applyFont="1" applyBorder="1" applyAlignment="1">
      <alignment horizontal="center" vertical="center"/>
    </xf>
    <xf numFmtId="43" fontId="68" fillId="0" borderId="21" xfId="13" applyFont="1" applyBorder="1" applyAlignment="1">
      <alignment horizontal="center" vertical="center"/>
    </xf>
    <xf numFmtId="0" fontId="68" fillId="0" borderId="36" xfId="18" applyFont="1" applyBorder="1" applyAlignment="1">
      <alignment vertical="center"/>
    </xf>
    <xf numFmtId="0" fontId="68" fillId="0" borderId="13" xfId="18" applyFont="1" applyBorder="1" applyAlignment="1">
      <alignment vertical="center"/>
    </xf>
    <xf numFmtId="0" fontId="68" fillId="0" borderId="13" xfId="18" applyFont="1" applyBorder="1" applyAlignment="1">
      <alignment horizontal="center" vertical="center"/>
    </xf>
    <xf numFmtId="0" fontId="68" fillId="0" borderId="37" xfId="18" applyFont="1" applyBorder="1" applyAlignment="1">
      <alignment vertical="center"/>
    </xf>
    <xf numFmtId="0" fontId="68" fillId="0" borderId="0" xfId="18" applyFont="1" applyAlignment="1">
      <alignment horizontal="center" vertical="center"/>
    </xf>
    <xf numFmtId="43" fontId="68" fillId="0" borderId="0" xfId="18" applyNumberFormat="1" applyFont="1" applyAlignment="1">
      <alignment vertical="center"/>
    </xf>
    <xf numFmtId="43" fontId="68" fillId="0" borderId="2" xfId="1" applyFont="1" applyBorder="1" applyAlignment="1">
      <alignment horizontal="right" vertical="center" wrapText="1"/>
    </xf>
    <xf numFmtId="43" fontId="40" fillId="0" borderId="30" xfId="6" applyNumberFormat="1" applyFont="1" applyFill="1" applyBorder="1" applyAlignment="1">
      <alignment horizontal="left" vertical="center"/>
    </xf>
    <xf numFmtId="43" fontId="36" fillId="0" borderId="1" xfId="6" applyNumberFormat="1" applyFont="1" applyFill="1" applyBorder="1" applyAlignment="1">
      <alignment horizontal="center" vertical="center"/>
    </xf>
    <xf numFmtId="43" fontId="36" fillId="0" borderId="1" xfId="6" applyNumberFormat="1" applyFont="1" applyFill="1" applyBorder="1" applyAlignment="1">
      <alignment vertical="center"/>
    </xf>
    <xf numFmtId="43" fontId="36" fillId="0" borderId="1" xfId="6" applyNumberFormat="1" applyFont="1" applyFill="1" applyBorder="1" applyAlignment="1">
      <alignment horizontal="left" vertical="center"/>
    </xf>
    <xf numFmtId="0" fontId="36" fillId="29" borderId="1" xfId="7" applyFont="1" applyFill="1" applyBorder="1" applyAlignment="1">
      <alignment vertical="center"/>
    </xf>
    <xf numFmtId="43" fontId="36" fillId="0" borderId="1" xfId="1" applyFont="1" applyFill="1" applyBorder="1" applyAlignment="1">
      <alignment vertical="center"/>
    </xf>
    <xf numFmtId="43" fontId="36" fillId="0" borderId="20" xfId="1" applyFont="1" applyFill="1" applyBorder="1" applyAlignment="1">
      <alignment vertical="center"/>
    </xf>
    <xf numFmtId="43" fontId="38" fillId="0" borderId="20" xfId="10" applyNumberFormat="1" applyFont="1" applyBorder="1"/>
    <xf numFmtId="43" fontId="36" fillId="0" borderId="10" xfId="10" applyNumberFormat="1" applyFont="1" applyBorder="1"/>
    <xf numFmtId="43" fontId="38" fillId="0" borderId="10" xfId="10" applyNumberFormat="1" applyFont="1" applyBorder="1"/>
    <xf numFmtId="43" fontId="36" fillId="0" borderId="50" xfId="10" applyNumberFormat="1" applyFont="1" applyBorder="1"/>
    <xf numFmtId="0" fontId="39" fillId="0" borderId="23" xfId="5" applyFont="1" applyBorder="1" applyAlignment="1"/>
    <xf numFmtId="0" fontId="39" fillId="0" borderId="24" xfId="5" applyFont="1" applyBorder="1" applyAlignment="1"/>
    <xf numFmtId="0" fontId="69" fillId="34" borderId="2" xfId="18" applyFont="1" applyFill="1" applyBorder="1" applyAlignment="1">
      <alignment horizontal="center" vertical="center"/>
    </xf>
    <xf numFmtId="43" fontId="69" fillId="34" borderId="2" xfId="10" applyFont="1" applyFill="1" applyBorder="1" applyAlignment="1">
      <alignment horizontal="right" vertical="center"/>
    </xf>
    <xf numFmtId="43" fontId="69" fillId="34" borderId="6" xfId="10" applyFont="1" applyFill="1" applyBorder="1" applyAlignment="1">
      <alignment horizontal="right" vertical="center"/>
    </xf>
    <xf numFmtId="43" fontId="69" fillId="34" borderId="4" xfId="10" applyFont="1" applyFill="1" applyBorder="1" applyAlignment="1">
      <alignment horizontal="right" vertical="center"/>
    </xf>
    <xf numFmtId="43" fontId="69" fillId="34" borderId="5" xfId="10" applyFont="1" applyFill="1" applyBorder="1" applyAlignment="1">
      <alignment horizontal="right" vertical="center"/>
    </xf>
    <xf numFmtId="0" fontId="47" fillId="37" borderId="15" xfId="4" applyFont="1" applyFill="1" applyBorder="1" applyAlignment="1">
      <alignment horizontal="center" vertical="center" wrapText="1"/>
    </xf>
    <xf numFmtId="43" fontId="47" fillId="37" borderId="8" xfId="1" applyFont="1" applyFill="1" applyBorder="1" applyAlignment="1">
      <alignment horizontal="center" vertical="center" wrapText="1"/>
    </xf>
    <xf numFmtId="43" fontId="55" fillId="0" borderId="17" xfId="10" applyNumberFormat="1" applyFont="1" applyBorder="1"/>
    <xf numFmtId="0" fontId="68" fillId="0" borderId="0" xfId="0" applyFont="1"/>
    <xf numFmtId="0" fontId="62" fillId="36" borderId="0" xfId="0" applyFont="1" applyFill="1" applyAlignment="1">
      <alignment horizontal="center"/>
    </xf>
    <xf numFmtId="43" fontId="68" fillId="0" borderId="0" xfId="0" applyNumberFormat="1" applyFont="1"/>
    <xf numFmtId="0" fontId="47" fillId="40" borderId="48" xfId="7" applyFont="1" applyFill="1" applyBorder="1" applyAlignment="1">
      <alignment horizontal="center" vertical="center"/>
    </xf>
    <xf numFmtId="0" fontId="47" fillId="40" borderId="4" xfId="7" applyFont="1" applyFill="1" applyBorder="1" applyAlignment="1">
      <alignment horizontal="left" vertical="center"/>
    </xf>
    <xf numFmtId="0" fontId="47" fillId="40" borderId="5" xfId="7" applyFont="1" applyFill="1" applyBorder="1" applyAlignment="1">
      <alignment horizontal="left" vertical="center"/>
    </xf>
    <xf numFmtId="43" fontId="48" fillId="40" borderId="0" xfId="6" applyNumberFormat="1" applyFont="1" applyFill="1" applyBorder="1" applyAlignment="1">
      <alignment vertical="center"/>
    </xf>
    <xf numFmtId="0" fontId="47" fillId="40" borderId="48" xfId="0" applyFont="1" applyFill="1" applyBorder="1" applyAlignment="1">
      <alignment horizontal="center" vertical="top"/>
    </xf>
    <xf numFmtId="0" fontId="47" fillId="40" borderId="4" xfId="7" applyFont="1" applyFill="1" applyBorder="1" applyAlignment="1">
      <alignment vertical="center"/>
    </xf>
    <xf numFmtId="0" fontId="48" fillId="40" borderId="5" xfId="7" applyFont="1" applyFill="1" applyBorder="1" applyAlignment="1">
      <alignment vertical="center"/>
    </xf>
    <xf numFmtId="43" fontId="48" fillId="40" borderId="19" xfId="1" applyFont="1" applyFill="1" applyBorder="1" applyAlignment="1">
      <alignment vertical="center"/>
    </xf>
    <xf numFmtId="43" fontId="48" fillId="40" borderId="0" xfId="1" applyFont="1" applyFill="1" applyBorder="1" applyAlignment="1">
      <alignment vertical="center"/>
    </xf>
    <xf numFmtId="43" fontId="48" fillId="40" borderId="18" xfId="1" applyFont="1" applyFill="1" applyBorder="1" applyAlignment="1">
      <alignment vertical="center"/>
    </xf>
    <xf numFmtId="43" fontId="48" fillId="40" borderId="26" xfId="1" applyFont="1" applyFill="1" applyBorder="1" applyAlignment="1">
      <alignment vertical="center"/>
    </xf>
    <xf numFmtId="0" fontId="40" fillId="38" borderId="9" xfId="7" applyFont="1" applyFill="1" applyBorder="1" applyAlignment="1">
      <alignment horizontal="center" vertical="center"/>
    </xf>
    <xf numFmtId="0" fontId="40" fillId="38" borderId="0" xfId="7" applyFont="1" applyFill="1" applyBorder="1" applyAlignment="1">
      <alignment horizontal="left" vertical="center"/>
    </xf>
    <xf numFmtId="0" fontId="40" fillId="38" borderId="18" xfId="7" applyFont="1" applyFill="1" applyBorder="1" applyAlignment="1">
      <alignment vertical="center"/>
    </xf>
    <xf numFmtId="43" fontId="36" fillId="38" borderId="0" xfId="6" applyNumberFormat="1" applyFont="1" applyFill="1" applyBorder="1" applyAlignment="1">
      <alignment vertical="center"/>
    </xf>
    <xf numFmtId="43" fontId="40" fillId="38" borderId="9" xfId="298" applyFont="1" applyFill="1" applyBorder="1" applyAlignment="1">
      <alignment horizontal="center" vertical="center"/>
    </xf>
    <xf numFmtId="0" fontId="40" fillId="38" borderId="0" xfId="6" applyNumberFormat="1" applyFont="1" applyFill="1" applyBorder="1" applyAlignment="1">
      <alignment horizontal="center" vertical="center"/>
    </xf>
    <xf numFmtId="0" fontId="40" fillId="38" borderId="18" xfId="7" applyFont="1" applyFill="1" applyBorder="1" applyAlignment="1">
      <alignment horizontal="left" vertical="center"/>
    </xf>
    <xf numFmtId="43" fontId="40" fillId="38" borderId="0" xfId="6" applyNumberFormat="1" applyFont="1" applyFill="1" applyBorder="1" applyAlignment="1">
      <alignment vertical="center"/>
    </xf>
    <xf numFmtId="43" fontId="36" fillId="38" borderId="19" xfId="1" applyFont="1" applyFill="1" applyBorder="1" applyAlignment="1">
      <alignment vertical="center"/>
    </xf>
    <xf numFmtId="43" fontId="36" fillId="38" borderId="0" xfId="1" applyFont="1" applyFill="1" applyBorder="1" applyAlignment="1">
      <alignment vertical="center"/>
    </xf>
    <xf numFmtId="43" fontId="36" fillId="38" borderId="18" xfId="1" applyFont="1" applyFill="1" applyBorder="1" applyAlignment="1">
      <alignment vertical="center"/>
    </xf>
    <xf numFmtId="43" fontId="36" fillId="38" borderId="26" xfId="1" applyFont="1" applyFill="1" applyBorder="1" applyAlignment="1">
      <alignment vertical="center"/>
    </xf>
    <xf numFmtId="0" fontId="40" fillId="39" borderId="48" xfId="7" applyFont="1" applyFill="1" applyBorder="1" applyAlignment="1">
      <alignment horizontal="center" vertical="center"/>
    </xf>
    <xf numFmtId="0" fontId="40" fillId="39" borderId="0" xfId="7" applyFont="1" applyFill="1" applyBorder="1" applyAlignment="1">
      <alignment horizontal="left" vertical="center"/>
    </xf>
    <xf numFmtId="0" fontId="40" fillId="39" borderId="18" xfId="7" applyFont="1" applyFill="1" applyBorder="1" applyAlignment="1">
      <alignment horizontal="left" vertical="center"/>
    </xf>
    <xf numFmtId="43" fontId="36" fillId="39" borderId="0" xfId="6" applyNumberFormat="1" applyFont="1" applyFill="1" applyBorder="1" applyAlignment="1">
      <alignment vertical="center"/>
    </xf>
    <xf numFmtId="43" fontId="40" fillId="39" borderId="19" xfId="1" applyFont="1" applyFill="1" applyBorder="1" applyAlignment="1">
      <alignment vertical="center"/>
    </xf>
    <xf numFmtId="43" fontId="40" fillId="39" borderId="0" xfId="1" applyFont="1" applyFill="1" applyBorder="1" applyAlignment="1">
      <alignment vertical="center"/>
    </xf>
    <xf numFmtId="43" fontId="40" fillId="39" borderId="18" xfId="1" applyFont="1" applyFill="1" applyBorder="1" applyAlignment="1">
      <alignment vertical="center"/>
    </xf>
    <xf numFmtId="43" fontId="40" fillId="39" borderId="26" xfId="1" applyFont="1" applyFill="1" applyBorder="1" applyAlignment="1">
      <alignment vertical="center"/>
    </xf>
    <xf numFmtId="0" fontId="40" fillId="39" borderId="9" xfId="7" applyFont="1" applyFill="1" applyBorder="1" applyAlignment="1">
      <alignment horizontal="center" vertical="center"/>
    </xf>
    <xf numFmtId="0" fontId="40" fillId="39" borderId="18" xfId="7" applyFont="1" applyFill="1" applyBorder="1" applyAlignment="1">
      <alignment vertical="center"/>
    </xf>
    <xf numFmtId="0" fontId="36" fillId="39" borderId="18" xfId="7" applyFont="1" applyFill="1" applyBorder="1" applyAlignment="1">
      <alignment vertical="center"/>
    </xf>
    <xf numFmtId="43" fontId="36" fillId="39" borderId="19" xfId="1" applyFont="1" applyFill="1" applyBorder="1" applyAlignment="1">
      <alignment vertical="center"/>
    </xf>
    <xf numFmtId="43" fontId="36" fillId="39" borderId="0" xfId="1" applyFont="1" applyFill="1" applyBorder="1" applyAlignment="1">
      <alignment vertical="center"/>
    </xf>
    <xf numFmtId="43" fontId="36" fillId="39" borderId="18" xfId="1" applyFont="1" applyFill="1" applyBorder="1" applyAlignment="1">
      <alignment vertical="center"/>
    </xf>
    <xf numFmtId="43" fontId="36" fillId="39" borderId="26" xfId="1" applyFont="1" applyFill="1" applyBorder="1" applyAlignment="1">
      <alignment vertical="center"/>
    </xf>
    <xf numFmtId="0" fontId="40" fillId="39" borderId="0" xfId="7" applyFont="1" applyFill="1" applyBorder="1" applyAlignment="1">
      <alignment vertical="center"/>
    </xf>
    <xf numFmtId="43" fontId="40" fillId="39" borderId="25" xfId="7" applyNumberFormat="1" applyFont="1" applyFill="1" applyBorder="1" applyAlignment="1">
      <alignment horizontal="center" vertical="center"/>
    </xf>
    <xf numFmtId="0" fontId="40" fillId="39" borderId="0" xfId="0" applyFont="1" applyFill="1" applyBorder="1" applyAlignment="1">
      <alignment vertical="center"/>
    </xf>
    <xf numFmtId="43" fontId="40" fillId="39" borderId="0" xfId="6" applyNumberFormat="1" applyFont="1" applyFill="1" applyBorder="1" applyAlignment="1">
      <alignment vertical="center"/>
    </xf>
    <xf numFmtId="43" fontId="40" fillId="39" borderId="25" xfId="6" applyNumberFormat="1" applyFont="1" applyFill="1" applyBorder="1" applyAlignment="1">
      <alignment horizontal="left" vertical="center"/>
    </xf>
    <xf numFmtId="43" fontId="40" fillId="39" borderId="0" xfId="6" applyNumberFormat="1" applyFont="1" applyFill="1" applyBorder="1" applyAlignment="1">
      <alignment horizontal="left" vertical="center"/>
    </xf>
    <xf numFmtId="43" fontId="40" fillId="38" borderId="19" xfId="1" applyFont="1" applyFill="1" applyBorder="1" applyAlignment="1">
      <alignment vertical="center"/>
    </xf>
    <xf numFmtId="43" fontId="40" fillId="38" borderId="0" xfId="1" applyFont="1" applyFill="1" applyBorder="1" applyAlignment="1">
      <alignment vertical="center"/>
    </xf>
    <xf numFmtId="43" fontId="40" fillId="38" borderId="18" xfId="1" applyFont="1" applyFill="1" applyBorder="1" applyAlignment="1">
      <alignment vertical="center"/>
    </xf>
    <xf numFmtId="43" fontId="40" fillId="38" borderId="26" xfId="1" applyFont="1" applyFill="1" applyBorder="1" applyAlignment="1">
      <alignment vertical="center"/>
    </xf>
    <xf numFmtId="43" fontId="40" fillId="38" borderId="9" xfId="7" applyNumberFormat="1" applyFont="1" applyFill="1" applyBorder="1" applyAlignment="1">
      <alignment horizontal="center" vertical="center"/>
    </xf>
    <xf numFmtId="0" fontId="40" fillId="38" borderId="0" xfId="7" applyFont="1" applyFill="1" applyBorder="1" applyAlignment="1">
      <alignment vertical="center"/>
    </xf>
    <xf numFmtId="0" fontId="36" fillId="38" borderId="0" xfId="7" applyFont="1" applyFill="1" applyBorder="1" applyAlignment="1">
      <alignment vertical="center"/>
    </xf>
    <xf numFmtId="0" fontId="36" fillId="38" borderId="18" xfId="7" applyFont="1" applyFill="1" applyBorder="1" applyAlignment="1">
      <alignment vertical="center"/>
    </xf>
    <xf numFmtId="0" fontId="36" fillId="38" borderId="0" xfId="7" applyFont="1" applyFill="1" applyBorder="1" applyAlignment="1">
      <alignment horizontal="center" vertical="center"/>
    </xf>
    <xf numFmtId="0" fontId="40" fillId="38" borderId="0" xfId="7" applyFont="1" applyFill="1" applyBorder="1" applyAlignment="1">
      <alignment horizontal="center" vertical="center"/>
    </xf>
    <xf numFmtId="0" fontId="36" fillId="29" borderId="0" xfId="7" applyFont="1" applyFill="1" applyBorder="1" applyAlignment="1">
      <alignment vertical="center" wrapText="1"/>
    </xf>
    <xf numFmtId="0" fontId="36" fillId="29" borderId="18" xfId="0" applyFont="1" applyFill="1" applyBorder="1" applyAlignment="1">
      <alignment vertical="center" wrapText="1"/>
    </xf>
    <xf numFmtId="0" fontId="36" fillId="29" borderId="18" xfId="7" applyFont="1" applyFill="1" applyBorder="1" applyAlignment="1">
      <alignment horizontal="left" vertical="center" wrapText="1"/>
    </xf>
    <xf numFmtId="0" fontId="36" fillId="29" borderId="0" xfId="7" applyFont="1" applyFill="1" applyBorder="1" applyAlignment="1">
      <alignment horizontal="left" vertical="center"/>
    </xf>
    <xf numFmtId="43" fontId="47" fillId="37" borderId="7" xfId="1" applyFont="1" applyFill="1" applyBorder="1" applyAlignment="1">
      <alignment horizontal="center" vertical="center" wrapText="1"/>
    </xf>
    <xf numFmtId="43" fontId="47" fillId="37" borderId="16" xfId="1" applyFont="1" applyFill="1" applyBorder="1" applyAlignment="1">
      <alignment horizontal="center" vertical="center" wrapText="1"/>
    </xf>
    <xf numFmtId="0" fontId="47" fillId="37" borderId="25" xfId="4" applyFont="1" applyFill="1" applyBorder="1" applyAlignment="1">
      <alignment horizontal="center" vertical="center" wrapText="1"/>
    </xf>
    <xf numFmtId="0" fontId="47" fillId="37" borderId="0" xfId="4" applyFont="1" applyFill="1" applyBorder="1" applyAlignment="1">
      <alignment horizontal="center" vertical="center" wrapText="1"/>
    </xf>
    <xf numFmtId="0" fontId="47" fillId="37" borderId="18" xfId="4" applyFont="1" applyFill="1" applyBorder="1" applyAlignment="1">
      <alignment horizontal="center" vertical="center" wrapText="1"/>
    </xf>
    <xf numFmtId="0" fontId="40" fillId="29" borderId="0" xfId="7" applyFont="1" applyFill="1" applyBorder="1" applyAlignment="1">
      <alignment horizontal="left" vertical="center"/>
    </xf>
    <xf numFmtId="0" fontId="75" fillId="0" borderId="1" xfId="5" applyFont="1" applyBorder="1"/>
    <xf numFmtId="0" fontId="75" fillId="0" borderId="0" xfId="5" applyFont="1" applyBorder="1" applyAlignment="1">
      <alignment horizontal="center"/>
    </xf>
    <xf numFmtId="0" fontId="75" fillId="0" borderId="4" xfId="5" applyFont="1" applyBorder="1" applyAlignment="1">
      <alignment horizontal="left"/>
    </xf>
    <xf numFmtId="0" fontId="75" fillId="0" borderId="0" xfId="5" applyFont="1" applyBorder="1" applyAlignment="1">
      <alignment horizontal="center" vertical="center"/>
    </xf>
    <xf numFmtId="0" fontId="75" fillId="0" borderId="0" xfId="5" applyFont="1" applyBorder="1" applyAlignment="1">
      <alignment horizontal="left" vertical="center"/>
    </xf>
    <xf numFmtId="0" fontId="75" fillId="0" borderId="0" xfId="5" applyFont="1" applyBorder="1"/>
    <xf numFmtId="0" fontId="75" fillId="0" borderId="0" xfId="4" applyFont="1" applyBorder="1"/>
    <xf numFmtId="0" fontId="75" fillId="0" borderId="0" xfId="5" applyFont="1" applyBorder="1" applyAlignment="1">
      <alignment horizontal="left"/>
    </xf>
    <xf numFmtId="43" fontId="36" fillId="29" borderId="26" xfId="1" applyFont="1" applyFill="1" applyBorder="1" applyAlignment="1">
      <alignment vertical="center"/>
    </xf>
    <xf numFmtId="43" fontId="47" fillId="40" borderId="19" xfId="1" applyFont="1" applyFill="1" applyBorder="1" applyAlignment="1">
      <alignment vertical="center"/>
    </xf>
    <xf numFmtId="43" fontId="47" fillId="40" borderId="18" xfId="1" applyFont="1" applyFill="1" applyBorder="1" applyAlignment="1">
      <alignment vertical="center"/>
    </xf>
    <xf numFmtId="43" fontId="47" fillId="40" borderId="26" xfId="1" applyFont="1" applyFill="1" applyBorder="1" applyAlignment="1">
      <alignment vertical="center"/>
    </xf>
    <xf numFmtId="43" fontId="36" fillId="0" borderId="26" xfId="1" applyFont="1" applyFill="1" applyBorder="1" applyAlignment="1">
      <alignment vertical="center"/>
    </xf>
    <xf numFmtId="43" fontId="36" fillId="29" borderId="18" xfId="1" applyFont="1" applyFill="1" applyBorder="1" applyAlignment="1">
      <alignment vertical="center"/>
    </xf>
    <xf numFmtId="0" fontId="36" fillId="29" borderId="19" xfId="7" applyFont="1" applyFill="1" applyBorder="1" applyAlignment="1">
      <alignment horizontal="left" vertical="center"/>
    </xf>
    <xf numFmtId="0" fontId="36" fillId="29" borderId="18" xfId="0" applyFont="1" applyFill="1" applyBorder="1" applyAlignment="1">
      <alignment vertical="center" wrapText="1"/>
    </xf>
    <xf numFmtId="0" fontId="49" fillId="30" borderId="2" xfId="3" applyFont="1" applyFill="1" applyBorder="1" applyAlignment="1">
      <alignment horizontal="center" vertical="center"/>
    </xf>
    <xf numFmtId="0" fontId="36" fillId="29" borderId="0" xfId="7" applyFont="1" applyFill="1" applyBorder="1" applyAlignment="1">
      <alignment horizontal="left" vertical="center"/>
    </xf>
    <xf numFmtId="0" fontId="40" fillId="29" borderId="25" xfId="7" applyFont="1" applyFill="1" applyBorder="1" applyAlignment="1">
      <alignment horizontal="left" vertical="center"/>
    </xf>
    <xf numFmtId="0" fontId="40" fillId="29" borderId="0" xfId="7" applyFont="1" applyFill="1" applyBorder="1" applyAlignment="1">
      <alignment horizontal="left" vertical="center"/>
    </xf>
    <xf numFmtId="9" fontId="50" fillId="3" borderId="19" xfId="2" applyFont="1" applyFill="1" applyBorder="1"/>
    <xf numFmtId="9" fontId="50" fillId="3" borderId="10" xfId="2" applyFont="1" applyFill="1" applyBorder="1"/>
    <xf numFmtId="9" fontId="49" fillId="31" borderId="2" xfId="2" applyFont="1" applyFill="1" applyBorder="1"/>
    <xf numFmtId="0" fontId="50" fillId="0" borderId="7" xfId="3" applyFont="1" applyBorder="1"/>
    <xf numFmtId="0" fontId="50" fillId="0" borderId="10" xfId="3" applyFont="1" applyBorder="1"/>
    <xf numFmtId="9" fontId="50" fillId="0" borderId="2" xfId="2" applyFont="1" applyBorder="1" applyAlignment="1"/>
    <xf numFmtId="9" fontId="50" fillId="0" borderId="2" xfId="2" applyFont="1" applyBorder="1"/>
    <xf numFmtId="9" fontId="50" fillId="0" borderId="19" xfId="2" applyFont="1" applyBorder="1"/>
    <xf numFmtId="9" fontId="50" fillId="0" borderId="10" xfId="2" applyFont="1" applyBorder="1"/>
    <xf numFmtId="0" fontId="50" fillId="3" borderId="19" xfId="2" applyNumberFormat="1" applyFont="1" applyFill="1" applyBorder="1"/>
    <xf numFmtId="0" fontId="49" fillId="32" borderId="2" xfId="2" applyNumberFormat="1" applyFont="1" applyFill="1" applyBorder="1"/>
    <xf numFmtId="0" fontId="36" fillId="29" borderId="0" xfId="7" applyFont="1" applyFill="1" applyBorder="1" applyAlignment="1">
      <alignment horizontal="left" vertical="center"/>
    </xf>
    <xf numFmtId="0" fontId="40" fillId="29" borderId="25" xfId="7" applyFont="1" applyFill="1" applyBorder="1" applyAlignment="1">
      <alignment horizontal="left" vertical="center"/>
    </xf>
    <xf numFmtId="0" fontId="40" fillId="29" borderId="0" xfId="7" applyFont="1" applyFill="1" applyBorder="1" applyAlignment="1">
      <alignment horizontal="left" vertical="center"/>
    </xf>
    <xf numFmtId="43" fontId="55" fillId="0" borderId="11" xfId="10" applyNumberFormat="1" applyFont="1" applyBorder="1"/>
    <xf numFmtId="43" fontId="59" fillId="0" borderId="54" xfId="1" applyFont="1" applyFill="1" applyBorder="1" applyAlignment="1">
      <alignment vertical="center"/>
    </xf>
    <xf numFmtId="43" fontId="36" fillId="0" borderId="11" xfId="1" applyFont="1" applyFill="1" applyBorder="1" applyAlignment="1">
      <alignment vertical="center"/>
    </xf>
    <xf numFmtId="43" fontId="40" fillId="0" borderId="11" xfId="1" applyFont="1" applyFill="1" applyBorder="1" applyAlignment="1">
      <alignment vertical="center"/>
    </xf>
    <xf numFmtId="43" fontId="59" fillId="29" borderId="54" xfId="1" applyFont="1" applyFill="1" applyBorder="1" applyAlignment="1">
      <alignment vertical="center"/>
    </xf>
    <xf numFmtId="0" fontId="36" fillId="29" borderId="0" xfId="7" applyFont="1" applyFill="1" applyBorder="1" applyAlignment="1">
      <alignment horizontal="left" vertical="center"/>
    </xf>
    <xf numFmtId="0" fontId="40" fillId="29" borderId="0" xfId="7" applyFont="1" applyFill="1" applyBorder="1" applyAlignment="1">
      <alignment horizontal="left" vertical="center"/>
    </xf>
    <xf numFmtId="164" fontId="38" fillId="0" borderId="0" xfId="283" applyNumberFormat="1" applyFont="1" applyBorder="1" applyAlignment="1">
      <alignment horizontal="center"/>
    </xf>
    <xf numFmtId="164" fontId="38" fillId="0" borderId="0" xfId="283" applyNumberFormat="1" applyFont="1" applyBorder="1"/>
    <xf numFmtId="164" fontId="36" fillId="0" borderId="0" xfId="283" applyNumberFormat="1" applyFont="1" applyBorder="1"/>
    <xf numFmtId="164" fontId="39" fillId="0" borderId="0" xfId="283" applyNumberFormat="1" applyFont="1" applyBorder="1" applyAlignment="1">
      <alignment horizontal="center"/>
    </xf>
    <xf numFmtId="164" fontId="39" fillId="0" borderId="0" xfId="283" applyNumberFormat="1" applyFont="1" applyBorder="1"/>
    <xf numFmtId="164" fontId="40" fillId="0" borderId="0" xfId="283" applyNumberFormat="1" applyFont="1" applyBorder="1"/>
    <xf numFmtId="43" fontId="40" fillId="0" borderId="0" xfId="283" applyFont="1" applyBorder="1"/>
    <xf numFmtId="164" fontId="39" fillId="0" borderId="0" xfId="283" applyNumberFormat="1" applyFont="1" applyBorder="1" applyAlignment="1">
      <alignment horizontal="center" vertical="center"/>
    </xf>
    <xf numFmtId="164" fontId="39" fillId="0" borderId="0" xfId="283" applyNumberFormat="1" applyFont="1" applyBorder="1" applyAlignment="1">
      <alignment vertical="center"/>
    </xf>
    <xf numFmtId="164" fontId="40" fillId="0" borderId="0" xfId="283" applyNumberFormat="1" applyFont="1" applyBorder="1" applyAlignment="1">
      <alignment vertical="center"/>
    </xf>
    <xf numFmtId="43" fontId="39" fillId="0" borderId="0" xfId="12" applyFont="1" applyBorder="1" applyAlignment="1">
      <alignment horizontal="center"/>
    </xf>
    <xf numFmtId="43" fontId="39" fillId="0" borderId="0" xfId="12" applyFont="1" applyBorder="1"/>
    <xf numFmtId="43" fontId="39" fillId="0" borderId="0" xfId="283" applyFont="1" applyBorder="1"/>
    <xf numFmtId="164" fontId="58" fillId="32" borderId="2" xfId="283" applyNumberFormat="1" applyFont="1" applyFill="1" applyBorder="1" applyAlignment="1">
      <alignment vertical="center" wrapText="1"/>
    </xf>
    <xf numFmtId="164" fontId="58" fillId="32" borderId="28" xfId="283" applyNumberFormat="1" applyFont="1" applyFill="1" applyBorder="1" applyAlignment="1">
      <alignment vertical="center" wrapText="1"/>
    </xf>
    <xf numFmtId="0" fontId="38" fillId="32" borderId="7" xfId="283" quotePrefix="1" applyNumberFormat="1" applyFont="1" applyFill="1" applyBorder="1" applyAlignment="1">
      <alignment horizontal="center" wrapText="1"/>
    </xf>
    <xf numFmtId="0" fontId="38" fillId="32" borderId="7" xfId="283" applyNumberFormat="1" applyFont="1" applyFill="1" applyBorder="1" applyAlignment="1">
      <alignment horizontal="center" wrapText="1"/>
    </xf>
    <xf numFmtId="0" fontId="36" fillId="32" borderId="7" xfId="283" applyNumberFormat="1" applyFont="1" applyFill="1" applyBorder="1" applyAlignment="1">
      <alignment horizontal="center" wrapText="1"/>
    </xf>
    <xf numFmtId="0" fontId="36" fillId="32" borderId="8" xfId="283" applyNumberFormat="1" applyFont="1" applyFill="1" applyBorder="1" applyAlignment="1">
      <alignment horizontal="center" wrapText="1"/>
    </xf>
    <xf numFmtId="0" fontId="38" fillId="29" borderId="25" xfId="5" applyNumberFormat="1" applyFont="1" applyFill="1" applyBorder="1" applyAlignment="1">
      <alignment horizontal="left"/>
    </xf>
    <xf numFmtId="0" fontId="38" fillId="29" borderId="0" xfId="5" quotePrefix="1" applyNumberFormat="1" applyFont="1" applyFill="1" applyBorder="1" applyAlignment="1">
      <alignment horizontal="center"/>
    </xf>
    <xf numFmtId="0" fontId="38" fillId="29" borderId="0" xfId="5" quotePrefix="1" applyNumberFormat="1" applyFont="1" applyFill="1" applyBorder="1" applyAlignment="1">
      <alignment horizontal="center" wrapText="1"/>
    </xf>
    <xf numFmtId="0" fontId="38" fillId="29" borderId="17" xfId="283" quotePrefix="1" applyNumberFormat="1" applyFont="1" applyFill="1" applyBorder="1" applyAlignment="1">
      <alignment horizontal="center" wrapText="1"/>
    </xf>
    <xf numFmtId="0" fontId="38" fillId="29" borderId="17" xfId="283" applyNumberFormat="1" applyFont="1" applyFill="1" applyBorder="1" applyAlignment="1">
      <alignment horizontal="center" wrapText="1"/>
    </xf>
    <xf numFmtId="0" fontId="36" fillId="29" borderId="17" xfId="283" applyNumberFormat="1" applyFont="1" applyFill="1" applyBorder="1" applyAlignment="1">
      <alignment horizontal="center" wrapText="1"/>
    </xf>
    <xf numFmtId="0" fontId="36" fillId="29" borderId="11" xfId="283" applyNumberFormat="1" applyFont="1" applyFill="1" applyBorder="1" applyAlignment="1">
      <alignment horizontal="center" wrapText="1"/>
    </xf>
    <xf numFmtId="0" fontId="38" fillId="29" borderId="0" xfId="4" applyFont="1" applyFill="1" applyAlignment="1">
      <alignment horizontal="center" vertical="center" wrapText="1"/>
    </xf>
    <xf numFmtId="43" fontId="48" fillId="31" borderId="0" xfId="12" applyFont="1" applyFill="1" applyBorder="1" applyAlignment="1">
      <alignment horizontal="center" vertical="center" wrapText="1"/>
    </xf>
    <xf numFmtId="43" fontId="65" fillId="31" borderId="17" xfId="12" applyFont="1" applyFill="1" applyBorder="1" applyAlignment="1">
      <alignment horizontal="center" vertical="center" wrapText="1"/>
    </xf>
    <xf numFmtId="43" fontId="65" fillId="31" borderId="17" xfId="283" applyFont="1" applyFill="1" applyBorder="1" applyAlignment="1">
      <alignment horizontal="center" vertical="center" wrapText="1"/>
    </xf>
    <xf numFmtId="43" fontId="65" fillId="31" borderId="11" xfId="12" applyFont="1" applyFill="1" applyBorder="1" applyAlignment="1">
      <alignment horizontal="center" vertical="center" wrapText="1"/>
    </xf>
    <xf numFmtId="43" fontId="55" fillId="34" borderId="0" xfId="12" applyFont="1" applyFill="1" applyBorder="1" applyAlignment="1">
      <alignment horizontal="center" vertical="center"/>
    </xf>
    <xf numFmtId="43" fontId="59" fillId="34" borderId="17" xfId="12" applyFont="1" applyFill="1" applyBorder="1" applyAlignment="1">
      <alignment vertical="center"/>
    </xf>
    <xf numFmtId="43" fontId="59" fillId="34" borderId="17" xfId="283" applyFont="1" applyFill="1" applyBorder="1" applyAlignment="1">
      <alignment vertical="center"/>
    </xf>
    <xf numFmtId="43" fontId="59" fillId="34" borderId="11" xfId="12" applyFont="1" applyFill="1" applyBorder="1" applyAlignment="1">
      <alignment vertical="center"/>
    </xf>
    <xf numFmtId="43" fontId="36" fillId="29" borderId="0" xfId="12" applyFont="1" applyFill="1" applyBorder="1" applyAlignment="1">
      <alignment horizontal="center" vertical="center"/>
    </xf>
    <xf numFmtId="43" fontId="36" fillId="29" borderId="17" xfId="12" applyFont="1" applyFill="1" applyBorder="1" applyAlignment="1">
      <alignment vertical="center"/>
    </xf>
    <xf numFmtId="43" fontId="36" fillId="29" borderId="17" xfId="283" applyFont="1" applyFill="1" applyBorder="1" applyAlignment="1">
      <alignment vertical="center"/>
    </xf>
    <xf numFmtId="43" fontId="64" fillId="29" borderId="17" xfId="12" applyFont="1" applyFill="1" applyBorder="1" applyAlignment="1">
      <alignment vertical="center"/>
    </xf>
    <xf numFmtId="43" fontId="64" fillId="29" borderId="17" xfId="283" applyFont="1" applyFill="1" applyBorder="1" applyAlignment="1">
      <alignment vertical="center"/>
    </xf>
    <xf numFmtId="43" fontId="59" fillId="29" borderId="17" xfId="12" applyFont="1" applyFill="1" applyBorder="1" applyAlignment="1">
      <alignment vertical="center"/>
    </xf>
    <xf numFmtId="43" fontId="59" fillId="29" borderId="19" xfId="12" applyFont="1" applyFill="1" applyBorder="1" applyAlignment="1">
      <alignment vertical="center"/>
    </xf>
    <xf numFmtId="43" fontId="59" fillId="29" borderId="19" xfId="283" applyFont="1" applyFill="1" applyBorder="1" applyAlignment="1">
      <alignment vertical="center"/>
    </xf>
    <xf numFmtId="43" fontId="59" fillId="29" borderId="26" xfId="12" applyFont="1" applyFill="1" applyBorder="1" applyAlignment="1">
      <alignment vertical="center"/>
    </xf>
    <xf numFmtId="43" fontId="38" fillId="0" borderId="17" xfId="283" applyNumberFormat="1" applyFont="1" applyBorder="1"/>
    <xf numFmtId="43" fontId="38" fillId="0" borderId="19" xfId="283" applyNumberFormat="1" applyFont="1" applyBorder="1"/>
    <xf numFmtId="43" fontId="36" fillId="0" borderId="19" xfId="283" applyNumberFormat="1" applyFont="1" applyBorder="1"/>
    <xf numFmtId="43" fontId="36" fillId="0" borderId="26" xfId="283" applyNumberFormat="1" applyFont="1" applyBorder="1"/>
    <xf numFmtId="43" fontId="55" fillId="29" borderId="17" xfId="12" applyFont="1" applyFill="1" applyBorder="1" applyAlignment="1">
      <alignment vertical="center"/>
    </xf>
    <xf numFmtId="43" fontId="55" fillId="29" borderId="19" xfId="283" applyFont="1" applyFill="1" applyBorder="1" applyAlignment="1">
      <alignment vertical="center"/>
    </xf>
    <xf numFmtId="43" fontId="55" fillId="29" borderId="19" xfId="12" applyFont="1" applyFill="1" applyBorder="1" applyAlignment="1">
      <alignment vertical="center"/>
    </xf>
    <xf numFmtId="43" fontId="55" fillId="29" borderId="26" xfId="12" applyFont="1" applyFill="1" applyBorder="1" applyAlignment="1">
      <alignment vertical="center"/>
    </xf>
    <xf numFmtId="0" fontId="44" fillId="29" borderId="0" xfId="5" applyFont="1" applyFill="1" applyBorder="1" applyAlignment="1">
      <alignment horizontal="center"/>
    </xf>
    <xf numFmtId="43" fontId="44" fillId="29" borderId="0" xfId="6" applyNumberFormat="1" applyFont="1" applyFill="1" applyBorder="1" applyAlignment="1">
      <alignment vertical="center"/>
    </xf>
    <xf numFmtId="43" fontId="36" fillId="0" borderId="17" xfId="283" applyNumberFormat="1" applyFont="1" applyBorder="1"/>
    <xf numFmtId="43" fontId="40" fillId="34" borderId="0" xfId="6" applyNumberFormat="1" applyFont="1" applyFill="1" applyBorder="1" applyAlignment="1">
      <alignment horizontal="center" vertical="center"/>
    </xf>
    <xf numFmtId="43" fontId="40" fillId="34" borderId="0" xfId="6" applyNumberFormat="1" applyFont="1" applyFill="1" applyBorder="1" applyAlignment="1">
      <alignment vertical="center"/>
    </xf>
    <xf numFmtId="43" fontId="40" fillId="34" borderId="0" xfId="6" applyNumberFormat="1" applyFont="1" applyFill="1" applyBorder="1" applyAlignment="1">
      <alignment horizontal="left" vertical="center"/>
    </xf>
    <xf numFmtId="43" fontId="40" fillId="34" borderId="0" xfId="12" applyFont="1" applyFill="1" applyBorder="1" applyAlignment="1">
      <alignment horizontal="center" vertical="center"/>
    </xf>
    <xf numFmtId="43" fontId="40" fillId="29" borderId="0" xfId="12" applyFont="1" applyFill="1" applyBorder="1" applyAlignment="1">
      <alignment horizontal="center" vertical="center"/>
    </xf>
    <xf numFmtId="43" fontId="59" fillId="0" borderId="17" xfId="12" applyFont="1" applyFill="1" applyBorder="1" applyAlignment="1">
      <alignment vertical="center"/>
    </xf>
    <xf numFmtId="43" fontId="59" fillId="0" borderId="19" xfId="12" applyFont="1" applyFill="1" applyBorder="1" applyAlignment="1">
      <alignment vertical="center"/>
    </xf>
    <xf numFmtId="43" fontId="59" fillId="0" borderId="19" xfId="283" applyFont="1" applyFill="1" applyBorder="1" applyAlignment="1">
      <alignment vertical="center"/>
    </xf>
    <xf numFmtId="43" fontId="59" fillId="0" borderId="26" xfId="12" applyFont="1" applyFill="1" applyBorder="1" applyAlignment="1">
      <alignment vertical="center"/>
    </xf>
    <xf numFmtId="43" fontId="36" fillId="0" borderId="0" xfId="12" applyFont="1" applyFill="1" applyBorder="1" applyAlignment="1">
      <alignment horizontal="center" vertical="center"/>
    </xf>
    <xf numFmtId="43" fontId="36" fillId="0" borderId="17" xfId="12" applyFont="1" applyFill="1" applyBorder="1" applyAlignment="1">
      <alignment vertical="center"/>
    </xf>
    <xf numFmtId="43" fontId="36" fillId="0" borderId="19" xfId="12" applyFont="1" applyFill="1" applyBorder="1" applyAlignment="1">
      <alignment vertical="center"/>
    </xf>
    <xf numFmtId="43" fontId="36" fillId="0" borderId="19" xfId="283" applyFont="1" applyFill="1" applyBorder="1" applyAlignment="1">
      <alignment vertical="center"/>
    </xf>
    <xf numFmtId="43" fontId="36" fillId="29" borderId="19" xfId="12" applyFont="1" applyFill="1" applyBorder="1" applyAlignment="1">
      <alignment vertical="center"/>
    </xf>
    <xf numFmtId="43" fontId="36" fillId="29" borderId="19" xfId="283" applyFont="1" applyFill="1" applyBorder="1" applyAlignment="1">
      <alignment vertical="center"/>
    </xf>
    <xf numFmtId="43" fontId="36" fillId="29" borderId="26" xfId="12" applyFont="1" applyFill="1" applyBorder="1" applyAlignment="1">
      <alignment vertical="center"/>
    </xf>
    <xf numFmtId="43" fontId="59" fillId="34" borderId="0" xfId="12" applyFont="1" applyFill="1" applyBorder="1" applyAlignment="1">
      <alignment horizontal="center" vertical="center"/>
    </xf>
    <xf numFmtId="43" fontId="40" fillId="0" borderId="0" xfId="12" applyFont="1" applyFill="1" applyBorder="1" applyAlignment="1">
      <alignment vertical="center"/>
    </xf>
    <xf numFmtId="43" fontId="59" fillId="0" borderId="17" xfId="283" applyFont="1" applyFill="1" applyBorder="1" applyAlignment="1">
      <alignment vertical="center"/>
    </xf>
    <xf numFmtId="43" fontId="40" fillId="0" borderId="0" xfId="12" applyFont="1" applyFill="1" applyBorder="1" applyAlignment="1">
      <alignment horizontal="center" vertical="center"/>
    </xf>
    <xf numFmtId="43" fontId="66" fillId="31" borderId="0" xfId="12" applyFont="1" applyFill="1" applyBorder="1" applyAlignment="1">
      <alignment horizontal="center" vertical="center" wrapText="1"/>
    </xf>
    <xf numFmtId="43" fontId="66" fillId="31" borderId="17" xfId="12" applyFont="1" applyFill="1" applyBorder="1" applyAlignment="1">
      <alignment horizontal="center" vertical="center" wrapText="1"/>
    </xf>
    <xf numFmtId="43" fontId="66" fillId="31" borderId="17" xfId="283" applyFont="1" applyFill="1" applyBorder="1" applyAlignment="1">
      <alignment horizontal="center" vertical="center" wrapText="1"/>
    </xf>
    <xf numFmtId="0" fontId="39" fillId="0" borderId="0" xfId="4" applyFont="1" applyAlignment="1">
      <alignment horizontal="center" vertical="center" wrapText="1"/>
    </xf>
    <xf numFmtId="43" fontId="59" fillId="34" borderId="0" xfId="6" applyNumberFormat="1" applyFont="1" applyFill="1" applyBorder="1" applyAlignment="1">
      <alignment horizontal="center" vertical="center"/>
    </xf>
    <xf numFmtId="43" fontId="59" fillId="34" borderId="0" xfId="6" applyNumberFormat="1" applyFont="1" applyFill="1" applyBorder="1" applyAlignment="1">
      <alignment vertical="center"/>
    </xf>
    <xf numFmtId="43" fontId="59" fillId="34" borderId="0" xfId="6" applyNumberFormat="1" applyFont="1" applyFill="1" applyBorder="1" applyAlignment="1">
      <alignment horizontal="left" vertical="center"/>
    </xf>
    <xf numFmtId="43" fontId="40" fillId="29" borderId="0" xfId="6" applyNumberFormat="1" applyFont="1" applyFill="1" applyBorder="1" applyAlignment="1">
      <alignment horizontal="center" vertical="center"/>
    </xf>
    <xf numFmtId="43" fontId="40" fillId="29" borderId="17" xfId="12" applyFont="1" applyFill="1" applyBorder="1" applyAlignment="1">
      <alignment vertical="center"/>
    </xf>
    <xf numFmtId="43" fontId="40" fillId="29" borderId="17" xfId="283" applyFont="1" applyFill="1" applyBorder="1" applyAlignment="1">
      <alignment vertical="center"/>
    </xf>
    <xf numFmtId="43" fontId="40" fillId="29" borderId="17" xfId="6" applyNumberFormat="1" applyFont="1" applyFill="1" applyBorder="1" applyAlignment="1">
      <alignment vertical="center"/>
    </xf>
    <xf numFmtId="43" fontId="40" fillId="29" borderId="26" xfId="6" applyNumberFormat="1" applyFont="1" applyFill="1" applyBorder="1" applyAlignment="1">
      <alignment vertical="center"/>
    </xf>
    <xf numFmtId="43" fontId="59" fillId="29" borderId="17" xfId="283" applyFont="1" applyFill="1" applyBorder="1" applyAlignment="1">
      <alignment vertical="center"/>
    </xf>
    <xf numFmtId="43" fontId="59" fillId="29" borderId="34" xfId="12" applyFont="1" applyFill="1" applyBorder="1" applyAlignment="1">
      <alignment vertical="center"/>
    </xf>
    <xf numFmtId="43" fontId="59" fillId="29" borderId="34" xfId="283" applyFont="1" applyFill="1" applyBorder="1" applyAlignment="1">
      <alignment vertical="center"/>
    </xf>
    <xf numFmtId="43" fontId="59" fillId="29" borderId="1" xfId="12" applyFont="1" applyFill="1" applyBorder="1" applyAlignment="1">
      <alignment vertical="center"/>
    </xf>
    <xf numFmtId="43" fontId="59" fillId="29" borderId="1" xfId="283" applyFont="1" applyFill="1" applyBorder="1" applyAlignment="1">
      <alignment vertical="center"/>
    </xf>
    <xf numFmtId="43" fontId="59" fillId="29" borderId="50" xfId="12" applyFont="1" applyFill="1" applyBorder="1" applyAlignment="1">
      <alignment vertical="center"/>
    </xf>
    <xf numFmtId="43" fontId="59" fillId="29" borderId="0" xfId="12" applyFont="1" applyFill="1" applyBorder="1" applyAlignment="1">
      <alignment vertical="center"/>
    </xf>
    <xf numFmtId="43" fontId="59" fillId="29" borderId="0" xfId="283" applyFont="1" applyFill="1" applyBorder="1" applyAlignment="1">
      <alignment vertical="center"/>
    </xf>
    <xf numFmtId="43" fontId="40" fillId="29" borderId="0" xfId="12" applyFont="1" applyFill="1" applyBorder="1" applyAlignment="1">
      <alignment vertical="center"/>
    </xf>
    <xf numFmtId="43" fontId="36" fillId="0" borderId="13" xfId="12" applyFont="1" applyFill="1" applyBorder="1" applyAlignment="1">
      <alignment horizontal="center" vertical="center"/>
    </xf>
    <xf numFmtId="43" fontId="36" fillId="0" borderId="13" xfId="12" applyFont="1" applyFill="1" applyBorder="1" applyAlignment="1">
      <alignment vertical="center"/>
    </xf>
    <xf numFmtId="43" fontId="36" fillId="0" borderId="13" xfId="283" applyFont="1" applyFill="1" applyBorder="1" applyAlignment="1">
      <alignment vertical="center"/>
    </xf>
    <xf numFmtId="43" fontId="40" fillId="0" borderId="13" xfId="12" applyFont="1" applyFill="1" applyBorder="1" applyAlignment="1">
      <alignment vertical="center"/>
    </xf>
    <xf numFmtId="43" fontId="36" fillId="0" borderId="0" xfId="12" applyFont="1" applyFill="1" applyBorder="1" applyAlignment="1">
      <alignment vertical="center"/>
    </xf>
    <xf numFmtId="43" fontId="36" fillId="0" borderId="0" xfId="283" applyFont="1" applyFill="1" applyBorder="1" applyAlignment="1">
      <alignment vertical="center"/>
    </xf>
    <xf numFmtId="0" fontId="40" fillId="29" borderId="0" xfId="7" applyFont="1" applyFill="1" applyBorder="1" applyAlignment="1">
      <alignment horizontal="left" vertical="center"/>
    </xf>
    <xf numFmtId="43" fontId="64" fillId="29" borderId="26" xfId="12" applyFont="1" applyFill="1" applyBorder="1" applyAlignment="1">
      <alignment vertical="center"/>
    </xf>
    <xf numFmtId="43" fontId="59" fillId="34" borderId="26" xfId="12" applyFont="1" applyFill="1" applyBorder="1" applyAlignment="1">
      <alignment vertical="center"/>
    </xf>
    <xf numFmtId="43" fontId="60" fillId="0" borderId="26" xfId="5" applyNumberFormat="1" applyFont="1" applyBorder="1" applyAlignment="1"/>
    <xf numFmtId="43" fontId="66" fillId="31" borderId="26" xfId="12" applyFont="1" applyFill="1" applyBorder="1" applyAlignment="1">
      <alignment horizontal="center" vertical="center" wrapText="1"/>
    </xf>
    <xf numFmtId="43" fontId="59" fillId="29" borderId="55" xfId="12" applyFont="1" applyFill="1" applyBorder="1" applyAlignment="1">
      <alignment vertical="center"/>
    </xf>
    <xf numFmtId="43" fontId="64" fillId="29" borderId="19" xfId="12" applyFont="1" applyFill="1" applyBorder="1" applyAlignment="1">
      <alignment vertical="center"/>
    </xf>
    <xf numFmtId="43" fontId="59" fillId="34" borderId="19" xfId="12" applyFont="1" applyFill="1" applyBorder="1" applyAlignment="1">
      <alignment vertical="center"/>
    </xf>
    <xf numFmtId="43" fontId="60" fillId="0" borderId="19" xfId="5" applyNumberFormat="1" applyFont="1" applyBorder="1" applyAlignment="1"/>
    <xf numFmtId="43" fontId="66" fillId="31" borderId="19" xfId="12" applyFont="1" applyFill="1" applyBorder="1" applyAlignment="1">
      <alignment horizontal="center" vertical="center" wrapText="1"/>
    </xf>
    <xf numFmtId="43" fontId="40" fillId="29" borderId="19" xfId="6" applyNumberFormat="1" applyFont="1" applyFill="1" applyBorder="1" applyAlignment="1">
      <alignment vertical="center"/>
    </xf>
    <xf numFmtId="43" fontId="59" fillId="29" borderId="33" xfId="12" applyFont="1" applyFill="1" applyBorder="1" applyAlignment="1">
      <alignment vertical="center"/>
    </xf>
    <xf numFmtId="43" fontId="36" fillId="29" borderId="7" xfId="1" applyFont="1" applyFill="1" applyBorder="1" applyAlignment="1">
      <alignment vertical="center"/>
    </xf>
    <xf numFmtId="43" fontId="55" fillId="29" borderId="17" xfId="283" applyFont="1" applyFill="1" applyBorder="1" applyAlignment="1">
      <alignment vertical="center"/>
    </xf>
    <xf numFmtId="0" fontId="36" fillId="32" borderId="56" xfId="10" applyNumberFormat="1" applyFont="1" applyFill="1" applyBorder="1" applyAlignment="1">
      <alignment horizontal="center" wrapText="1"/>
    </xf>
    <xf numFmtId="43" fontId="65" fillId="31" borderId="26" xfId="1" applyFont="1" applyFill="1" applyBorder="1" applyAlignment="1">
      <alignment horizontal="center" vertical="center" wrapText="1"/>
    </xf>
    <xf numFmtId="43" fontId="59" fillId="34" borderId="26" xfId="1" applyFont="1" applyFill="1" applyBorder="1" applyAlignment="1">
      <alignment vertical="center"/>
    </xf>
    <xf numFmtId="43" fontId="64" fillId="29" borderId="0" xfId="1" applyFont="1" applyFill="1" applyBorder="1" applyAlignment="1">
      <alignment vertical="center"/>
    </xf>
    <xf numFmtId="43" fontId="64" fillId="29" borderId="26" xfId="1" applyFont="1" applyFill="1" applyBorder="1" applyAlignment="1">
      <alignment vertical="center"/>
    </xf>
    <xf numFmtId="43" fontId="67" fillId="31" borderId="26" xfId="1" applyFont="1" applyFill="1" applyBorder="1" applyAlignment="1">
      <alignment horizontal="center" vertical="center" wrapText="1"/>
    </xf>
    <xf numFmtId="43" fontId="59" fillId="29" borderId="55" xfId="1" applyFont="1" applyFill="1" applyBorder="1" applyAlignment="1">
      <alignment vertical="center"/>
    </xf>
    <xf numFmtId="43" fontId="65" fillId="31" borderId="19" xfId="1" applyFont="1" applyFill="1" applyBorder="1" applyAlignment="1">
      <alignment horizontal="center" vertical="center" wrapText="1"/>
    </xf>
    <xf numFmtId="43" fontId="59" fillId="34" borderId="19" xfId="1" applyFont="1" applyFill="1" applyBorder="1" applyAlignment="1">
      <alignment vertical="center"/>
    </xf>
    <xf numFmtId="43" fontId="64" fillId="29" borderId="19" xfId="1" applyFont="1" applyFill="1" applyBorder="1" applyAlignment="1">
      <alignment vertical="center"/>
    </xf>
    <xf numFmtId="43" fontId="67" fillId="31" borderId="19" xfId="1" applyFont="1" applyFill="1" applyBorder="1" applyAlignment="1">
      <alignment horizontal="center" vertical="center" wrapText="1"/>
    </xf>
    <xf numFmtId="43" fontId="59" fillId="29" borderId="33" xfId="1" applyFont="1" applyFill="1" applyBorder="1" applyAlignment="1">
      <alignment vertical="center"/>
    </xf>
    <xf numFmtId="0" fontId="40" fillId="29" borderId="0" xfId="7" applyFont="1" applyFill="1" applyBorder="1" applyAlignment="1">
      <alignment horizontal="left" vertical="center"/>
    </xf>
    <xf numFmtId="0" fontId="50" fillId="29" borderId="19" xfId="2" applyNumberFormat="1" applyFont="1" applyFill="1" applyBorder="1"/>
    <xf numFmtId="9" fontId="50" fillId="29" borderId="10" xfId="2" applyFont="1" applyFill="1" applyBorder="1"/>
    <xf numFmtId="43" fontId="77" fillId="0" borderId="19" xfId="1" applyFont="1" applyFill="1" applyBorder="1" applyAlignment="1">
      <alignment vertical="center"/>
    </xf>
    <xf numFmtId="43" fontId="68" fillId="0" borderId="2" xfId="283" applyFont="1" applyBorder="1"/>
    <xf numFmtId="0" fontId="36" fillId="29" borderId="0" xfId="7" applyFont="1" applyFill="1" applyBorder="1" applyAlignment="1">
      <alignment horizontal="left" vertical="center"/>
    </xf>
    <xf numFmtId="0" fontId="40" fillId="29" borderId="25" xfId="7" applyFont="1" applyFill="1" applyBorder="1" applyAlignment="1">
      <alignment horizontal="left" vertical="center"/>
    </xf>
    <xf numFmtId="0" fontId="40" fillId="29" borderId="0" xfId="7" applyFont="1" applyFill="1" applyBorder="1" applyAlignment="1">
      <alignment horizontal="left" vertical="center"/>
    </xf>
    <xf numFmtId="43" fontId="36" fillId="0" borderId="17" xfId="6" applyNumberFormat="1" applyFont="1" applyFill="1" applyBorder="1" applyAlignment="1">
      <alignment vertical="center"/>
    </xf>
    <xf numFmtId="0" fontId="40" fillId="29" borderId="0" xfId="7" applyFont="1" applyFill="1" applyBorder="1" applyAlignment="1">
      <alignment horizontal="left" vertical="center"/>
    </xf>
    <xf numFmtId="0" fontId="68" fillId="0" borderId="2" xfId="15" applyFont="1" applyBorder="1" applyAlignment="1">
      <alignment vertical="center"/>
    </xf>
    <xf numFmtId="0" fontId="68" fillId="0" borderId="2" xfId="15" applyFont="1" applyBorder="1" applyAlignment="1">
      <alignment horizontal="center" vertical="center"/>
    </xf>
    <xf numFmtId="43" fontId="68" fillId="0" borderId="2" xfId="10" applyFont="1" applyBorder="1" applyAlignment="1">
      <alignment vertical="center"/>
    </xf>
    <xf numFmtId="15" fontId="68" fillId="0" borderId="2" xfId="15" applyNumberFormat="1" applyFont="1" applyBorder="1" applyAlignment="1">
      <alignment horizontal="center" vertical="center"/>
    </xf>
    <xf numFmtId="15" fontId="68" fillId="0" borderId="0" xfId="15" applyNumberFormat="1" applyFont="1" applyBorder="1" applyAlignment="1">
      <alignment horizontal="center" vertical="center"/>
    </xf>
    <xf numFmtId="43" fontId="38" fillId="0" borderId="0" xfId="4" applyNumberFormat="1" applyFont="1" applyAlignment="1">
      <alignment horizontal="center" vertical="center" wrapText="1"/>
    </xf>
    <xf numFmtId="0" fontId="78" fillId="0" borderId="0" xfId="0" applyFont="1"/>
    <xf numFmtId="0" fontId="79" fillId="0" borderId="0" xfId="0" applyFont="1"/>
    <xf numFmtId="0" fontId="80" fillId="42" borderId="7" xfId="0" applyFont="1" applyFill="1" applyBorder="1" applyAlignment="1">
      <alignment horizontal="center"/>
    </xf>
    <xf numFmtId="0" fontId="80" fillId="42" borderId="14" xfId="0" applyFont="1" applyFill="1" applyBorder="1" applyAlignment="1">
      <alignment horizontal="center"/>
    </xf>
    <xf numFmtId="0" fontId="81" fillId="0" borderId="0" xfId="0" applyFont="1"/>
    <xf numFmtId="0" fontId="80" fillId="42" borderId="19" xfId="0" applyFont="1" applyFill="1" applyBorder="1" applyAlignment="1">
      <alignment horizontal="center"/>
    </xf>
    <xf numFmtId="0" fontId="80" fillId="42" borderId="2" xfId="0" applyFont="1" applyFill="1" applyBorder="1" applyAlignment="1">
      <alignment horizontal="center" vertical="center"/>
    </xf>
    <xf numFmtId="0" fontId="80" fillId="42" borderId="10" xfId="0" applyFont="1" applyFill="1" applyBorder="1" applyAlignment="1">
      <alignment horizontal="center"/>
    </xf>
    <xf numFmtId="0" fontId="80" fillId="42" borderId="10" xfId="0" applyFont="1" applyFill="1" applyBorder="1" applyAlignment="1">
      <alignment horizontal="center" vertical="center"/>
    </xf>
    <xf numFmtId="0" fontId="80" fillId="42" borderId="19" xfId="0" quotePrefix="1" applyFont="1" applyFill="1" applyBorder="1" applyAlignment="1">
      <alignment horizontal="center"/>
    </xf>
    <xf numFmtId="0" fontId="80" fillId="42" borderId="0" xfId="0" applyFont="1" applyFill="1" applyBorder="1" applyAlignment="1">
      <alignment horizontal="center"/>
    </xf>
    <xf numFmtId="0" fontId="80" fillId="0" borderId="14" xfId="0" applyFont="1" applyFill="1" applyBorder="1" applyAlignment="1">
      <alignment horizontal="center" vertical="center"/>
    </xf>
    <xf numFmtId="0" fontId="80" fillId="0" borderId="14" xfId="0" quotePrefix="1" applyFont="1" applyFill="1" applyBorder="1" applyAlignment="1">
      <alignment horizontal="center"/>
    </xf>
    <xf numFmtId="0" fontId="80" fillId="0" borderId="14" xfId="0" applyFont="1" applyFill="1" applyBorder="1" applyAlignment="1">
      <alignment horizontal="center"/>
    </xf>
    <xf numFmtId="0" fontId="81" fillId="0" borderId="14" xfId="0" applyFont="1" applyFill="1" applyBorder="1"/>
    <xf numFmtId="0" fontId="80" fillId="0" borderId="1" xfId="0" applyFont="1" applyFill="1" applyBorder="1" applyAlignment="1">
      <alignment horizontal="center" vertical="center"/>
    </xf>
    <xf numFmtId="0" fontId="80" fillId="0" borderId="1" xfId="0" quotePrefix="1" applyFont="1" applyFill="1" applyBorder="1" applyAlignment="1">
      <alignment horizontal="center"/>
    </xf>
    <xf numFmtId="0" fontId="80" fillId="0" borderId="1" xfId="0" applyFont="1" applyFill="1" applyBorder="1" applyAlignment="1">
      <alignment horizontal="center"/>
    </xf>
    <xf numFmtId="0" fontId="81" fillId="0" borderId="1" xfId="0" applyFont="1" applyFill="1" applyBorder="1"/>
    <xf numFmtId="0" fontId="81" fillId="0" borderId="15" xfId="0" applyFont="1" applyBorder="1"/>
    <xf numFmtId="0" fontId="81" fillId="0" borderId="16" xfId="0" applyFont="1" applyBorder="1"/>
    <xf numFmtId="0" fontId="81" fillId="0" borderId="7" xfId="0" applyFont="1" applyBorder="1"/>
    <xf numFmtId="164" fontId="81" fillId="0" borderId="7" xfId="0" applyNumberFormat="1" applyFont="1" applyBorder="1"/>
    <xf numFmtId="0" fontId="82" fillId="43" borderId="17" xfId="0" applyFont="1" applyFill="1" applyBorder="1"/>
    <xf numFmtId="0" fontId="83" fillId="43" borderId="18" xfId="0" applyFont="1" applyFill="1" applyBorder="1" applyAlignment="1">
      <alignment vertical="center"/>
    </xf>
    <xf numFmtId="164" fontId="47" fillId="32" borderId="2" xfId="1" applyNumberFormat="1" applyFont="1" applyFill="1" applyBorder="1"/>
    <xf numFmtId="164" fontId="84" fillId="43" borderId="2" xfId="1" applyNumberFormat="1" applyFont="1" applyFill="1" applyBorder="1"/>
    <xf numFmtId="10" fontId="84" fillId="43" borderId="2" xfId="2" applyNumberFormat="1" applyFont="1" applyFill="1" applyBorder="1"/>
    <xf numFmtId="0" fontId="82" fillId="0" borderId="19" xfId="0" applyFont="1" applyBorder="1"/>
    <xf numFmtId="0" fontId="82" fillId="0" borderId="0" xfId="0" applyFont="1"/>
    <xf numFmtId="0" fontId="84" fillId="43" borderId="18" xfId="0" applyFont="1" applyFill="1" applyBorder="1"/>
    <xf numFmtId="164" fontId="82" fillId="43" borderId="19" xfId="1" applyNumberFormat="1" applyFont="1" applyFill="1" applyBorder="1"/>
    <xf numFmtId="9" fontId="82" fillId="43" borderId="19" xfId="2" applyFont="1" applyFill="1" applyBorder="1"/>
    <xf numFmtId="0" fontId="82" fillId="0" borderId="17" xfId="0" applyFont="1" applyBorder="1"/>
    <xf numFmtId="0" fontId="82" fillId="0" borderId="18" xfId="0" applyFont="1" applyBorder="1"/>
    <xf numFmtId="164" fontId="82" fillId="0" borderId="19" xfId="1" applyNumberFormat="1" applyFont="1" applyBorder="1"/>
    <xf numFmtId="164" fontId="82" fillId="0" borderId="19" xfId="1" applyNumberFormat="1" applyFont="1" applyFill="1" applyBorder="1"/>
    <xf numFmtId="164" fontId="36" fillId="0" borderId="19" xfId="1" applyNumberFormat="1" applyFont="1" applyFill="1" applyBorder="1"/>
    <xf numFmtId="43" fontId="82" fillId="0" borderId="19" xfId="1" applyNumberFormat="1" applyFont="1" applyFill="1" applyBorder="1"/>
    <xf numFmtId="9" fontId="82" fillId="0" borderId="19" xfId="2" applyFont="1" applyFill="1" applyBorder="1"/>
    <xf numFmtId="0" fontId="82" fillId="0" borderId="18" xfId="0" applyFont="1" applyFill="1" applyBorder="1"/>
    <xf numFmtId="0" fontId="82" fillId="43" borderId="18" xfId="0" applyFont="1" applyFill="1" applyBorder="1"/>
    <xf numFmtId="9" fontId="84" fillId="43" borderId="2" xfId="2" applyFont="1" applyFill="1" applyBorder="1"/>
    <xf numFmtId="164" fontId="39" fillId="43" borderId="19" xfId="1" applyNumberFormat="1" applyFont="1" applyFill="1" applyBorder="1"/>
    <xf numFmtId="164" fontId="84" fillId="43" borderId="5" xfId="0" applyNumberFormat="1" applyFont="1" applyFill="1" applyBorder="1" applyAlignment="1"/>
    <xf numFmtId="9" fontId="39" fillId="43" borderId="2" xfId="2" applyFont="1" applyFill="1" applyBorder="1"/>
    <xf numFmtId="164" fontId="84" fillId="43" borderId="4" xfId="0" applyNumberFormat="1" applyFont="1" applyFill="1" applyBorder="1" applyAlignment="1"/>
    <xf numFmtId="164" fontId="82" fillId="43" borderId="2" xfId="1" applyNumberFormat="1" applyFont="1" applyFill="1" applyBorder="1"/>
    <xf numFmtId="9" fontId="82" fillId="43" borderId="2" xfId="2" applyFont="1" applyFill="1" applyBorder="1"/>
    <xf numFmtId="0" fontId="82" fillId="0" borderId="2" xfId="0" applyFont="1" applyBorder="1"/>
    <xf numFmtId="0" fontId="82" fillId="43" borderId="19" xfId="0" applyFont="1" applyFill="1" applyBorder="1"/>
    <xf numFmtId="0" fontId="82" fillId="43" borderId="0" xfId="0" applyFont="1" applyFill="1"/>
    <xf numFmtId="0" fontId="82" fillId="0" borderId="20" xfId="0" applyFont="1" applyBorder="1"/>
    <xf numFmtId="0" fontId="82" fillId="0" borderId="21" xfId="0" applyFont="1" applyBorder="1"/>
    <xf numFmtId="164" fontId="82" fillId="0" borderId="10" xfId="1" applyNumberFormat="1" applyFont="1" applyBorder="1"/>
    <xf numFmtId="164" fontId="82" fillId="0" borderId="10" xfId="1" applyNumberFormat="1" applyFont="1" applyFill="1" applyBorder="1"/>
    <xf numFmtId="9" fontId="82" fillId="0" borderId="10" xfId="2" applyFont="1" applyFill="1" applyBorder="1"/>
    <xf numFmtId="0" fontId="82" fillId="0" borderId="10" xfId="0" applyFont="1" applyBorder="1"/>
    <xf numFmtId="0" fontId="82" fillId="0" borderId="4" xfId="0" applyFont="1" applyBorder="1" applyAlignment="1"/>
    <xf numFmtId="164" fontId="82" fillId="0" borderId="4" xfId="1" applyNumberFormat="1" applyFont="1" applyBorder="1" applyAlignment="1"/>
    <xf numFmtId="9" fontId="82" fillId="0" borderId="2" xfId="2" applyFont="1" applyBorder="1" applyAlignment="1"/>
    <xf numFmtId="9" fontId="82" fillId="0" borderId="4" xfId="2" applyFont="1" applyBorder="1" applyAlignment="1"/>
    <xf numFmtId="0" fontId="82" fillId="0" borderId="5" xfId="0" applyFont="1" applyBorder="1" applyAlignment="1"/>
    <xf numFmtId="0" fontId="84" fillId="0" borderId="2" xfId="0" applyFont="1" applyBorder="1" applyAlignment="1"/>
    <xf numFmtId="164" fontId="82" fillId="0" borderId="2" xfId="0" applyNumberFormat="1" applyFont="1" applyBorder="1"/>
    <xf numFmtId="0" fontId="82" fillId="0" borderId="6" xfId="0" applyFont="1" applyBorder="1"/>
    <xf numFmtId="9" fontId="82" fillId="0" borderId="2" xfId="2" applyFont="1" applyBorder="1"/>
    <xf numFmtId="0" fontId="84" fillId="43" borderId="6" xfId="0" applyFont="1" applyFill="1" applyBorder="1" applyAlignment="1">
      <alignment horizontal="left"/>
    </xf>
    <xf numFmtId="0" fontId="84" fillId="43" borderId="5" xfId="0" applyFont="1" applyFill="1" applyBorder="1" applyAlignment="1"/>
    <xf numFmtId="164" fontId="82" fillId="43" borderId="2" xfId="0" applyNumberFormat="1" applyFont="1" applyFill="1" applyBorder="1"/>
    <xf numFmtId="0" fontId="82" fillId="0" borderId="15" xfId="0" applyFont="1" applyBorder="1"/>
    <xf numFmtId="0" fontId="82" fillId="0" borderId="16" xfId="0" applyFont="1" applyBorder="1"/>
    <xf numFmtId="9" fontId="82" fillId="0" borderId="19" xfId="2" applyFont="1" applyBorder="1"/>
    <xf numFmtId="0" fontId="82" fillId="43" borderId="17" xfId="0" applyFont="1" applyFill="1" applyBorder="1" applyAlignment="1">
      <alignment horizontal="center" vertical="center"/>
    </xf>
    <xf numFmtId="0" fontId="82" fillId="43" borderId="18" xfId="0" applyFont="1" applyFill="1" applyBorder="1" applyAlignment="1"/>
    <xf numFmtId="43" fontId="82" fillId="43" borderId="19" xfId="0" applyNumberFormat="1" applyFont="1" applyFill="1" applyBorder="1"/>
    <xf numFmtId="0" fontId="82" fillId="43" borderId="18" xfId="0" applyFont="1" applyFill="1" applyBorder="1" applyAlignment="1">
      <alignment horizontal="left" vertical="center" wrapText="1"/>
    </xf>
    <xf numFmtId="0" fontId="82" fillId="43" borderId="18" xfId="0" applyFont="1" applyFill="1" applyBorder="1" applyAlignment="1">
      <alignment vertical="center" wrapText="1"/>
    </xf>
    <xf numFmtId="43" fontId="82" fillId="0" borderId="19" xfId="1" applyFont="1" applyBorder="1"/>
    <xf numFmtId="9" fontId="82" fillId="0" borderId="19" xfId="2" applyNumberFormat="1" applyFont="1" applyBorder="1"/>
    <xf numFmtId="43" fontId="84" fillId="43" borderId="6" xfId="1" applyFont="1" applyFill="1" applyBorder="1"/>
    <xf numFmtId="0" fontId="82" fillId="0" borderId="17" xfId="0" applyFont="1" applyFill="1" applyBorder="1" applyAlignment="1">
      <alignment horizontal="center" vertical="center"/>
    </xf>
    <xf numFmtId="0" fontId="82" fillId="0" borderId="18" xfId="0" applyFont="1" applyFill="1" applyBorder="1" applyAlignment="1"/>
    <xf numFmtId="0" fontId="82" fillId="0" borderId="18" xfId="0" applyFont="1" applyFill="1" applyBorder="1" applyAlignment="1">
      <alignment horizontal="left" vertical="center" wrapText="1"/>
    </xf>
    <xf numFmtId="0" fontId="82" fillId="0" borderId="18" xfId="0" applyFont="1" applyFill="1" applyBorder="1" applyAlignment="1">
      <alignment vertical="center" wrapText="1"/>
    </xf>
    <xf numFmtId="43" fontId="82" fillId="0" borderId="10" xfId="1" applyFont="1" applyBorder="1"/>
    <xf numFmtId="9" fontId="82" fillId="0" borderId="10" xfId="2" applyFont="1" applyBorder="1"/>
    <xf numFmtId="9" fontId="82" fillId="0" borderId="10" xfId="2" applyNumberFormat="1" applyFont="1" applyBorder="1"/>
    <xf numFmtId="0" fontId="79" fillId="0" borderId="0" xfId="0" applyFont="1" applyAlignment="1"/>
    <xf numFmtId="0" fontId="78" fillId="0" borderId="0" xfId="0" applyFont="1" applyAlignment="1"/>
    <xf numFmtId="0" fontId="79" fillId="41" borderId="0" xfId="0" applyFont="1" applyFill="1" applyAlignment="1"/>
    <xf numFmtId="0" fontId="78" fillId="41" borderId="0" xfId="0" applyFont="1" applyFill="1" applyAlignment="1"/>
    <xf numFmtId="0" fontId="85" fillId="0" borderId="0" xfId="0" quotePrefix="1" applyFont="1" applyAlignment="1"/>
    <xf numFmtId="0" fontId="78" fillId="0" borderId="0" xfId="0" quotePrefix="1" applyFont="1" applyAlignment="1"/>
    <xf numFmtId="0" fontId="68" fillId="0" borderId="2" xfId="15" applyFont="1" applyBorder="1" applyAlignment="1">
      <alignment horizontal="left" wrapText="1" indent="1"/>
    </xf>
    <xf numFmtId="0" fontId="68" fillId="0" borderId="2" xfId="15" applyFont="1" applyBorder="1" applyAlignment="1">
      <alignment horizontal="left" vertical="center" wrapText="1" indent="1"/>
    </xf>
    <xf numFmtId="0" fontId="68" fillId="0" borderId="2" xfId="15" applyFont="1" applyFill="1" applyBorder="1" applyAlignment="1">
      <alignment horizontal="left" indent="1"/>
    </xf>
    <xf numFmtId="0" fontId="38" fillId="0" borderId="0" xfId="5" applyFont="1" applyBorder="1" applyAlignment="1">
      <alignment horizontal="left" indent="2"/>
    </xf>
    <xf numFmtId="164" fontId="78" fillId="0" borderId="0" xfId="0" quotePrefix="1" applyNumberFormat="1" applyFont="1" applyAlignment="1"/>
    <xf numFmtId="164" fontId="78" fillId="0" borderId="0" xfId="0" applyNumberFormat="1" applyFont="1" applyAlignment="1"/>
    <xf numFmtId="164" fontId="79" fillId="0" borderId="0" xfId="0" applyNumberFormat="1" applyFont="1"/>
    <xf numFmtId="43" fontId="36" fillId="0" borderId="0" xfId="10" applyNumberFormat="1" applyFont="1" applyBorder="1"/>
    <xf numFmtId="164" fontId="79" fillId="0" borderId="0" xfId="0" applyNumberFormat="1" applyFont="1" applyAlignment="1"/>
    <xf numFmtId="43" fontId="78" fillId="0" borderId="0" xfId="0" quotePrefix="1" applyNumberFormat="1" applyFont="1" applyAlignment="1"/>
    <xf numFmtId="0" fontId="40" fillId="29" borderId="0" xfId="7" applyFont="1" applyFill="1" applyBorder="1" applyAlignment="1">
      <alignment horizontal="left" vertical="center"/>
    </xf>
    <xf numFmtId="43" fontId="39" fillId="0" borderId="17" xfId="283" applyNumberFormat="1" applyFont="1" applyBorder="1"/>
    <xf numFmtId="43" fontId="39" fillId="0" borderId="19" xfId="283" applyNumberFormat="1" applyFont="1" applyBorder="1"/>
    <xf numFmtId="43" fontId="40" fillId="0" borderId="19" xfId="283" applyNumberFormat="1" applyFont="1" applyBorder="1"/>
    <xf numFmtId="43" fontId="40" fillId="0" borderId="26" xfId="283" applyNumberFormat="1" applyFont="1" applyBorder="1"/>
    <xf numFmtId="43" fontId="36" fillId="0" borderId="19" xfId="283" applyFont="1" applyBorder="1"/>
    <xf numFmtId="43" fontId="0" fillId="0" borderId="0" xfId="0" applyNumberFormat="1"/>
    <xf numFmtId="0" fontId="84" fillId="43" borderId="6" xfId="0" applyFont="1" applyFill="1" applyBorder="1" applyAlignment="1">
      <alignment horizontal="center"/>
    </xf>
    <xf numFmtId="0" fontId="84" fillId="43" borderId="4" xfId="0" applyFont="1" applyFill="1" applyBorder="1" applyAlignment="1">
      <alignment horizontal="center"/>
    </xf>
    <xf numFmtId="0" fontId="84" fillId="43" borderId="5" xfId="0" applyFont="1" applyFill="1" applyBorder="1" applyAlignment="1">
      <alignment horizontal="center"/>
    </xf>
    <xf numFmtId="0" fontId="84" fillId="0" borderId="6" xfId="0" applyFont="1" applyBorder="1" applyAlignment="1">
      <alignment horizontal="left"/>
    </xf>
    <xf numFmtId="0" fontId="84" fillId="0" borderId="4" xfId="0" applyFont="1" applyBorder="1" applyAlignment="1">
      <alignment horizontal="left"/>
    </xf>
    <xf numFmtId="0" fontId="79" fillId="0" borderId="1" xfId="0" applyFont="1" applyBorder="1" applyAlignment="1">
      <alignment horizontal="left"/>
    </xf>
    <xf numFmtId="0" fontId="80" fillId="42" borderId="2" xfId="0" applyFont="1" applyFill="1" applyBorder="1" applyAlignment="1">
      <alignment horizontal="center" vertical="center"/>
    </xf>
    <xf numFmtId="0" fontId="80" fillId="42" borderId="4" xfId="0" applyFont="1" applyFill="1" applyBorder="1" applyAlignment="1">
      <alignment horizontal="center"/>
    </xf>
    <xf numFmtId="0" fontId="80" fillId="42" borderId="5" xfId="0" applyFont="1" applyFill="1" applyBorder="1" applyAlignment="1">
      <alignment horizontal="center"/>
    </xf>
    <xf numFmtId="0" fontId="80" fillId="42" borderId="6" xfId="0" applyFont="1" applyFill="1" applyBorder="1" applyAlignment="1">
      <alignment horizontal="center"/>
    </xf>
    <xf numFmtId="0" fontId="80" fillId="42" borderId="7" xfId="0" applyFont="1" applyFill="1" applyBorder="1" applyAlignment="1">
      <alignment horizontal="center" vertical="center"/>
    </xf>
    <xf numFmtId="0" fontId="80" fillId="42" borderId="19" xfId="0" applyFont="1" applyFill="1" applyBorder="1" applyAlignment="1">
      <alignment horizontal="center" vertical="center"/>
    </xf>
    <xf numFmtId="0" fontId="80" fillId="42" borderId="10" xfId="0" applyFont="1" applyFill="1" applyBorder="1" applyAlignment="1">
      <alignment horizontal="center" vertical="center"/>
    </xf>
    <xf numFmtId="0" fontId="49" fillId="31" borderId="6" xfId="3" applyFont="1" applyFill="1" applyBorder="1" applyAlignment="1">
      <alignment horizontal="center"/>
    </xf>
    <xf numFmtId="0" fontId="49" fillId="31" borderId="5" xfId="3" applyFont="1" applyFill="1" applyBorder="1" applyAlignment="1">
      <alignment horizontal="center"/>
    </xf>
    <xf numFmtId="0" fontId="52" fillId="0" borderId="6" xfId="3" applyFont="1" applyBorder="1" applyAlignment="1">
      <alignment horizontal="left"/>
    </xf>
    <xf numFmtId="0" fontId="52" fillId="0" borderId="4" xfId="3" applyFont="1" applyBorder="1" applyAlignment="1">
      <alignment horizontal="left"/>
    </xf>
    <xf numFmtId="0" fontId="49" fillId="30" borderId="30" xfId="3" applyFont="1" applyFill="1" applyBorder="1" applyAlignment="1">
      <alignment horizontal="center"/>
    </xf>
    <xf numFmtId="0" fontId="49" fillId="30" borderId="1" xfId="3" applyFont="1" applyFill="1" applyBorder="1" applyAlignment="1">
      <alignment horizontal="center"/>
    </xf>
    <xf numFmtId="0" fontId="49" fillId="30" borderId="52" xfId="3" applyFont="1" applyFill="1" applyBorder="1" applyAlignment="1">
      <alignment horizontal="center"/>
    </xf>
    <xf numFmtId="0" fontId="49" fillId="30" borderId="51" xfId="3" applyFont="1" applyFill="1" applyBorder="1" applyAlignment="1">
      <alignment horizontal="center"/>
    </xf>
    <xf numFmtId="0" fontId="49" fillId="30" borderId="53" xfId="3" applyFont="1" applyFill="1" applyBorder="1" applyAlignment="1">
      <alignment horizontal="center"/>
    </xf>
    <xf numFmtId="0" fontId="8" fillId="0" borderId="1" xfId="3" applyFont="1" applyBorder="1" applyAlignment="1">
      <alignment horizontal="left"/>
    </xf>
    <xf numFmtId="0" fontId="49" fillId="30" borderId="2" xfId="3" applyFont="1" applyFill="1" applyBorder="1" applyAlignment="1">
      <alignment horizontal="center" vertical="center"/>
    </xf>
    <xf numFmtId="0" fontId="49" fillId="30" borderId="4" xfId="3" applyFont="1" applyFill="1" applyBorder="1" applyAlignment="1">
      <alignment horizontal="center"/>
    </xf>
    <xf numFmtId="0" fontId="49" fillId="30" borderId="5" xfId="3" applyFont="1" applyFill="1" applyBorder="1" applyAlignment="1">
      <alignment horizontal="center"/>
    </xf>
    <xf numFmtId="0" fontId="49" fillId="30" borderId="6" xfId="3" applyFont="1" applyFill="1" applyBorder="1" applyAlignment="1">
      <alignment horizontal="center"/>
    </xf>
    <xf numFmtId="0" fontId="47" fillId="40" borderId="2" xfId="0" applyFont="1" applyFill="1" applyBorder="1" applyAlignment="1">
      <alignment horizontal="left" vertical="center"/>
    </xf>
    <xf numFmtId="0" fontId="36" fillId="29" borderId="0" xfId="7" applyFont="1" applyFill="1" applyBorder="1" applyAlignment="1">
      <alignment horizontal="left" vertical="center" wrapText="1"/>
    </xf>
    <xf numFmtId="0" fontId="36" fillId="29" borderId="18" xfId="7" applyFont="1" applyFill="1" applyBorder="1" applyAlignment="1">
      <alignment horizontal="left" vertical="center" wrapText="1"/>
    </xf>
    <xf numFmtId="0" fontId="36" fillId="29" borderId="0" xfId="7" applyFont="1" applyFill="1" applyBorder="1" applyAlignment="1">
      <alignment vertical="center" wrapText="1"/>
    </xf>
    <xf numFmtId="0" fontId="36" fillId="29" borderId="18" xfId="0" applyFont="1" applyFill="1" applyBorder="1" applyAlignment="1">
      <alignment vertical="center" wrapText="1"/>
    </xf>
    <xf numFmtId="0" fontId="40" fillId="29" borderId="0" xfId="7" applyFont="1" applyFill="1" applyBorder="1" applyAlignment="1">
      <alignment horizontal="left" vertical="center" wrapText="1"/>
    </xf>
    <xf numFmtId="0" fontId="47" fillId="35" borderId="25" xfId="4" applyFont="1" applyFill="1" applyBorder="1" applyAlignment="1">
      <alignment horizontal="left" vertical="center" wrapText="1"/>
    </xf>
    <xf numFmtId="0" fontId="47" fillId="35" borderId="0" xfId="4" applyFont="1" applyFill="1" applyBorder="1" applyAlignment="1">
      <alignment horizontal="left" vertical="center" wrapText="1"/>
    </xf>
    <xf numFmtId="0" fontId="36" fillId="29" borderId="0" xfId="7" applyFont="1" applyFill="1" applyBorder="1" applyAlignment="1">
      <alignment horizontal="left" vertical="center"/>
    </xf>
    <xf numFmtId="0" fontId="36" fillId="29" borderId="1" xfId="7" applyFont="1" applyFill="1" applyBorder="1" applyAlignment="1">
      <alignment horizontal="left" vertical="center" wrapText="1"/>
    </xf>
    <xf numFmtId="0" fontId="36" fillId="29" borderId="21" xfId="7" applyFont="1" applyFill="1" applyBorder="1" applyAlignment="1">
      <alignment horizontal="left" vertical="center" wrapText="1"/>
    </xf>
    <xf numFmtId="0" fontId="39" fillId="0" borderId="4" xfId="5" applyFont="1" applyBorder="1" applyAlignment="1">
      <alignment horizontal="left" vertical="center" wrapText="1"/>
    </xf>
    <xf numFmtId="0" fontId="47" fillId="37" borderId="27" xfId="4" applyFont="1" applyFill="1" applyBorder="1" applyAlignment="1">
      <alignment horizontal="center" vertical="center" wrapText="1"/>
    </xf>
    <xf numFmtId="0" fontId="47" fillId="37" borderId="14" xfId="4" applyFont="1" applyFill="1" applyBorder="1" applyAlignment="1">
      <alignment horizontal="center" vertical="center" wrapText="1"/>
    </xf>
    <xf numFmtId="0" fontId="47" fillId="37" borderId="16" xfId="4" applyFont="1" applyFill="1" applyBorder="1" applyAlignment="1">
      <alignment horizontal="center" vertical="center" wrapText="1"/>
    </xf>
    <xf numFmtId="0" fontId="47" fillId="37" borderId="25" xfId="4" applyFont="1" applyFill="1" applyBorder="1" applyAlignment="1">
      <alignment horizontal="center" vertical="center" wrapText="1"/>
    </xf>
    <xf numFmtId="0" fontId="47" fillId="37" borderId="0" xfId="4" applyFont="1" applyFill="1" applyBorder="1" applyAlignment="1">
      <alignment horizontal="center" vertical="center" wrapText="1"/>
    </xf>
    <xf numFmtId="0" fontId="47" fillId="37" borderId="18" xfId="4" applyFont="1" applyFill="1" applyBorder="1" applyAlignment="1">
      <alignment horizontal="center" vertical="center" wrapText="1"/>
    </xf>
    <xf numFmtId="0" fontId="47" fillId="37" borderId="30" xfId="4" applyFont="1" applyFill="1" applyBorder="1" applyAlignment="1">
      <alignment horizontal="center" vertical="center" wrapText="1"/>
    </xf>
    <xf numFmtId="0" fontId="47" fillId="37" borderId="1" xfId="4" applyFont="1" applyFill="1" applyBorder="1" applyAlignment="1">
      <alignment horizontal="center" vertical="center" wrapText="1"/>
    </xf>
    <xf numFmtId="0" fontId="47" fillId="37" borderId="21" xfId="4" applyFont="1" applyFill="1" applyBorder="1" applyAlignment="1">
      <alignment horizontal="center" vertical="center" wrapText="1"/>
    </xf>
    <xf numFmtId="0" fontId="47" fillId="37" borderId="7" xfId="4" applyFont="1" applyFill="1" applyBorder="1" applyAlignment="1">
      <alignment horizontal="center" vertical="center" wrapText="1"/>
    </xf>
    <xf numFmtId="0" fontId="47" fillId="37" borderId="19" xfId="4" applyFont="1" applyFill="1" applyBorder="1" applyAlignment="1">
      <alignment horizontal="center" vertical="center" wrapText="1"/>
    </xf>
    <xf numFmtId="0" fontId="47" fillId="37" borderId="10" xfId="4" applyFont="1" applyFill="1" applyBorder="1" applyAlignment="1">
      <alignment horizontal="center" vertical="center" wrapText="1"/>
    </xf>
    <xf numFmtId="43" fontId="47" fillId="37" borderId="6" xfId="1" applyFont="1" applyFill="1" applyBorder="1" applyAlignment="1">
      <alignment horizontal="center"/>
    </xf>
    <xf numFmtId="43" fontId="47" fillId="37" borderId="4" xfId="1" applyFont="1" applyFill="1" applyBorder="1" applyAlignment="1">
      <alignment horizontal="center"/>
    </xf>
    <xf numFmtId="43" fontId="47" fillId="37" borderId="5" xfId="1" applyFont="1" applyFill="1" applyBorder="1" applyAlignment="1">
      <alignment horizontal="center"/>
    </xf>
    <xf numFmtId="43" fontId="47" fillId="37" borderId="15" xfId="1" applyFont="1" applyFill="1" applyBorder="1" applyAlignment="1">
      <alignment horizontal="center" vertical="center" wrapText="1"/>
    </xf>
    <xf numFmtId="43" fontId="47" fillId="37" borderId="14" xfId="1" applyFont="1" applyFill="1" applyBorder="1" applyAlignment="1">
      <alignment horizontal="center" vertical="center" wrapText="1"/>
    </xf>
    <xf numFmtId="43" fontId="47" fillId="37" borderId="16" xfId="1" applyFont="1" applyFill="1" applyBorder="1" applyAlignment="1">
      <alignment horizontal="center" vertical="center" wrapText="1"/>
    </xf>
    <xf numFmtId="43" fontId="47" fillId="37" borderId="20" xfId="1" applyFont="1" applyFill="1" applyBorder="1" applyAlignment="1">
      <alignment horizontal="center" vertical="center" wrapText="1"/>
    </xf>
    <xf numFmtId="43" fontId="47" fillId="37" borderId="1" xfId="1" applyFont="1" applyFill="1" applyBorder="1" applyAlignment="1">
      <alignment horizontal="center" vertical="center" wrapText="1"/>
    </xf>
    <xf numFmtId="43" fontId="47" fillId="37" borderId="21" xfId="1" applyFont="1" applyFill="1" applyBorder="1" applyAlignment="1">
      <alignment horizontal="center" vertical="center" wrapText="1"/>
    </xf>
    <xf numFmtId="43" fontId="47" fillId="37" borderId="2" xfId="1" applyFont="1" applyFill="1" applyBorder="1" applyAlignment="1">
      <alignment horizontal="center" wrapText="1"/>
    </xf>
    <xf numFmtId="43" fontId="47" fillId="37" borderId="28" xfId="1" applyFont="1" applyFill="1" applyBorder="1" applyAlignment="1">
      <alignment horizontal="center" wrapText="1"/>
    </xf>
    <xf numFmtId="43" fontId="47" fillId="37" borderId="7" xfId="1" applyFont="1" applyFill="1" applyBorder="1" applyAlignment="1">
      <alignment horizontal="center" vertical="center" wrapText="1"/>
    </xf>
    <xf numFmtId="43" fontId="47" fillId="37" borderId="10" xfId="1" applyFont="1" applyFill="1" applyBorder="1" applyAlignment="1">
      <alignment horizontal="center" vertical="center" wrapText="1"/>
    </xf>
    <xf numFmtId="43" fontId="47" fillId="37" borderId="6" xfId="1" applyFont="1" applyFill="1" applyBorder="1" applyAlignment="1">
      <alignment horizontal="center" vertical="center"/>
    </xf>
    <xf numFmtId="43" fontId="47" fillId="37" borderId="4" xfId="1" applyFont="1" applyFill="1" applyBorder="1" applyAlignment="1">
      <alignment horizontal="center" vertical="center"/>
    </xf>
    <xf numFmtId="43" fontId="47" fillId="37" borderId="29" xfId="1" applyFont="1" applyFill="1" applyBorder="1" applyAlignment="1">
      <alignment horizontal="center" vertical="center"/>
    </xf>
    <xf numFmtId="43" fontId="47" fillId="37" borderId="6" xfId="1" applyFont="1" applyFill="1" applyBorder="1" applyAlignment="1">
      <alignment horizontal="center" vertical="center" wrapText="1"/>
    </xf>
    <xf numFmtId="43" fontId="47" fillId="37" borderId="4" xfId="1" applyFont="1" applyFill="1" applyBorder="1" applyAlignment="1">
      <alignment horizontal="center" vertical="center" wrapText="1"/>
    </xf>
    <xf numFmtId="43" fontId="47" fillId="37" borderId="5" xfId="1" applyFont="1" applyFill="1" applyBorder="1" applyAlignment="1">
      <alignment horizontal="center" vertical="center" wrapText="1"/>
    </xf>
    <xf numFmtId="43" fontId="47" fillId="37" borderId="29" xfId="1" applyFont="1" applyFill="1" applyBorder="1" applyAlignment="1">
      <alignment horizontal="center" vertical="center" wrapText="1"/>
    </xf>
    <xf numFmtId="0" fontId="40" fillId="29" borderId="25" xfId="7" applyFont="1" applyFill="1" applyBorder="1" applyAlignment="1">
      <alignment horizontal="left" vertical="center"/>
    </xf>
    <xf numFmtId="0" fontId="40" fillId="29" borderId="0" xfId="7" applyFont="1" applyFill="1" applyBorder="1" applyAlignment="1">
      <alignment horizontal="left" vertical="center"/>
    </xf>
    <xf numFmtId="0" fontId="40" fillId="29" borderId="0" xfId="0" applyFont="1" applyFill="1" applyBorder="1" applyAlignment="1">
      <alignment horizontal="left" vertical="center"/>
    </xf>
    <xf numFmtId="0" fontId="39" fillId="0" borderId="25" xfId="11" applyFont="1" applyBorder="1" applyAlignment="1">
      <alignment horizontal="center"/>
    </xf>
    <xf numFmtId="0" fontId="39" fillId="0" borderId="0" xfId="11" applyFont="1" applyBorder="1" applyAlignment="1">
      <alignment horizontal="center"/>
    </xf>
    <xf numFmtId="0" fontId="39" fillId="0" borderId="26" xfId="11" applyFont="1" applyBorder="1" applyAlignment="1">
      <alignment horizontal="center"/>
    </xf>
    <xf numFmtId="164" fontId="58" fillId="32" borderId="6" xfId="10" applyNumberFormat="1" applyFont="1" applyFill="1" applyBorder="1" applyAlignment="1">
      <alignment horizontal="center" vertical="center"/>
    </xf>
    <xf numFmtId="164" fontId="58" fillId="32" borderId="29" xfId="10" applyNumberFormat="1" applyFont="1" applyFill="1" applyBorder="1" applyAlignment="1">
      <alignment horizontal="center" vertical="center"/>
    </xf>
    <xf numFmtId="164" fontId="40" fillId="0" borderId="23" xfId="10" applyNumberFormat="1" applyFont="1" applyBorder="1" applyAlignment="1">
      <alignment horizontal="center"/>
    </xf>
    <xf numFmtId="0" fontId="58" fillId="32" borderId="7" xfId="5" applyFont="1" applyFill="1" applyBorder="1" applyAlignment="1">
      <alignment horizontal="center" vertical="center" wrapText="1"/>
    </xf>
    <xf numFmtId="0" fontId="58" fillId="32" borderId="19" xfId="5" applyFont="1" applyFill="1" applyBorder="1" applyAlignment="1">
      <alignment horizontal="center" vertical="center" wrapText="1"/>
    </xf>
    <xf numFmtId="0" fontId="58" fillId="32" borderId="10" xfId="5" applyFont="1" applyFill="1" applyBorder="1" applyAlignment="1">
      <alignment horizontal="center" vertical="center" wrapText="1"/>
    </xf>
    <xf numFmtId="164" fontId="58" fillId="32" borderId="7" xfId="10" applyNumberFormat="1" applyFont="1" applyFill="1" applyBorder="1" applyAlignment="1">
      <alignment horizontal="center"/>
    </xf>
    <xf numFmtId="164" fontId="58" fillId="32" borderId="2" xfId="10" applyNumberFormat="1" applyFont="1" applyFill="1" applyBorder="1" applyAlignment="1">
      <alignment horizontal="center"/>
    </xf>
    <xf numFmtId="164" fontId="58" fillId="32" borderId="7" xfId="10" applyNumberFormat="1" applyFont="1" applyFill="1" applyBorder="1" applyAlignment="1">
      <alignment horizontal="center" vertical="center" wrapText="1"/>
    </xf>
    <xf numFmtId="164" fontId="58" fillId="32" borderId="10" xfId="10" applyNumberFormat="1" applyFont="1" applyFill="1" applyBorder="1" applyAlignment="1">
      <alignment horizontal="center" vertical="center" wrapText="1"/>
    </xf>
    <xf numFmtId="43" fontId="40" fillId="0" borderId="51" xfId="6" applyNumberFormat="1" applyFont="1" applyFill="1" applyBorder="1" applyAlignment="1">
      <alignment horizontal="center" vertical="center"/>
    </xf>
    <xf numFmtId="43" fontId="40" fillId="0" borderId="13" xfId="1" applyFont="1" applyFill="1" applyBorder="1" applyAlignment="1">
      <alignment horizontal="center" vertical="center"/>
    </xf>
    <xf numFmtId="0" fontId="38" fillId="32" borderId="27" xfId="5" quotePrefix="1" applyNumberFormat="1" applyFont="1" applyFill="1" applyBorder="1" applyAlignment="1">
      <alignment horizontal="center" wrapText="1"/>
    </xf>
    <xf numFmtId="0" fontId="38" fillId="32" borderId="14" xfId="5" quotePrefix="1" applyNumberFormat="1" applyFont="1" applyFill="1" applyBorder="1" applyAlignment="1">
      <alignment horizontal="center" wrapText="1"/>
    </xf>
    <xf numFmtId="0" fontId="38" fillId="32" borderId="16" xfId="5" quotePrefix="1" applyNumberFormat="1" applyFont="1" applyFill="1" applyBorder="1" applyAlignment="1">
      <alignment horizontal="center" wrapText="1"/>
    </xf>
    <xf numFmtId="0" fontId="40" fillId="29" borderId="1" xfId="7" applyFont="1" applyFill="1" applyBorder="1" applyAlignment="1">
      <alignment horizontal="center" vertical="center"/>
    </xf>
    <xf numFmtId="43" fontId="59" fillId="29" borderId="1" xfId="1" applyFont="1" applyFill="1" applyBorder="1" applyAlignment="1">
      <alignment horizontal="center" vertical="center"/>
    </xf>
    <xf numFmtId="0" fontId="58" fillId="32" borderId="27" xfId="4" applyFont="1" applyFill="1" applyBorder="1" applyAlignment="1">
      <alignment horizontal="center" vertical="center" wrapText="1"/>
    </xf>
    <xf numFmtId="0" fontId="58" fillId="32" borderId="14" xfId="4" applyFont="1" applyFill="1" applyBorder="1" applyAlignment="1">
      <alignment horizontal="center" vertical="center" wrapText="1"/>
    </xf>
    <xf numFmtId="0" fontId="58" fillId="32" borderId="16" xfId="4" applyFont="1" applyFill="1" applyBorder="1" applyAlignment="1">
      <alignment horizontal="center" vertical="center" wrapText="1"/>
    </xf>
    <xf numFmtId="0" fontId="58" fillId="32" borderId="25" xfId="4" applyFont="1" applyFill="1" applyBorder="1" applyAlignment="1">
      <alignment horizontal="center" vertical="center" wrapText="1"/>
    </xf>
    <xf numFmtId="0" fontId="58" fillId="32" borderId="0" xfId="4" applyFont="1" applyFill="1" applyBorder="1" applyAlignment="1">
      <alignment horizontal="center" vertical="center" wrapText="1"/>
    </xf>
    <xf numFmtId="0" fontId="58" fillId="32" borderId="18" xfId="4" applyFont="1" applyFill="1" applyBorder="1" applyAlignment="1">
      <alignment horizontal="center" vertical="center" wrapText="1"/>
    </xf>
    <xf numFmtId="0" fontId="58" fillId="32" borderId="30" xfId="4" applyFont="1" applyFill="1" applyBorder="1" applyAlignment="1">
      <alignment horizontal="center" vertical="center" wrapText="1"/>
    </xf>
    <xf numFmtId="0" fontId="58" fillId="32" borderId="1" xfId="4" applyFont="1" applyFill="1" applyBorder="1" applyAlignment="1">
      <alignment horizontal="center" vertical="center" wrapText="1"/>
    </xf>
    <xf numFmtId="0" fontId="58" fillId="32" borderId="21" xfId="4" applyFont="1" applyFill="1" applyBorder="1" applyAlignment="1">
      <alignment horizontal="center" vertical="center" wrapText="1"/>
    </xf>
    <xf numFmtId="164" fontId="58" fillId="32" borderId="2" xfId="10" applyNumberFormat="1" applyFont="1" applyFill="1" applyBorder="1" applyAlignment="1">
      <alignment horizontal="center" wrapText="1"/>
    </xf>
    <xf numFmtId="164" fontId="58" fillId="32" borderId="28" xfId="10" applyNumberFormat="1" applyFont="1" applyFill="1" applyBorder="1" applyAlignment="1">
      <alignment horizontal="center" wrapText="1"/>
    </xf>
    <xf numFmtId="0" fontId="66" fillId="31" borderId="25" xfId="4" applyFont="1" applyFill="1" applyBorder="1" applyAlignment="1">
      <alignment horizontal="left" vertical="center" wrapText="1"/>
    </xf>
    <xf numFmtId="0" fontId="66" fillId="31" borderId="0" xfId="4" applyFont="1" applyFill="1" applyBorder="1" applyAlignment="1">
      <alignment horizontal="left" vertical="center" wrapText="1"/>
    </xf>
    <xf numFmtId="0" fontId="47" fillId="31" borderId="25" xfId="4" applyFont="1" applyFill="1" applyBorder="1" applyAlignment="1">
      <alignment horizontal="left" vertical="center" wrapText="1"/>
    </xf>
    <xf numFmtId="0" fontId="47" fillId="31" borderId="0" xfId="4" applyFont="1" applyFill="1" applyBorder="1" applyAlignment="1">
      <alignment horizontal="left" vertical="center" wrapText="1"/>
    </xf>
    <xf numFmtId="164" fontId="40" fillId="0" borderId="25" xfId="10" applyNumberFormat="1" applyFont="1" applyBorder="1" applyAlignment="1">
      <alignment horizontal="center"/>
    </xf>
    <xf numFmtId="164" fontId="40" fillId="0" borderId="0" xfId="10" applyNumberFormat="1" applyFont="1" applyBorder="1" applyAlignment="1">
      <alignment horizontal="center"/>
    </xf>
    <xf numFmtId="164" fontId="40" fillId="0" borderId="26" xfId="10" applyNumberFormat="1" applyFont="1" applyBorder="1" applyAlignment="1">
      <alignment horizontal="center"/>
    </xf>
    <xf numFmtId="164" fontId="40" fillId="0" borderId="0" xfId="283" applyNumberFormat="1" applyFont="1" applyBorder="1" applyAlignment="1">
      <alignment horizontal="center"/>
    </xf>
    <xf numFmtId="164" fontId="40" fillId="0" borderId="25" xfId="283" applyNumberFormat="1" applyFont="1" applyBorder="1" applyAlignment="1">
      <alignment horizontal="center"/>
    </xf>
    <xf numFmtId="164" fontId="40" fillId="0" borderId="26" xfId="283" applyNumberFormat="1" applyFont="1" applyBorder="1" applyAlignment="1">
      <alignment horizontal="center"/>
    </xf>
    <xf numFmtId="164" fontId="58" fillId="32" borderId="7" xfId="283" applyNumberFormat="1" applyFont="1" applyFill="1" applyBorder="1" applyAlignment="1">
      <alignment horizontal="center"/>
    </xf>
    <xf numFmtId="164" fontId="58" fillId="32" borderId="2" xfId="283" applyNumberFormat="1" applyFont="1" applyFill="1" applyBorder="1" applyAlignment="1">
      <alignment horizontal="center"/>
    </xf>
    <xf numFmtId="164" fontId="58" fillId="32" borderId="2" xfId="283" applyNumberFormat="1" applyFont="1" applyFill="1" applyBorder="1" applyAlignment="1">
      <alignment horizontal="center" wrapText="1"/>
    </xf>
    <xf numFmtId="164" fontId="58" fillId="32" borderId="28" xfId="283" applyNumberFormat="1" applyFont="1" applyFill="1" applyBorder="1" applyAlignment="1">
      <alignment horizontal="center" wrapText="1"/>
    </xf>
    <xf numFmtId="164" fontId="58" fillId="32" borderId="6" xfId="283" applyNumberFormat="1" applyFont="1" applyFill="1" applyBorder="1" applyAlignment="1">
      <alignment horizontal="center" vertical="center"/>
    </xf>
    <xf numFmtId="164" fontId="58" fillId="32" borderId="29" xfId="283" applyNumberFormat="1" applyFont="1" applyFill="1" applyBorder="1" applyAlignment="1">
      <alignment horizontal="center" vertical="center"/>
    </xf>
    <xf numFmtId="164" fontId="58" fillId="32" borderId="7" xfId="283" applyNumberFormat="1" applyFont="1" applyFill="1" applyBorder="1" applyAlignment="1">
      <alignment horizontal="center" vertical="center" wrapText="1"/>
    </xf>
    <xf numFmtId="164" fontId="58" fillId="32" borderId="10" xfId="283" applyNumberFormat="1" applyFont="1" applyFill="1" applyBorder="1" applyAlignment="1">
      <alignment horizontal="center" vertical="center" wrapText="1"/>
    </xf>
    <xf numFmtId="43" fontId="59" fillId="29" borderId="1" xfId="12" applyFont="1" applyFill="1" applyBorder="1" applyAlignment="1">
      <alignment horizontal="center" vertical="center"/>
    </xf>
    <xf numFmtId="43" fontId="40" fillId="0" borderId="13" xfId="12" applyFont="1" applyFill="1" applyBorder="1" applyAlignment="1">
      <alignment horizontal="center" vertical="center"/>
    </xf>
    <xf numFmtId="0" fontId="68" fillId="0" borderId="6" xfId="18" applyFont="1" applyBorder="1" applyAlignment="1">
      <alignment horizontal="left" vertical="center" indent="3"/>
    </xf>
    <xf numFmtId="0" fontId="68" fillId="0" borderId="5" xfId="18" applyFont="1" applyBorder="1" applyAlignment="1">
      <alignment horizontal="left" vertical="center" indent="3"/>
    </xf>
    <xf numFmtId="43" fontId="68" fillId="0" borderId="1" xfId="13" applyFont="1" applyBorder="1" applyAlignment="1">
      <alignment horizontal="center" vertical="center"/>
    </xf>
    <xf numFmtId="165" fontId="61" fillId="32" borderId="6" xfId="18" applyNumberFormat="1" applyFont="1" applyFill="1" applyBorder="1" applyAlignment="1">
      <alignment horizontal="center" vertical="center" wrapText="1"/>
    </xf>
    <xf numFmtId="165" fontId="61" fillId="32" borderId="4" xfId="18" applyNumberFormat="1" applyFont="1" applyFill="1" applyBorder="1" applyAlignment="1">
      <alignment horizontal="center" vertical="center" wrapText="1"/>
    </xf>
    <xf numFmtId="165" fontId="61" fillId="32" borderId="5" xfId="18" applyNumberFormat="1" applyFont="1" applyFill="1" applyBorder="1" applyAlignment="1">
      <alignment horizontal="center" vertical="center" wrapText="1"/>
    </xf>
    <xf numFmtId="0" fontId="69" fillId="0" borderId="6" xfId="18" applyFont="1" applyFill="1" applyBorder="1" applyAlignment="1">
      <alignment horizontal="left" vertical="center"/>
    </xf>
    <xf numFmtId="0" fontId="69" fillId="0" borderId="5" xfId="18" applyFont="1" applyFill="1" applyBorder="1" applyAlignment="1">
      <alignment horizontal="left" vertical="center"/>
    </xf>
    <xf numFmtId="0" fontId="69" fillId="0" borderId="6" xfId="18" applyFont="1" applyFill="1" applyBorder="1" applyAlignment="1">
      <alignment horizontal="left" vertical="center" indent="2"/>
    </xf>
    <xf numFmtId="0" fontId="69" fillId="0" borderId="5" xfId="18" applyFont="1" applyFill="1" applyBorder="1" applyAlignment="1">
      <alignment horizontal="left" vertical="center" indent="2"/>
    </xf>
    <xf numFmtId="0" fontId="69" fillId="34" borderId="6" xfId="18" applyFont="1" applyFill="1" applyBorder="1" applyAlignment="1">
      <alignment horizontal="left" vertical="center"/>
    </xf>
    <xf numFmtId="0" fontId="69" fillId="34" borderId="5" xfId="18" applyFont="1" applyFill="1" applyBorder="1" applyAlignment="1">
      <alignment horizontal="left" vertical="center"/>
    </xf>
    <xf numFmtId="0" fontId="69" fillId="0" borderId="17" xfId="18" applyFont="1" applyBorder="1" applyAlignment="1">
      <alignment horizontal="center" vertical="center"/>
    </xf>
    <xf numFmtId="0" fontId="69" fillId="0" borderId="0" xfId="18" applyFont="1" applyBorder="1" applyAlignment="1">
      <alignment horizontal="center" vertical="center"/>
    </xf>
    <xf numFmtId="0" fontId="69" fillId="0" borderId="18" xfId="18" applyFont="1" applyBorder="1" applyAlignment="1">
      <alignment horizontal="center" vertical="center"/>
    </xf>
    <xf numFmtId="0" fontId="61" fillId="32" borderId="7" xfId="18" applyFont="1" applyFill="1" applyBorder="1" applyAlignment="1">
      <alignment horizontal="center" vertical="center"/>
    </xf>
    <xf numFmtId="0" fontId="61" fillId="32" borderId="10" xfId="18" applyFont="1" applyFill="1" applyBorder="1" applyAlignment="1">
      <alignment horizontal="center" vertical="center"/>
    </xf>
    <xf numFmtId="0" fontId="61" fillId="32" borderId="6" xfId="18" applyFont="1" applyFill="1" applyBorder="1" applyAlignment="1">
      <alignment horizontal="center" vertical="center"/>
    </xf>
    <xf numFmtId="0" fontId="61" fillId="32" borderId="5" xfId="18" applyFont="1" applyFill="1" applyBorder="1" applyAlignment="1">
      <alignment horizontal="center" vertical="center"/>
    </xf>
    <xf numFmtId="0" fontId="61" fillId="32" borderId="4" xfId="18" applyFont="1" applyFill="1" applyBorder="1" applyAlignment="1">
      <alignment horizontal="center" vertical="center"/>
    </xf>
    <xf numFmtId="0" fontId="68" fillId="34" borderId="0" xfId="0" applyFont="1" applyFill="1" applyAlignment="1">
      <alignment horizontal="center"/>
    </xf>
  </cellXfs>
  <cellStyles count="653">
    <cellStyle name="20% - Accent1 2" xfId="21"/>
    <cellStyle name="20% - Accent1 2 2" xfId="22"/>
    <cellStyle name="20% - Accent1 2 2 2" xfId="23"/>
    <cellStyle name="20% - Accent1 2 2 3" xfId="24"/>
    <cellStyle name="20% - Accent1 2 2 4" xfId="25"/>
    <cellStyle name="20% - Accent1 2 2 5" xfId="26"/>
    <cellStyle name="20% - Accent1 2 3" xfId="27"/>
    <cellStyle name="20% - Accent1 2 4" xfId="28"/>
    <cellStyle name="20% - Accent1 2 5" xfId="29"/>
    <cellStyle name="20% - Accent1 2 6" xfId="30"/>
    <cellStyle name="20% - Accent1 2 7" xfId="31"/>
    <cellStyle name="20% - Accent1 2 8" xfId="32"/>
    <cellStyle name="20% - Accent2 2" xfId="33"/>
    <cellStyle name="20% - Accent2 2 2" xfId="34"/>
    <cellStyle name="20% - Accent2 2 2 2" xfId="35"/>
    <cellStyle name="20% - Accent2 2 2 3" xfId="36"/>
    <cellStyle name="20% - Accent2 2 2 4" xfId="37"/>
    <cellStyle name="20% - Accent2 2 2 5" xfId="38"/>
    <cellStyle name="20% - Accent2 2 3" xfId="39"/>
    <cellStyle name="20% - Accent2 2 4" xfId="40"/>
    <cellStyle name="20% - Accent2 2 5" xfId="41"/>
    <cellStyle name="20% - Accent2 2 6" xfId="42"/>
    <cellStyle name="20% - Accent2 2 7" xfId="43"/>
    <cellStyle name="20% - Accent2 2 8" xfId="44"/>
    <cellStyle name="20% - Accent3 2" xfId="45"/>
    <cellStyle name="20% - Accent3 2 2" xfId="46"/>
    <cellStyle name="20% - Accent3 2 2 2" xfId="47"/>
    <cellStyle name="20% - Accent3 2 2 3" xfId="48"/>
    <cellStyle name="20% - Accent3 2 2 4" xfId="49"/>
    <cellStyle name="20% - Accent3 2 2 5" xfId="50"/>
    <cellStyle name="20% - Accent3 2 3" xfId="51"/>
    <cellStyle name="20% - Accent3 2 4" xfId="52"/>
    <cellStyle name="20% - Accent3 2 5" xfId="53"/>
    <cellStyle name="20% - Accent3 2 6" xfId="54"/>
    <cellStyle name="20% - Accent3 2 7" xfId="55"/>
    <cellStyle name="20% - Accent3 2 8" xfId="56"/>
    <cellStyle name="20% - Accent4 2" xfId="57"/>
    <cellStyle name="20% - Accent4 2 2" xfId="58"/>
    <cellStyle name="20% - Accent4 2 2 2" xfId="59"/>
    <cellStyle name="20% - Accent4 2 2 3" xfId="60"/>
    <cellStyle name="20% - Accent4 2 2 4" xfId="61"/>
    <cellStyle name="20% - Accent4 2 2 5" xfId="62"/>
    <cellStyle name="20% - Accent4 2 3" xfId="63"/>
    <cellStyle name="20% - Accent4 2 4" xfId="64"/>
    <cellStyle name="20% - Accent4 2 5" xfId="65"/>
    <cellStyle name="20% - Accent4 2 6" xfId="66"/>
    <cellStyle name="20% - Accent4 2 7" xfId="67"/>
    <cellStyle name="20% - Accent4 2 8" xfId="68"/>
    <cellStyle name="20% - Accent5 2" xfId="69"/>
    <cellStyle name="20% - Accent5 2 2" xfId="70"/>
    <cellStyle name="20% - Accent5 2 2 2" xfId="71"/>
    <cellStyle name="20% - Accent5 2 2 3" xfId="72"/>
    <cellStyle name="20% - Accent5 2 2 4" xfId="73"/>
    <cellStyle name="20% - Accent5 2 2 5" xfId="74"/>
    <cellStyle name="20% - Accent5 2 3" xfId="75"/>
    <cellStyle name="20% - Accent5 2 4" xfId="76"/>
    <cellStyle name="20% - Accent5 2 5" xfId="77"/>
    <cellStyle name="20% - Accent5 2 6" xfId="78"/>
    <cellStyle name="20% - Accent5 2 7" xfId="79"/>
    <cellStyle name="20% - Accent5 2 8" xfId="80"/>
    <cellStyle name="20% - Accent6 2" xfId="81"/>
    <cellStyle name="20% - Accent6 2 2" xfId="82"/>
    <cellStyle name="20% - Accent6 2 2 2" xfId="83"/>
    <cellStyle name="20% - Accent6 2 2 3" xfId="84"/>
    <cellStyle name="20% - Accent6 2 2 4" xfId="85"/>
    <cellStyle name="20% - Accent6 2 2 5" xfId="86"/>
    <cellStyle name="20% - Accent6 2 3" xfId="87"/>
    <cellStyle name="20% - Accent6 2 4" xfId="88"/>
    <cellStyle name="20% - Accent6 2 5" xfId="89"/>
    <cellStyle name="20% - Accent6 2 6" xfId="90"/>
    <cellStyle name="20% - Accent6 2 7" xfId="91"/>
    <cellStyle name="20% - Accent6 2 8" xfId="92"/>
    <cellStyle name="40% - Accent1 2" xfId="93"/>
    <cellStyle name="40% - Accent1 2 2" xfId="94"/>
    <cellStyle name="40% - Accent1 2 2 2" xfId="95"/>
    <cellStyle name="40% - Accent1 2 2 3" xfId="96"/>
    <cellStyle name="40% - Accent1 2 2 4" xfId="97"/>
    <cellStyle name="40% - Accent1 2 2 5" xfId="98"/>
    <cellStyle name="40% - Accent1 2 3" xfId="99"/>
    <cellStyle name="40% - Accent1 2 4" xfId="100"/>
    <cellStyle name="40% - Accent1 2 5" xfId="101"/>
    <cellStyle name="40% - Accent1 2 6" xfId="102"/>
    <cellStyle name="40% - Accent1 2 7" xfId="103"/>
    <cellStyle name="40% - Accent1 2 8" xfId="104"/>
    <cellStyle name="40% - Accent2 2" xfId="105"/>
    <cellStyle name="40% - Accent2 2 2" xfId="106"/>
    <cellStyle name="40% - Accent2 2 2 2" xfId="107"/>
    <cellStyle name="40% - Accent2 2 2 3" xfId="108"/>
    <cellStyle name="40% - Accent2 2 2 4" xfId="109"/>
    <cellStyle name="40% - Accent2 2 2 5" xfId="110"/>
    <cellStyle name="40% - Accent2 2 3" xfId="111"/>
    <cellStyle name="40% - Accent2 2 4" xfId="112"/>
    <cellStyle name="40% - Accent2 2 5" xfId="113"/>
    <cellStyle name="40% - Accent2 2 6" xfId="114"/>
    <cellStyle name="40% - Accent2 2 7" xfId="115"/>
    <cellStyle name="40% - Accent2 2 8" xfId="116"/>
    <cellStyle name="40% - Accent3 2" xfId="117"/>
    <cellStyle name="40% - Accent3 2 2" xfId="118"/>
    <cellStyle name="40% - Accent3 2 2 2" xfId="119"/>
    <cellStyle name="40% - Accent3 2 2 3" xfId="120"/>
    <cellStyle name="40% - Accent3 2 2 4" xfId="121"/>
    <cellStyle name="40% - Accent3 2 2 5" xfId="122"/>
    <cellStyle name="40% - Accent3 2 3" xfId="123"/>
    <cellStyle name="40% - Accent3 2 4" xfId="124"/>
    <cellStyle name="40% - Accent3 2 5" xfId="125"/>
    <cellStyle name="40% - Accent3 2 6" xfId="126"/>
    <cellStyle name="40% - Accent3 2 7" xfId="127"/>
    <cellStyle name="40% - Accent3 2 8" xfId="128"/>
    <cellStyle name="40% - Accent4 2" xfId="129"/>
    <cellStyle name="40% - Accent4 2 2" xfId="130"/>
    <cellStyle name="40% - Accent4 2 2 2" xfId="131"/>
    <cellStyle name="40% - Accent4 2 2 3" xfId="132"/>
    <cellStyle name="40% - Accent4 2 2 4" xfId="133"/>
    <cellStyle name="40% - Accent4 2 2 5" xfId="134"/>
    <cellStyle name="40% - Accent4 2 3" xfId="135"/>
    <cellStyle name="40% - Accent4 2 4" xfId="136"/>
    <cellStyle name="40% - Accent4 2 5" xfId="137"/>
    <cellStyle name="40% - Accent4 2 6" xfId="138"/>
    <cellStyle name="40% - Accent4 2 7" xfId="139"/>
    <cellStyle name="40% - Accent4 2 8" xfId="140"/>
    <cellStyle name="40% - Accent5 2" xfId="141"/>
    <cellStyle name="40% - Accent5 2 2" xfId="142"/>
    <cellStyle name="40% - Accent5 2 2 2" xfId="143"/>
    <cellStyle name="40% - Accent5 2 2 3" xfId="144"/>
    <cellStyle name="40% - Accent5 2 2 4" xfId="145"/>
    <cellStyle name="40% - Accent5 2 2 5" xfId="146"/>
    <cellStyle name="40% - Accent5 2 3" xfId="147"/>
    <cellStyle name="40% - Accent5 2 4" xfId="148"/>
    <cellStyle name="40% - Accent5 2 5" xfId="149"/>
    <cellStyle name="40% - Accent5 2 6" xfId="150"/>
    <cellStyle name="40% - Accent5 2 7" xfId="151"/>
    <cellStyle name="40% - Accent5 2 8" xfId="152"/>
    <cellStyle name="40% - Accent6 2" xfId="153"/>
    <cellStyle name="40% - Accent6 2 2" xfId="154"/>
    <cellStyle name="40% - Accent6 2 2 2" xfId="155"/>
    <cellStyle name="40% - Accent6 2 2 3" xfId="156"/>
    <cellStyle name="40% - Accent6 2 2 4" xfId="157"/>
    <cellStyle name="40% - Accent6 2 2 5" xfId="158"/>
    <cellStyle name="40% - Accent6 2 3" xfId="159"/>
    <cellStyle name="40% - Accent6 2 4" xfId="160"/>
    <cellStyle name="40% - Accent6 2 5" xfId="161"/>
    <cellStyle name="40% - Accent6 2 6" xfId="162"/>
    <cellStyle name="40% - Accent6 2 7" xfId="163"/>
    <cellStyle name="40% - Accent6 2 8" xfId="164"/>
    <cellStyle name="60% - Accent1 2" xfId="165"/>
    <cellStyle name="60% - Accent1 2 2" xfId="166"/>
    <cellStyle name="60% - Accent2 2" xfId="167"/>
    <cellStyle name="60% - Accent2 2 2" xfId="168"/>
    <cellStyle name="60% - Accent3 2" xfId="169"/>
    <cellStyle name="60% - Accent3 2 2" xfId="170"/>
    <cellStyle name="60% - Accent4 2" xfId="171"/>
    <cellStyle name="60% - Accent4 2 2" xfId="172"/>
    <cellStyle name="60% - Accent5 2" xfId="173"/>
    <cellStyle name="60% - Accent5 2 2" xfId="174"/>
    <cellStyle name="60% - Accent6 2" xfId="175"/>
    <cellStyle name="60% - Accent6 2 2" xfId="176"/>
    <cellStyle name="Accent1 2" xfId="177"/>
    <cellStyle name="Accent1 2 2" xfId="178"/>
    <cellStyle name="Accent2 2" xfId="179"/>
    <cellStyle name="Accent2 2 2" xfId="180"/>
    <cellStyle name="Accent3 2" xfId="181"/>
    <cellStyle name="Accent3 2 2" xfId="182"/>
    <cellStyle name="Accent4 2" xfId="183"/>
    <cellStyle name="Accent4 2 2" xfId="184"/>
    <cellStyle name="Accent5 2" xfId="185"/>
    <cellStyle name="Accent5 2 2" xfId="186"/>
    <cellStyle name="Accent6 2" xfId="187"/>
    <cellStyle name="Accent6 2 2" xfId="188"/>
    <cellStyle name="Bad 2" xfId="189"/>
    <cellStyle name="Bad 2 2" xfId="190"/>
    <cellStyle name="Calculation 2" xfId="191"/>
    <cellStyle name="Calculation 2 2" xfId="192"/>
    <cellStyle name="Calculation 2 3" xfId="193"/>
    <cellStyle name="Check Cell 2" xfId="194"/>
    <cellStyle name="Check Cell 2 2" xfId="195"/>
    <cellStyle name="Comma" xfId="1" builtinId="3"/>
    <cellStyle name="Comma 10" xfId="12"/>
    <cellStyle name="Comma 10 2" xfId="196"/>
    <cellStyle name="Comma 10 2 2" xfId="197"/>
    <cellStyle name="Comma 10 3" xfId="198"/>
    <cellStyle name="Comma 11" xfId="199"/>
    <cellStyle name="Comma 11 2" xfId="200"/>
    <cellStyle name="Comma 11 3" xfId="201"/>
    <cellStyle name="Comma 12" xfId="202"/>
    <cellStyle name="Comma 12 2" xfId="203"/>
    <cellStyle name="Comma 12 2 2" xfId="204"/>
    <cellStyle name="Comma 12 3" xfId="205"/>
    <cellStyle name="Comma 13" xfId="206"/>
    <cellStyle name="Comma 13 2" xfId="207"/>
    <cellStyle name="Comma 13 2 2" xfId="208"/>
    <cellStyle name="Comma 13 2 2 2" xfId="209"/>
    <cellStyle name="Comma 13 2 2 3" xfId="210"/>
    <cellStyle name="Comma 13 2 2 4" xfId="211"/>
    <cellStyle name="Comma 13 2 2 5" xfId="212"/>
    <cellStyle name="Comma 13 2 3" xfId="213"/>
    <cellStyle name="Comma 13 2 4" xfId="214"/>
    <cellStyle name="Comma 13 2 5" xfId="215"/>
    <cellStyle name="Comma 13 2 6" xfId="216"/>
    <cellStyle name="Comma 13 2 7" xfId="217"/>
    <cellStyle name="Comma 13 3" xfId="218"/>
    <cellStyle name="Comma 13 3 2" xfId="219"/>
    <cellStyle name="Comma 13 3 3" xfId="220"/>
    <cellStyle name="Comma 13 3 4" xfId="221"/>
    <cellStyle name="Comma 13 3 5" xfId="222"/>
    <cellStyle name="Comma 13 4" xfId="223"/>
    <cellStyle name="Comma 13 4 2" xfId="224"/>
    <cellStyle name="Comma 13 4 3" xfId="225"/>
    <cellStyle name="Comma 13 4 4" xfId="226"/>
    <cellStyle name="Comma 13 4 5" xfId="227"/>
    <cellStyle name="Comma 13 5" xfId="228"/>
    <cellStyle name="Comma 13 6" xfId="229"/>
    <cellStyle name="Comma 13 7" xfId="230"/>
    <cellStyle name="Comma 14" xfId="231"/>
    <cellStyle name="Comma 14 2" xfId="232"/>
    <cellStyle name="Comma 15" xfId="233"/>
    <cellStyle name="Comma 15 2" xfId="234"/>
    <cellStyle name="Comma 16" xfId="235"/>
    <cellStyle name="Comma 16 2" xfId="236"/>
    <cellStyle name="Comma 16 2 2" xfId="237"/>
    <cellStyle name="Comma 16 2 3" xfId="238"/>
    <cellStyle name="Comma 16 2 4" xfId="239"/>
    <cellStyle name="Comma 16 2 5" xfId="240"/>
    <cellStyle name="Comma 16 3" xfId="241"/>
    <cellStyle name="Comma 16 3 2" xfId="242"/>
    <cellStyle name="Comma 16 3 3" xfId="243"/>
    <cellStyle name="Comma 16 3 4" xfId="244"/>
    <cellStyle name="Comma 16 3 5" xfId="245"/>
    <cellStyle name="Comma 16 4" xfId="246"/>
    <cellStyle name="Comma 16 5" xfId="247"/>
    <cellStyle name="Comma 16 6" xfId="248"/>
    <cellStyle name="Comma 17" xfId="249"/>
    <cellStyle name="Comma 17 2" xfId="250"/>
    <cellStyle name="Comma 17 2 2" xfId="251"/>
    <cellStyle name="Comma 17 2 3" xfId="252"/>
    <cellStyle name="Comma 17 2 4" xfId="253"/>
    <cellStyle name="Comma 17 2 5" xfId="254"/>
    <cellStyle name="Comma 17 3" xfId="255"/>
    <cellStyle name="Comma 17 4" xfId="256"/>
    <cellStyle name="Comma 17 5" xfId="257"/>
    <cellStyle name="Comma 17 6" xfId="258"/>
    <cellStyle name="Comma 17 7" xfId="259"/>
    <cellStyle name="Comma 18" xfId="260"/>
    <cellStyle name="Comma 18 2" xfId="261"/>
    <cellStyle name="Comma 18 3" xfId="262"/>
    <cellStyle name="Comma 18 4" xfId="263"/>
    <cellStyle name="Comma 18 5" xfId="264"/>
    <cellStyle name="Comma 19" xfId="265"/>
    <cellStyle name="Comma 2" xfId="20"/>
    <cellStyle name="Comma 2 2" xfId="266"/>
    <cellStyle name="Comma 2 2 2" xfId="267"/>
    <cellStyle name="Comma 2 2 2 2" xfId="268"/>
    <cellStyle name="Comma 2 2 3" xfId="269"/>
    <cellStyle name="Comma 2 2 3 2" xfId="270"/>
    <cellStyle name="Comma 2 2 4" xfId="271"/>
    <cellStyle name="Comma 2 3" xfId="272"/>
    <cellStyle name="Comma 2 3 2" xfId="273"/>
    <cellStyle name="Comma 2 3 2 2" xfId="274"/>
    <cellStyle name="Comma 2 3 2 2 2" xfId="275"/>
    <cellStyle name="Comma 2 3 2 3" xfId="276"/>
    <cellStyle name="Comma 2 3 3" xfId="277"/>
    <cellStyle name="Comma 2 4" xfId="278"/>
    <cellStyle name="Comma 2 4 2" xfId="279"/>
    <cellStyle name="Comma 2 5" xfId="280"/>
    <cellStyle name="Comma 2 5 2" xfId="281"/>
    <cellStyle name="Comma 2 6" xfId="13"/>
    <cellStyle name="Comma 2 6 2" xfId="617"/>
    <cellStyle name="Comma 2 7" xfId="282"/>
    <cellStyle name="Comma 2 7 2" xfId="619"/>
    <cellStyle name="Comma 20" xfId="10"/>
    <cellStyle name="Comma 20 2" xfId="283"/>
    <cellStyle name="Comma 20 3" xfId="284"/>
    <cellStyle name="Comma 20 4" xfId="285"/>
    <cellStyle name="Comma 20 5" xfId="286"/>
    <cellStyle name="Comma 20 6" xfId="616"/>
    <cellStyle name="Comma 21" xfId="287"/>
    <cellStyle name="Comma 21 2" xfId="288"/>
    <cellStyle name="Comma 22" xfId="17"/>
    <cellStyle name="Comma 22 2" xfId="618"/>
    <cellStyle name="Comma 3" xfId="289"/>
    <cellStyle name="Comma 3 2" xfId="290"/>
    <cellStyle name="Comma 3 2 2" xfId="291"/>
    <cellStyle name="Comma 3 3" xfId="292"/>
    <cellStyle name="Comma 3 3 2" xfId="293"/>
    <cellStyle name="Comma 3 3 3" xfId="294"/>
    <cellStyle name="Comma 3 3 4" xfId="295"/>
    <cellStyle name="Comma 3 3 5" xfId="296"/>
    <cellStyle name="Comma 3 4" xfId="297"/>
    <cellStyle name="Comma 4" xfId="298"/>
    <cellStyle name="Comma 4 2" xfId="299"/>
    <cellStyle name="Comma 4 2 2" xfId="300"/>
    <cellStyle name="Comma 4 3" xfId="301"/>
    <cellStyle name="Comma 4 3 2" xfId="302"/>
    <cellStyle name="Comma 4 4" xfId="303"/>
    <cellStyle name="Comma 4 5" xfId="304"/>
    <cellStyle name="Comma 4 5 2" xfId="620"/>
    <cellStyle name="Comma 5" xfId="8"/>
    <cellStyle name="Comma 5 2" xfId="305"/>
    <cellStyle name="Comma 5 2 2" xfId="306"/>
    <cellStyle name="Comma 5 2 2 2" xfId="307"/>
    <cellStyle name="Comma 5 2 3" xfId="308"/>
    <cellStyle name="Comma 5 3" xfId="309"/>
    <cellStyle name="Comma 6" xfId="310"/>
    <cellStyle name="Comma 6 2" xfId="311"/>
    <cellStyle name="Comma 6 2 2" xfId="312"/>
    <cellStyle name="Comma 6 2 2 2" xfId="313"/>
    <cellStyle name="Comma 6 2 3" xfId="314"/>
    <cellStyle name="Comma 6 3" xfId="315"/>
    <cellStyle name="Comma 6 3 2" xfId="316"/>
    <cellStyle name="Comma 6 4" xfId="317"/>
    <cellStyle name="Comma 6 4 2" xfId="318"/>
    <cellStyle name="Comma 6 4 2 2" xfId="319"/>
    <cellStyle name="Comma 6 4 2 3" xfId="320"/>
    <cellStyle name="Comma 6 4 2 4" xfId="321"/>
    <cellStyle name="Comma 6 4 2 5" xfId="322"/>
    <cellStyle name="Comma 6 4 3" xfId="323"/>
    <cellStyle name="Comma 6 4 4" xfId="324"/>
    <cellStyle name="Comma 6 4 5" xfId="325"/>
    <cellStyle name="Comma 6 4 6" xfId="326"/>
    <cellStyle name="Comma 6 4 7" xfId="327"/>
    <cellStyle name="Comma 6 5" xfId="328"/>
    <cellStyle name="Comma 6 5 2" xfId="329"/>
    <cellStyle name="Comma 6 6" xfId="330"/>
    <cellStyle name="Comma 6 6 2" xfId="621"/>
    <cellStyle name="Comma 6_Obligations" xfId="331"/>
    <cellStyle name="Comma 7" xfId="332"/>
    <cellStyle name="Comma 7 2" xfId="333"/>
    <cellStyle name="Comma 7 2 2" xfId="334"/>
    <cellStyle name="Comma 7 3" xfId="335"/>
    <cellStyle name="Comma 7 3 2" xfId="336"/>
    <cellStyle name="Comma 7 3 2 2" xfId="337"/>
    <cellStyle name="Comma 7 3 2 3" xfId="338"/>
    <cellStyle name="Comma 7 3 2 4" xfId="339"/>
    <cellStyle name="Comma 7 3 2 5" xfId="340"/>
    <cellStyle name="Comma 7 3 3" xfId="341"/>
    <cellStyle name="Comma 7 3 4" xfId="342"/>
    <cellStyle name="Comma 7 3 5" xfId="343"/>
    <cellStyle name="Comma 7 3 6" xfId="344"/>
    <cellStyle name="Comma 7 3 7" xfId="345"/>
    <cellStyle name="Comma 7 4" xfId="346"/>
    <cellStyle name="Comma 7 4 2" xfId="347"/>
    <cellStyle name="Comma 7 4 2 2" xfId="348"/>
    <cellStyle name="Comma 7 4 2 3" xfId="349"/>
    <cellStyle name="Comma 7 4 2 4" xfId="350"/>
    <cellStyle name="Comma 7 4 2 5" xfId="351"/>
    <cellStyle name="Comma 7 4 3" xfId="352"/>
    <cellStyle name="Comma 7 4 4" xfId="353"/>
    <cellStyle name="Comma 7 4 5" xfId="354"/>
    <cellStyle name="Comma 7 4 6" xfId="355"/>
    <cellStyle name="Comma 7 4 7" xfId="356"/>
    <cellStyle name="Comma 7 5" xfId="357"/>
    <cellStyle name="Comma 7 5 2" xfId="358"/>
    <cellStyle name="Comma 7 5 3" xfId="359"/>
    <cellStyle name="Comma 7 5 4" xfId="360"/>
    <cellStyle name="Comma 7 5 5" xfId="361"/>
    <cellStyle name="Comma 7 6" xfId="362"/>
    <cellStyle name="Comma 7 7" xfId="363"/>
    <cellStyle name="Comma 7 8" xfId="364"/>
    <cellStyle name="Comma 7_Obligations" xfId="365"/>
    <cellStyle name="Comma 8" xfId="366"/>
    <cellStyle name="Comma 8 2" xfId="367"/>
    <cellStyle name="Comma 8 2 2" xfId="368"/>
    <cellStyle name="Comma 8 3" xfId="369"/>
    <cellStyle name="Comma 8_Obligations" xfId="370"/>
    <cellStyle name="Comma 9" xfId="371"/>
    <cellStyle name="Comma 9 2" xfId="372"/>
    <cellStyle name="Comma 9 2 2" xfId="373"/>
    <cellStyle name="Comma 9 3" xfId="374"/>
    <cellStyle name="Comma 9 3 2" xfId="375"/>
    <cellStyle name="Comma 9 3 3" xfId="376"/>
    <cellStyle name="Comma 9 3 4" xfId="377"/>
    <cellStyle name="Comma 9 3 5" xfId="378"/>
    <cellStyle name="Comma 9 4" xfId="379"/>
    <cellStyle name="Comma 9 5" xfId="380"/>
    <cellStyle name="Comma 9 6" xfId="381"/>
    <cellStyle name="Comma 9 7" xfId="382"/>
    <cellStyle name="Comma 9 8" xfId="383"/>
    <cellStyle name="Comma 9_Obligations" xfId="384"/>
    <cellStyle name="Currency 2" xfId="385"/>
    <cellStyle name="Currency 2 2" xfId="386"/>
    <cellStyle name="Currency 2 2 2" xfId="387"/>
    <cellStyle name="Currency 2 3" xfId="388"/>
    <cellStyle name="Currency 2 4" xfId="389"/>
    <cellStyle name="Currency 2 5" xfId="390"/>
    <cellStyle name="Currency 2 6" xfId="391"/>
    <cellStyle name="Currency 2 7" xfId="392"/>
    <cellStyle name="Excel Built-in Normal" xfId="393"/>
    <cellStyle name="Excel Built-in Normal 2" xfId="394"/>
    <cellStyle name="Excel Built-in Normal 3" xfId="395"/>
    <cellStyle name="Excel Built-in Normal 4" xfId="396"/>
    <cellStyle name="Excel Built-in Normal 5" xfId="397"/>
    <cellStyle name="Excel Built-in Normal 6" xfId="398"/>
    <cellStyle name="Explanatory Text 2" xfId="399"/>
    <cellStyle name="Explanatory Text 2 2" xfId="400"/>
    <cellStyle name="Good 2" xfId="401"/>
    <cellStyle name="Good 2 2" xfId="402"/>
    <cellStyle name="Heading 1 2" xfId="403"/>
    <cellStyle name="Heading 1 2 2" xfId="404"/>
    <cellStyle name="Heading 2 2" xfId="405"/>
    <cellStyle name="Heading 2 2 2" xfId="406"/>
    <cellStyle name="Heading 3 2" xfId="407"/>
    <cellStyle name="Heading 3 2 2" xfId="408"/>
    <cellStyle name="Heading 4 2" xfId="409"/>
    <cellStyle name="Heading 4 2 2" xfId="410"/>
    <cellStyle name="Input 2" xfId="411"/>
    <cellStyle name="Input 2 2" xfId="412"/>
    <cellStyle name="Input 2 3" xfId="413"/>
    <cellStyle name="Linked Cell 2" xfId="414"/>
    <cellStyle name="Linked Cell 2 2" xfId="415"/>
    <cellStyle name="Neutral 2" xfId="416"/>
    <cellStyle name="Neutral 2 2" xfId="417"/>
    <cellStyle name="Normal" xfId="0" builtinId="0"/>
    <cellStyle name="Normal 10" xfId="418"/>
    <cellStyle name="Normal 10 2" xfId="419"/>
    <cellStyle name="Normal 11" xfId="420"/>
    <cellStyle name="Normal 11 2" xfId="622"/>
    <cellStyle name="Normal 12 2" xfId="421"/>
    <cellStyle name="Normal 12 3" xfId="422"/>
    <cellStyle name="Normal 12 4" xfId="423"/>
    <cellStyle name="Normal 12 5" xfId="424"/>
    <cellStyle name="Normal 2" xfId="18"/>
    <cellStyle name="Normal 2 2" xfId="425"/>
    <cellStyle name="Normal 2 2 2" xfId="426"/>
    <cellStyle name="Normal 2 3" xfId="427"/>
    <cellStyle name="Normal 2 3 2" xfId="428"/>
    <cellStyle name="Normal 2 4" xfId="429"/>
    <cellStyle name="Normal 3" xfId="16"/>
    <cellStyle name="Normal 3 2" xfId="430"/>
    <cellStyle name="Normal 3 2 2" xfId="431"/>
    <cellStyle name="Normal 3 3" xfId="432"/>
    <cellStyle name="Normal 3 3 2" xfId="433"/>
    <cellStyle name="Normal 3 4" xfId="434"/>
    <cellStyle name="Normal 3 5" xfId="435"/>
    <cellStyle name="Normal 3 5 2" xfId="623"/>
    <cellStyle name="Normal 4" xfId="436"/>
    <cellStyle name="Normal 4 2" xfId="437"/>
    <cellStyle name="Normal 5" xfId="9"/>
    <cellStyle name="Normal 5 2" xfId="438"/>
    <cellStyle name="Normal 5 2 2" xfId="439"/>
    <cellStyle name="Normal 5 2 2 2" xfId="440"/>
    <cellStyle name="Normal 5 2 2 3" xfId="441"/>
    <cellStyle name="Normal 5 2 2 4" xfId="442"/>
    <cellStyle name="Normal 5 2 2 5" xfId="443"/>
    <cellStyle name="Normal 5 2 3" xfId="444"/>
    <cellStyle name="Normal 5 2 3 2" xfId="624"/>
    <cellStyle name="Normal 5 2 4" xfId="445"/>
    <cellStyle name="Normal 5 2 4 2" xfId="625"/>
    <cellStyle name="Normal 5 2 5" xfId="446"/>
    <cellStyle name="Normal 5 2 5 2" xfId="626"/>
    <cellStyle name="Normal 5 2 6" xfId="447"/>
    <cellStyle name="Normal 5 2 6 2" xfId="627"/>
    <cellStyle name="Normal 5 2 7" xfId="448"/>
    <cellStyle name="Normal 5 3" xfId="449"/>
    <cellStyle name="Normal 5 4" xfId="450"/>
    <cellStyle name="Normal 5 4 2" xfId="628"/>
    <cellStyle name="Normal 5 5" xfId="451"/>
    <cellStyle name="Normal 5 5 2" xfId="629"/>
    <cellStyle name="Normal 5 6" xfId="452"/>
    <cellStyle name="Normal 5 6 2" xfId="630"/>
    <cellStyle name="Normal 5 7" xfId="453"/>
    <cellStyle name="Normal 5 7 2" xfId="631"/>
    <cellStyle name="Normal 6" xfId="454"/>
    <cellStyle name="Normal 6 2" xfId="455"/>
    <cellStyle name="Normal 6 2 2" xfId="456"/>
    <cellStyle name="Normal 6 2 2 2" xfId="457"/>
    <cellStyle name="Normal 6 2 2 3" xfId="458"/>
    <cellStyle name="Normal 6 2 2 4" xfId="459"/>
    <cellStyle name="Normal 6 2 2 5" xfId="460"/>
    <cellStyle name="Normal 6 2 3" xfId="461"/>
    <cellStyle name="Normal 6 2 3 2" xfId="632"/>
    <cellStyle name="Normal 6 2 4" xfId="462"/>
    <cellStyle name="Normal 6 2 4 2" xfId="633"/>
    <cellStyle name="Normal 6 2 5" xfId="463"/>
    <cellStyle name="Normal 6 2 5 2" xfId="634"/>
    <cellStyle name="Normal 6 2 6" xfId="464"/>
    <cellStyle name="Normal 6 2 6 2" xfId="635"/>
    <cellStyle name="Normal 6 2 7" xfId="465"/>
    <cellStyle name="Normal 6 3" xfId="466"/>
    <cellStyle name="Normal 6 3 2" xfId="467"/>
    <cellStyle name="Normal 6 3 2 2" xfId="468"/>
    <cellStyle name="Normal 6 3 2 3" xfId="469"/>
    <cellStyle name="Normal 6 3 2 4" xfId="470"/>
    <cellStyle name="Normal 6 3 2 5" xfId="471"/>
    <cellStyle name="Normal 6 3 3" xfId="472"/>
    <cellStyle name="Normal 6 3 3 2" xfId="636"/>
    <cellStyle name="Normal 6 3 4" xfId="473"/>
    <cellStyle name="Normal 6 3 4 2" xfId="637"/>
    <cellStyle name="Normal 6 3 5" xfId="474"/>
    <cellStyle name="Normal 6 3 5 2" xfId="638"/>
    <cellStyle name="Normal 6 3 6" xfId="475"/>
    <cellStyle name="Normal 6 3 6 2" xfId="639"/>
    <cellStyle name="Normal 6 3 7" xfId="476"/>
    <cellStyle name="Normal 6 4" xfId="477"/>
    <cellStyle name="Normal 6 4 2" xfId="478"/>
    <cellStyle name="Normal 6 4 3" xfId="479"/>
    <cellStyle name="Normal 6 4 4" xfId="480"/>
    <cellStyle name="Normal 6 4 5" xfId="481"/>
    <cellStyle name="Normal 6 4 6" xfId="640"/>
    <cellStyle name="Normal 6 5" xfId="482"/>
    <cellStyle name="Normal 6 5 2" xfId="641"/>
    <cellStyle name="Normal 6 6" xfId="483"/>
    <cellStyle name="Normal 6 6 2" xfId="642"/>
    <cellStyle name="Normal 6 7" xfId="484"/>
    <cellStyle name="Normal 6 7 2" xfId="643"/>
    <cellStyle name="Normal 6_Obligations" xfId="485"/>
    <cellStyle name="Normal 7" xfId="486"/>
    <cellStyle name="Normal 7 2" xfId="487"/>
    <cellStyle name="Normal 7 2 2" xfId="488"/>
    <cellStyle name="Normal 7 3" xfId="489"/>
    <cellStyle name="Normal 7 3 2" xfId="490"/>
    <cellStyle name="Normal 7 3 2 2" xfId="491"/>
    <cellStyle name="Normal 7 3 2 3" xfId="492"/>
    <cellStyle name="Normal 7 3 2 4" xfId="493"/>
    <cellStyle name="Normal 7 3 2 5" xfId="494"/>
    <cellStyle name="Normal 7 3 3" xfId="495"/>
    <cellStyle name="Normal 7 3 3 2" xfId="644"/>
    <cellStyle name="Normal 7 3 4" xfId="496"/>
    <cellStyle name="Normal 7 3 4 2" xfId="645"/>
    <cellStyle name="Normal 7 3 5" xfId="497"/>
    <cellStyle name="Normal 7 3 5 2" xfId="646"/>
    <cellStyle name="Normal 7 3 6" xfId="498"/>
    <cellStyle name="Normal 7 3 6 2" xfId="647"/>
    <cellStyle name="Normal 7 3 7" xfId="499"/>
    <cellStyle name="Normal 7 4" xfId="500"/>
    <cellStyle name="Normal 7 4 2" xfId="501"/>
    <cellStyle name="Normal 7 4 3" xfId="502"/>
    <cellStyle name="Normal 7 4 4" xfId="503"/>
    <cellStyle name="Normal 7 4 5" xfId="504"/>
    <cellStyle name="Normal 7 5" xfId="505"/>
    <cellStyle name="Normal 7 6" xfId="506"/>
    <cellStyle name="Normal 7 7" xfId="507"/>
    <cellStyle name="Normal 7 8" xfId="508"/>
    <cellStyle name="Normal 7 9" xfId="509"/>
    <cellStyle name="Normal 8" xfId="510"/>
    <cellStyle name="Normal 8 2" xfId="511"/>
    <cellStyle name="Normal 8 2 2" xfId="512"/>
    <cellStyle name="Normal 8 2 2 2" xfId="513"/>
    <cellStyle name="Normal 8 2 2 3" xfId="514"/>
    <cellStyle name="Normal 8 2 2 4" xfId="515"/>
    <cellStyle name="Normal 8 2 2 5" xfId="516"/>
    <cellStyle name="Normal 8 2 3" xfId="517"/>
    <cellStyle name="Normal 8 2 3 2" xfId="648"/>
    <cellStyle name="Normal 8 2 4" xfId="518"/>
    <cellStyle name="Normal 8 2 4 2" xfId="649"/>
    <cellStyle name="Normal 8 2 5" xfId="519"/>
    <cellStyle name="Normal 8 2 5 2" xfId="650"/>
    <cellStyle name="Normal 8 2 6" xfId="520"/>
    <cellStyle name="Normal 8 2 6 2" xfId="651"/>
    <cellStyle name="Normal 8 2 7" xfId="521"/>
    <cellStyle name="Normal 8 3" xfId="522"/>
    <cellStyle name="Normal 9" xfId="523"/>
    <cellStyle name="Normal 9 2" xfId="524"/>
    <cellStyle name="Normal 9 2 2" xfId="525"/>
    <cellStyle name="Normal 9 3" xfId="526"/>
    <cellStyle name="Normal 9 3 2" xfId="527"/>
    <cellStyle name="Normal 9 3 3" xfId="528"/>
    <cellStyle name="Normal 9 3 4" xfId="529"/>
    <cellStyle name="Normal 9 3 5" xfId="530"/>
    <cellStyle name="Normal 9 4" xfId="531"/>
    <cellStyle name="Normal 9 5" xfId="532"/>
    <cellStyle name="Normal 9 6" xfId="533"/>
    <cellStyle name="Normal 9 7" xfId="534"/>
    <cellStyle name="Normal_Book4" xfId="4"/>
    <cellStyle name="Normal_Detailed Fund U Aug2014 -full allotment" xfId="6"/>
    <cellStyle name="Normal_far 1 as of december 31, 2014" xfId="5"/>
    <cellStyle name="Normal_far 1 as of december 31, 2014-continuing appro" xfId="11"/>
    <cellStyle name="Normal_far 1-a as of december 31, 2014" xfId="14"/>
    <cellStyle name="Normal_far 1-b as of december 31, 2014" xfId="19"/>
    <cellStyle name="Normal_fpr" xfId="3"/>
    <cellStyle name="Normal_MGB-CO Work Plan 3.9.11 frm email" xfId="7"/>
    <cellStyle name="Normal_r7" xfId="15"/>
    <cellStyle name="Note 2" xfId="535"/>
    <cellStyle name="Note 2 2" xfId="536"/>
    <cellStyle name="Note 2 3" xfId="537"/>
    <cellStyle name="Note 3" xfId="538"/>
    <cellStyle name="Note 3 2" xfId="539"/>
    <cellStyle name="Output 2" xfId="540"/>
    <cellStyle name="Output 2 2" xfId="541"/>
    <cellStyle name="Output 2 3" xfId="542"/>
    <cellStyle name="Percent" xfId="2" builtinId="5"/>
    <cellStyle name="Percent 10 2" xfId="543"/>
    <cellStyle name="Percent 10 3" xfId="544"/>
    <cellStyle name="Percent 10 4" xfId="545"/>
    <cellStyle name="Percent 10 5" xfId="546"/>
    <cellStyle name="Percent 2" xfId="547"/>
    <cellStyle name="Percent 2 2" xfId="548"/>
    <cellStyle name="Percent 3" xfId="549"/>
    <cellStyle name="Percent 3 2" xfId="550"/>
    <cellStyle name="Percent 4" xfId="551"/>
    <cellStyle name="Percent 4 2" xfId="552"/>
    <cellStyle name="Percent 4 2 2" xfId="553"/>
    <cellStyle name="Percent 4 3" xfId="554"/>
    <cellStyle name="Percent 4 3 2" xfId="555"/>
    <cellStyle name="Percent 4 3 3" xfId="556"/>
    <cellStyle name="Percent 4 3 4" xfId="557"/>
    <cellStyle name="Percent 4 3 5" xfId="558"/>
    <cellStyle name="Percent 4 4" xfId="559"/>
    <cellStyle name="Percent 4 5" xfId="560"/>
    <cellStyle name="Percent 4 6" xfId="561"/>
    <cellStyle name="Percent 5" xfId="562"/>
    <cellStyle name="Percent 5 2" xfId="563"/>
    <cellStyle name="Percent 5 2 2" xfId="564"/>
    <cellStyle name="Percent 5 2 2 2" xfId="565"/>
    <cellStyle name="Percent 5 2 2 3" xfId="566"/>
    <cellStyle name="Percent 5 2 2 4" xfId="567"/>
    <cellStyle name="Percent 5 2 2 5" xfId="568"/>
    <cellStyle name="Percent 5 2 3" xfId="569"/>
    <cellStyle name="Percent 5 2 4" xfId="570"/>
    <cellStyle name="Percent 5 2 5" xfId="571"/>
    <cellStyle name="Percent 5 2 6" xfId="572"/>
    <cellStyle name="Percent 5 2 7" xfId="573"/>
    <cellStyle name="Percent 5 3" xfId="574"/>
    <cellStyle name="Percent 5 3 2" xfId="575"/>
    <cellStyle name="Percent 5 3 3" xfId="576"/>
    <cellStyle name="Percent 5 3 4" xfId="577"/>
    <cellStyle name="Percent 5 3 5" xfId="578"/>
    <cellStyle name="Percent 5 4" xfId="579"/>
    <cellStyle name="Percent 5 4 2" xfId="580"/>
    <cellStyle name="Percent 5 4 3" xfId="581"/>
    <cellStyle name="Percent 5 4 4" xfId="582"/>
    <cellStyle name="Percent 5 4 5" xfId="583"/>
    <cellStyle name="Percent 5 5" xfId="584"/>
    <cellStyle name="Percent 5 6" xfId="585"/>
    <cellStyle name="Percent 5 7" xfId="586"/>
    <cellStyle name="Percent 6" xfId="587"/>
    <cellStyle name="Percent 6 2" xfId="588"/>
    <cellStyle name="Percent 6 2 2" xfId="589"/>
    <cellStyle name="Percent 6 2 3" xfId="590"/>
    <cellStyle name="Percent 6 2 4" xfId="591"/>
    <cellStyle name="Percent 6 2 5" xfId="592"/>
    <cellStyle name="Percent 6 3" xfId="593"/>
    <cellStyle name="Percent 6 3 2" xfId="594"/>
    <cellStyle name="Percent 6 3 3" xfId="595"/>
    <cellStyle name="Percent 6 3 4" xfId="596"/>
    <cellStyle name="Percent 6 3 5" xfId="597"/>
    <cellStyle name="Percent 6 4" xfId="598"/>
    <cellStyle name="Percent 6 5" xfId="599"/>
    <cellStyle name="Percent 6 6" xfId="600"/>
    <cellStyle name="Percent 7" xfId="601"/>
    <cellStyle name="Percent 7 2" xfId="602"/>
    <cellStyle name="Percent 8" xfId="603"/>
    <cellStyle name="Percent 8 2" xfId="604"/>
    <cellStyle name="Percent 8 2 2" xfId="605"/>
    <cellStyle name="Percent 8 3" xfId="606"/>
    <cellStyle name="Percent 8 3 2" xfId="652"/>
    <cellStyle name="Percent 9" xfId="607"/>
    <cellStyle name="Title 2" xfId="608"/>
    <cellStyle name="Title 2 2" xfId="609"/>
    <cellStyle name="Total 2" xfId="610"/>
    <cellStyle name="Total 2 2" xfId="611"/>
    <cellStyle name="Total 2 3" xfId="612"/>
    <cellStyle name="v" xfId="613"/>
    <cellStyle name="Warning Text 2" xfId="614"/>
    <cellStyle name="Warning Text 2 2" xfId="6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2586878</xdr:colOff>
      <xdr:row>104</xdr:row>
      <xdr:rowOff>166913</xdr:rowOff>
    </xdr:from>
    <xdr:to>
      <xdr:col>4</xdr:col>
      <xdr:colOff>2621168</xdr:colOff>
      <xdr:row>105</xdr:row>
      <xdr:rowOff>23020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 flipH="1">
          <a:off x="4739528" y="17388113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3866</xdr:rowOff>
    </xdr:from>
    <xdr:to>
      <xdr:col>4</xdr:col>
      <xdr:colOff>2621168</xdr:colOff>
      <xdr:row>105</xdr:row>
      <xdr:rowOff>5550</xdr:rowOff>
    </xdr:to>
    <xdr:sp macro="" textlink="">
      <xdr:nvSpPr>
        <xdr:cNvPr id="9" name="Text Box 12"/>
        <xdr:cNvSpPr txBox="1">
          <a:spLocks noChangeArrowheads="1"/>
        </xdr:cNvSpPr>
      </xdr:nvSpPr>
      <xdr:spPr bwMode="auto">
        <a:xfrm flipH="1">
          <a:off x="4739528" y="17396516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2621168</xdr:colOff>
      <xdr:row>105</xdr:row>
      <xdr:rowOff>5203</xdr:rowOff>
    </xdr:to>
    <xdr:sp macro="" textlink="">
      <xdr:nvSpPr>
        <xdr:cNvPr id="10" name="Text Box 14"/>
        <xdr:cNvSpPr txBox="1">
          <a:spLocks noChangeArrowheads="1"/>
        </xdr:cNvSpPr>
      </xdr:nvSpPr>
      <xdr:spPr bwMode="auto">
        <a:xfrm flipH="1">
          <a:off x="4739528" y="17397551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2621168</xdr:colOff>
      <xdr:row>105</xdr:row>
      <xdr:rowOff>5202</xdr:rowOff>
    </xdr:to>
    <xdr:sp macro="" textlink="">
      <xdr:nvSpPr>
        <xdr:cNvPr id="11" name="Text Box 16"/>
        <xdr:cNvSpPr txBox="1">
          <a:spLocks noChangeArrowheads="1"/>
        </xdr:cNvSpPr>
      </xdr:nvSpPr>
      <xdr:spPr bwMode="auto">
        <a:xfrm flipH="1">
          <a:off x="4739528" y="17397551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1962</xdr:rowOff>
    </xdr:from>
    <xdr:to>
      <xdr:col>4</xdr:col>
      <xdr:colOff>2621168</xdr:colOff>
      <xdr:row>105</xdr:row>
      <xdr:rowOff>2271</xdr:rowOff>
    </xdr:to>
    <xdr:sp macro="" textlink="">
      <xdr:nvSpPr>
        <xdr:cNvPr id="12" name="Text Box 12"/>
        <xdr:cNvSpPr txBox="1">
          <a:spLocks noChangeArrowheads="1"/>
        </xdr:cNvSpPr>
      </xdr:nvSpPr>
      <xdr:spPr bwMode="auto">
        <a:xfrm flipH="1">
          <a:off x="4739528" y="17394612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1813</xdr:rowOff>
    </xdr:from>
    <xdr:to>
      <xdr:col>4</xdr:col>
      <xdr:colOff>2621168</xdr:colOff>
      <xdr:row>105</xdr:row>
      <xdr:rowOff>14857</xdr:rowOff>
    </xdr:to>
    <xdr:sp macro="" textlink="">
      <xdr:nvSpPr>
        <xdr:cNvPr id="13" name="Text Box 4"/>
        <xdr:cNvSpPr txBox="1">
          <a:spLocks noChangeArrowheads="1"/>
        </xdr:cNvSpPr>
      </xdr:nvSpPr>
      <xdr:spPr bwMode="auto">
        <a:xfrm flipH="1">
          <a:off x="4739528" y="17394463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28575</xdr:colOff>
      <xdr:row>76</xdr:row>
      <xdr:rowOff>9525</xdr:rowOff>
    </xdr:to>
    <xdr:sp macro="" textlink="">
      <xdr:nvSpPr>
        <xdr:cNvPr id="16" name="Text Box 4"/>
        <xdr:cNvSpPr txBox="1">
          <a:spLocks noChangeArrowheads="1"/>
        </xdr:cNvSpPr>
      </xdr:nvSpPr>
      <xdr:spPr bwMode="auto">
        <a:xfrm flipH="1">
          <a:off x="4743450" y="124206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2621168</xdr:colOff>
      <xdr:row>76</xdr:row>
      <xdr:rowOff>33129</xdr:rowOff>
    </xdr:to>
    <xdr:sp macro="" textlink="">
      <xdr:nvSpPr>
        <xdr:cNvPr id="17" name="Text Box 12"/>
        <xdr:cNvSpPr txBox="1">
          <a:spLocks noChangeArrowheads="1"/>
        </xdr:cNvSpPr>
      </xdr:nvSpPr>
      <xdr:spPr bwMode="auto">
        <a:xfrm flipH="1">
          <a:off x="4739528" y="124306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34377</xdr:rowOff>
    </xdr:to>
    <xdr:sp macro="" textlink="">
      <xdr:nvSpPr>
        <xdr:cNvPr id="18" name="Text Box 14"/>
        <xdr:cNvSpPr txBox="1">
          <a:spLocks noChangeArrowheads="1"/>
        </xdr:cNvSpPr>
      </xdr:nvSpPr>
      <xdr:spPr bwMode="auto">
        <a:xfrm flipH="1">
          <a:off x="4739528" y="124316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34376</xdr:rowOff>
    </xdr:to>
    <xdr:sp macro="" textlink="">
      <xdr:nvSpPr>
        <xdr:cNvPr id="19" name="Text Box 16"/>
        <xdr:cNvSpPr txBox="1">
          <a:spLocks noChangeArrowheads="1"/>
        </xdr:cNvSpPr>
      </xdr:nvSpPr>
      <xdr:spPr bwMode="auto">
        <a:xfrm flipH="1">
          <a:off x="4739528" y="124316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2621168</xdr:colOff>
      <xdr:row>76</xdr:row>
      <xdr:rowOff>3063</xdr:rowOff>
    </xdr:to>
    <xdr:sp macro="" textlink="">
      <xdr:nvSpPr>
        <xdr:cNvPr id="20" name="Text Box 12"/>
        <xdr:cNvSpPr txBox="1">
          <a:spLocks noChangeArrowheads="1"/>
        </xdr:cNvSpPr>
      </xdr:nvSpPr>
      <xdr:spPr bwMode="auto">
        <a:xfrm flipH="1">
          <a:off x="4739528" y="124192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2621168</xdr:colOff>
      <xdr:row>76</xdr:row>
      <xdr:rowOff>34736</xdr:rowOff>
    </xdr:to>
    <xdr:sp macro="" textlink="">
      <xdr:nvSpPr>
        <xdr:cNvPr id="21" name="Text Box 4"/>
        <xdr:cNvSpPr txBox="1">
          <a:spLocks noChangeArrowheads="1"/>
        </xdr:cNvSpPr>
      </xdr:nvSpPr>
      <xdr:spPr bwMode="auto">
        <a:xfrm flipH="1">
          <a:off x="4739528" y="124285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28575</xdr:colOff>
      <xdr:row>76</xdr:row>
      <xdr:rowOff>9525</xdr:rowOff>
    </xdr:to>
    <xdr:sp macro="" textlink="">
      <xdr:nvSpPr>
        <xdr:cNvPr id="24" name="Text Box 4"/>
        <xdr:cNvSpPr txBox="1">
          <a:spLocks noChangeArrowheads="1"/>
        </xdr:cNvSpPr>
      </xdr:nvSpPr>
      <xdr:spPr bwMode="auto">
        <a:xfrm flipH="1">
          <a:off x="4743450" y="124206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2621168</xdr:colOff>
      <xdr:row>76</xdr:row>
      <xdr:rowOff>33129</xdr:rowOff>
    </xdr:to>
    <xdr:sp macro="" textlink="">
      <xdr:nvSpPr>
        <xdr:cNvPr id="25" name="Text Box 12"/>
        <xdr:cNvSpPr txBox="1">
          <a:spLocks noChangeArrowheads="1"/>
        </xdr:cNvSpPr>
      </xdr:nvSpPr>
      <xdr:spPr bwMode="auto">
        <a:xfrm flipH="1">
          <a:off x="4739528" y="124306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34377</xdr:rowOff>
    </xdr:to>
    <xdr:sp macro="" textlink="">
      <xdr:nvSpPr>
        <xdr:cNvPr id="26" name="Text Box 14"/>
        <xdr:cNvSpPr txBox="1">
          <a:spLocks noChangeArrowheads="1"/>
        </xdr:cNvSpPr>
      </xdr:nvSpPr>
      <xdr:spPr bwMode="auto">
        <a:xfrm flipH="1">
          <a:off x="4739528" y="124316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34376</xdr:rowOff>
    </xdr:to>
    <xdr:sp macro="" textlink="">
      <xdr:nvSpPr>
        <xdr:cNvPr id="27" name="Text Box 16"/>
        <xdr:cNvSpPr txBox="1">
          <a:spLocks noChangeArrowheads="1"/>
        </xdr:cNvSpPr>
      </xdr:nvSpPr>
      <xdr:spPr bwMode="auto">
        <a:xfrm flipH="1">
          <a:off x="4739528" y="124316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2621168</xdr:colOff>
      <xdr:row>76</xdr:row>
      <xdr:rowOff>3063</xdr:rowOff>
    </xdr:to>
    <xdr:sp macro="" textlink="">
      <xdr:nvSpPr>
        <xdr:cNvPr id="28" name="Text Box 12"/>
        <xdr:cNvSpPr txBox="1">
          <a:spLocks noChangeArrowheads="1"/>
        </xdr:cNvSpPr>
      </xdr:nvSpPr>
      <xdr:spPr bwMode="auto">
        <a:xfrm flipH="1">
          <a:off x="4739528" y="124192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2621168</xdr:colOff>
      <xdr:row>76</xdr:row>
      <xdr:rowOff>34736</xdr:rowOff>
    </xdr:to>
    <xdr:sp macro="" textlink="">
      <xdr:nvSpPr>
        <xdr:cNvPr id="29" name="Text Box 4"/>
        <xdr:cNvSpPr txBox="1">
          <a:spLocks noChangeArrowheads="1"/>
        </xdr:cNvSpPr>
      </xdr:nvSpPr>
      <xdr:spPr bwMode="auto">
        <a:xfrm flipH="1">
          <a:off x="4739528" y="124285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104</xdr:row>
      <xdr:rowOff>166913</xdr:rowOff>
    </xdr:from>
    <xdr:to>
      <xdr:col>5</xdr:col>
      <xdr:colOff>0</xdr:colOff>
      <xdr:row>105</xdr:row>
      <xdr:rowOff>23020</xdr:rowOff>
    </xdr:to>
    <xdr:sp macro="" textlink="">
      <xdr:nvSpPr>
        <xdr:cNvPr id="36" name="Text Box 4"/>
        <xdr:cNvSpPr txBox="1">
          <a:spLocks noChangeArrowheads="1"/>
        </xdr:cNvSpPr>
      </xdr:nvSpPr>
      <xdr:spPr bwMode="auto">
        <a:xfrm flipH="1">
          <a:off x="4743450" y="17388113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3866</xdr:rowOff>
    </xdr:from>
    <xdr:to>
      <xdr:col>5</xdr:col>
      <xdr:colOff>0</xdr:colOff>
      <xdr:row>105</xdr:row>
      <xdr:rowOff>5550</xdr:rowOff>
    </xdr:to>
    <xdr:sp macro="" textlink="">
      <xdr:nvSpPr>
        <xdr:cNvPr id="37" name="Text Box 12"/>
        <xdr:cNvSpPr txBox="1">
          <a:spLocks noChangeArrowheads="1"/>
        </xdr:cNvSpPr>
      </xdr:nvSpPr>
      <xdr:spPr bwMode="auto">
        <a:xfrm flipH="1">
          <a:off x="4743450" y="17396516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4901</xdr:rowOff>
    </xdr:from>
    <xdr:to>
      <xdr:col>5</xdr:col>
      <xdr:colOff>0</xdr:colOff>
      <xdr:row>105</xdr:row>
      <xdr:rowOff>5203</xdr:rowOff>
    </xdr:to>
    <xdr:sp macro="" textlink="">
      <xdr:nvSpPr>
        <xdr:cNvPr id="38" name="Text Box 14"/>
        <xdr:cNvSpPr txBox="1">
          <a:spLocks noChangeArrowheads="1"/>
        </xdr:cNvSpPr>
      </xdr:nvSpPr>
      <xdr:spPr bwMode="auto">
        <a:xfrm flipH="1">
          <a:off x="4743450" y="17397551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4901</xdr:rowOff>
    </xdr:from>
    <xdr:to>
      <xdr:col>5</xdr:col>
      <xdr:colOff>0</xdr:colOff>
      <xdr:row>105</xdr:row>
      <xdr:rowOff>5202</xdr:rowOff>
    </xdr:to>
    <xdr:sp macro="" textlink="">
      <xdr:nvSpPr>
        <xdr:cNvPr id="39" name="Text Box 16"/>
        <xdr:cNvSpPr txBox="1">
          <a:spLocks noChangeArrowheads="1"/>
        </xdr:cNvSpPr>
      </xdr:nvSpPr>
      <xdr:spPr bwMode="auto">
        <a:xfrm flipH="1">
          <a:off x="4743450" y="17397551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1962</xdr:rowOff>
    </xdr:from>
    <xdr:to>
      <xdr:col>5</xdr:col>
      <xdr:colOff>0</xdr:colOff>
      <xdr:row>105</xdr:row>
      <xdr:rowOff>2271</xdr:rowOff>
    </xdr:to>
    <xdr:sp macro="" textlink="">
      <xdr:nvSpPr>
        <xdr:cNvPr id="40" name="Text Box 12"/>
        <xdr:cNvSpPr txBox="1">
          <a:spLocks noChangeArrowheads="1"/>
        </xdr:cNvSpPr>
      </xdr:nvSpPr>
      <xdr:spPr bwMode="auto">
        <a:xfrm flipH="1">
          <a:off x="4743450" y="17394612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1813</xdr:rowOff>
    </xdr:from>
    <xdr:to>
      <xdr:col>5</xdr:col>
      <xdr:colOff>0</xdr:colOff>
      <xdr:row>105</xdr:row>
      <xdr:rowOff>14857</xdr:rowOff>
    </xdr:to>
    <xdr:sp macro="" textlink="">
      <xdr:nvSpPr>
        <xdr:cNvPr id="41" name="Text Box 4"/>
        <xdr:cNvSpPr txBox="1">
          <a:spLocks noChangeArrowheads="1"/>
        </xdr:cNvSpPr>
      </xdr:nvSpPr>
      <xdr:spPr bwMode="auto">
        <a:xfrm flipH="1">
          <a:off x="4743450" y="17394463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0</xdr:colOff>
      <xdr:row>76</xdr:row>
      <xdr:rowOff>9525</xdr:rowOff>
    </xdr:to>
    <xdr:sp macro="" textlink="">
      <xdr:nvSpPr>
        <xdr:cNvPr id="44" name="Text Box 4"/>
        <xdr:cNvSpPr txBox="1">
          <a:spLocks noChangeArrowheads="1"/>
        </xdr:cNvSpPr>
      </xdr:nvSpPr>
      <xdr:spPr bwMode="auto">
        <a:xfrm flipH="1">
          <a:off x="4743450" y="124206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10029</xdr:rowOff>
    </xdr:from>
    <xdr:to>
      <xdr:col>5</xdr:col>
      <xdr:colOff>0</xdr:colOff>
      <xdr:row>76</xdr:row>
      <xdr:rowOff>33129</xdr:rowOff>
    </xdr:to>
    <xdr:sp macro="" textlink="">
      <xdr:nvSpPr>
        <xdr:cNvPr id="45" name="Text Box 12"/>
        <xdr:cNvSpPr txBox="1">
          <a:spLocks noChangeArrowheads="1"/>
        </xdr:cNvSpPr>
      </xdr:nvSpPr>
      <xdr:spPr bwMode="auto">
        <a:xfrm flipH="1">
          <a:off x="4743450" y="1243062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34377</xdr:rowOff>
    </xdr:to>
    <xdr:sp macro="" textlink="">
      <xdr:nvSpPr>
        <xdr:cNvPr id="46" name="Text Box 14"/>
        <xdr:cNvSpPr txBox="1">
          <a:spLocks noChangeArrowheads="1"/>
        </xdr:cNvSpPr>
      </xdr:nvSpPr>
      <xdr:spPr bwMode="auto">
        <a:xfrm flipH="1">
          <a:off x="4743450" y="1243166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34376</xdr:rowOff>
    </xdr:to>
    <xdr:sp macro="" textlink="">
      <xdr:nvSpPr>
        <xdr:cNvPr id="47" name="Text Box 16"/>
        <xdr:cNvSpPr txBox="1">
          <a:spLocks noChangeArrowheads="1"/>
        </xdr:cNvSpPr>
      </xdr:nvSpPr>
      <xdr:spPr bwMode="auto">
        <a:xfrm flipH="1">
          <a:off x="4743450" y="1243166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75</xdr:row>
      <xdr:rowOff>170050</xdr:rowOff>
    </xdr:from>
    <xdr:to>
      <xdr:col>5</xdr:col>
      <xdr:colOff>0</xdr:colOff>
      <xdr:row>76</xdr:row>
      <xdr:rowOff>3063</xdr:rowOff>
    </xdr:to>
    <xdr:sp macro="" textlink="">
      <xdr:nvSpPr>
        <xdr:cNvPr id="48" name="Text Box 12"/>
        <xdr:cNvSpPr txBox="1">
          <a:spLocks noChangeArrowheads="1"/>
        </xdr:cNvSpPr>
      </xdr:nvSpPr>
      <xdr:spPr bwMode="auto">
        <a:xfrm flipH="1">
          <a:off x="4743450" y="1241920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7976</xdr:rowOff>
    </xdr:from>
    <xdr:to>
      <xdr:col>5</xdr:col>
      <xdr:colOff>0</xdr:colOff>
      <xdr:row>76</xdr:row>
      <xdr:rowOff>34736</xdr:rowOff>
    </xdr:to>
    <xdr:sp macro="" textlink="">
      <xdr:nvSpPr>
        <xdr:cNvPr id="49" name="Text Box 4"/>
        <xdr:cNvSpPr txBox="1">
          <a:spLocks noChangeArrowheads="1"/>
        </xdr:cNvSpPr>
      </xdr:nvSpPr>
      <xdr:spPr bwMode="auto">
        <a:xfrm flipH="1">
          <a:off x="4743450" y="1242857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0</xdr:colOff>
      <xdr:row>76</xdr:row>
      <xdr:rowOff>9525</xdr:rowOff>
    </xdr:to>
    <xdr:sp macro="" textlink="">
      <xdr:nvSpPr>
        <xdr:cNvPr id="52" name="Text Box 4"/>
        <xdr:cNvSpPr txBox="1">
          <a:spLocks noChangeArrowheads="1"/>
        </xdr:cNvSpPr>
      </xdr:nvSpPr>
      <xdr:spPr bwMode="auto">
        <a:xfrm flipH="1">
          <a:off x="4743450" y="124206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10029</xdr:rowOff>
    </xdr:from>
    <xdr:to>
      <xdr:col>5</xdr:col>
      <xdr:colOff>0</xdr:colOff>
      <xdr:row>76</xdr:row>
      <xdr:rowOff>33129</xdr:rowOff>
    </xdr:to>
    <xdr:sp macro="" textlink="">
      <xdr:nvSpPr>
        <xdr:cNvPr id="53" name="Text Box 12"/>
        <xdr:cNvSpPr txBox="1">
          <a:spLocks noChangeArrowheads="1"/>
        </xdr:cNvSpPr>
      </xdr:nvSpPr>
      <xdr:spPr bwMode="auto">
        <a:xfrm flipH="1">
          <a:off x="4743450" y="1243062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34377</xdr:rowOff>
    </xdr:to>
    <xdr:sp macro="" textlink="">
      <xdr:nvSpPr>
        <xdr:cNvPr id="54" name="Text Box 14"/>
        <xdr:cNvSpPr txBox="1">
          <a:spLocks noChangeArrowheads="1"/>
        </xdr:cNvSpPr>
      </xdr:nvSpPr>
      <xdr:spPr bwMode="auto">
        <a:xfrm flipH="1">
          <a:off x="4743450" y="1243166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34376</xdr:rowOff>
    </xdr:to>
    <xdr:sp macro="" textlink="">
      <xdr:nvSpPr>
        <xdr:cNvPr id="55" name="Text Box 16"/>
        <xdr:cNvSpPr txBox="1">
          <a:spLocks noChangeArrowheads="1"/>
        </xdr:cNvSpPr>
      </xdr:nvSpPr>
      <xdr:spPr bwMode="auto">
        <a:xfrm flipH="1">
          <a:off x="4743450" y="1243166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75</xdr:row>
      <xdr:rowOff>170050</xdr:rowOff>
    </xdr:from>
    <xdr:to>
      <xdr:col>5</xdr:col>
      <xdr:colOff>0</xdr:colOff>
      <xdr:row>76</xdr:row>
      <xdr:rowOff>3063</xdr:rowOff>
    </xdr:to>
    <xdr:sp macro="" textlink="">
      <xdr:nvSpPr>
        <xdr:cNvPr id="56" name="Text Box 12"/>
        <xdr:cNvSpPr txBox="1">
          <a:spLocks noChangeArrowheads="1"/>
        </xdr:cNvSpPr>
      </xdr:nvSpPr>
      <xdr:spPr bwMode="auto">
        <a:xfrm flipH="1">
          <a:off x="4743450" y="1241920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7976</xdr:rowOff>
    </xdr:from>
    <xdr:to>
      <xdr:col>5</xdr:col>
      <xdr:colOff>0</xdr:colOff>
      <xdr:row>76</xdr:row>
      <xdr:rowOff>34736</xdr:rowOff>
    </xdr:to>
    <xdr:sp macro="" textlink="">
      <xdr:nvSpPr>
        <xdr:cNvPr id="57" name="Text Box 4"/>
        <xdr:cNvSpPr txBox="1">
          <a:spLocks noChangeArrowheads="1"/>
        </xdr:cNvSpPr>
      </xdr:nvSpPr>
      <xdr:spPr bwMode="auto">
        <a:xfrm flipH="1">
          <a:off x="4743450" y="1242857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104</xdr:row>
      <xdr:rowOff>166913</xdr:rowOff>
    </xdr:from>
    <xdr:to>
      <xdr:col>4</xdr:col>
      <xdr:colOff>2621168</xdr:colOff>
      <xdr:row>105</xdr:row>
      <xdr:rowOff>23020</xdr:rowOff>
    </xdr:to>
    <xdr:sp macro="" textlink="">
      <xdr:nvSpPr>
        <xdr:cNvPr id="64" name="Text Box 4"/>
        <xdr:cNvSpPr txBox="1">
          <a:spLocks noChangeArrowheads="1"/>
        </xdr:cNvSpPr>
      </xdr:nvSpPr>
      <xdr:spPr bwMode="auto">
        <a:xfrm flipH="1">
          <a:off x="4739528" y="17388113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3866</xdr:rowOff>
    </xdr:from>
    <xdr:to>
      <xdr:col>4</xdr:col>
      <xdr:colOff>2621168</xdr:colOff>
      <xdr:row>105</xdr:row>
      <xdr:rowOff>5550</xdr:rowOff>
    </xdr:to>
    <xdr:sp macro="" textlink="">
      <xdr:nvSpPr>
        <xdr:cNvPr id="65" name="Text Box 12"/>
        <xdr:cNvSpPr txBox="1">
          <a:spLocks noChangeArrowheads="1"/>
        </xdr:cNvSpPr>
      </xdr:nvSpPr>
      <xdr:spPr bwMode="auto">
        <a:xfrm flipH="1">
          <a:off x="4739528" y="17396516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2621168</xdr:colOff>
      <xdr:row>105</xdr:row>
      <xdr:rowOff>5203</xdr:rowOff>
    </xdr:to>
    <xdr:sp macro="" textlink="">
      <xdr:nvSpPr>
        <xdr:cNvPr id="66" name="Text Box 14"/>
        <xdr:cNvSpPr txBox="1">
          <a:spLocks noChangeArrowheads="1"/>
        </xdr:cNvSpPr>
      </xdr:nvSpPr>
      <xdr:spPr bwMode="auto">
        <a:xfrm flipH="1">
          <a:off x="4739528" y="17397551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2621168</xdr:colOff>
      <xdr:row>105</xdr:row>
      <xdr:rowOff>5202</xdr:rowOff>
    </xdr:to>
    <xdr:sp macro="" textlink="">
      <xdr:nvSpPr>
        <xdr:cNvPr id="67" name="Text Box 16"/>
        <xdr:cNvSpPr txBox="1">
          <a:spLocks noChangeArrowheads="1"/>
        </xdr:cNvSpPr>
      </xdr:nvSpPr>
      <xdr:spPr bwMode="auto">
        <a:xfrm flipH="1">
          <a:off x="4739528" y="17397551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1962</xdr:rowOff>
    </xdr:from>
    <xdr:to>
      <xdr:col>4</xdr:col>
      <xdr:colOff>2621168</xdr:colOff>
      <xdr:row>105</xdr:row>
      <xdr:rowOff>2271</xdr:rowOff>
    </xdr:to>
    <xdr:sp macro="" textlink="">
      <xdr:nvSpPr>
        <xdr:cNvPr id="68" name="Text Box 12"/>
        <xdr:cNvSpPr txBox="1">
          <a:spLocks noChangeArrowheads="1"/>
        </xdr:cNvSpPr>
      </xdr:nvSpPr>
      <xdr:spPr bwMode="auto">
        <a:xfrm flipH="1">
          <a:off x="4739528" y="17394612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1813</xdr:rowOff>
    </xdr:from>
    <xdr:to>
      <xdr:col>4</xdr:col>
      <xdr:colOff>2621168</xdr:colOff>
      <xdr:row>105</xdr:row>
      <xdr:rowOff>14857</xdr:rowOff>
    </xdr:to>
    <xdr:sp macro="" textlink="">
      <xdr:nvSpPr>
        <xdr:cNvPr id="69" name="Text Box 4"/>
        <xdr:cNvSpPr txBox="1">
          <a:spLocks noChangeArrowheads="1"/>
        </xdr:cNvSpPr>
      </xdr:nvSpPr>
      <xdr:spPr bwMode="auto">
        <a:xfrm flipH="1">
          <a:off x="4739528" y="17394463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28575</xdr:colOff>
      <xdr:row>76</xdr:row>
      <xdr:rowOff>9525</xdr:rowOff>
    </xdr:to>
    <xdr:sp macro="" textlink="">
      <xdr:nvSpPr>
        <xdr:cNvPr id="72" name="Text Box 4"/>
        <xdr:cNvSpPr txBox="1">
          <a:spLocks noChangeArrowheads="1"/>
        </xdr:cNvSpPr>
      </xdr:nvSpPr>
      <xdr:spPr bwMode="auto">
        <a:xfrm flipH="1">
          <a:off x="4743450" y="124206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2621168</xdr:colOff>
      <xdr:row>76</xdr:row>
      <xdr:rowOff>33129</xdr:rowOff>
    </xdr:to>
    <xdr:sp macro="" textlink="">
      <xdr:nvSpPr>
        <xdr:cNvPr id="73" name="Text Box 12"/>
        <xdr:cNvSpPr txBox="1">
          <a:spLocks noChangeArrowheads="1"/>
        </xdr:cNvSpPr>
      </xdr:nvSpPr>
      <xdr:spPr bwMode="auto">
        <a:xfrm flipH="1">
          <a:off x="4739528" y="124306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34377</xdr:rowOff>
    </xdr:to>
    <xdr:sp macro="" textlink="">
      <xdr:nvSpPr>
        <xdr:cNvPr id="74" name="Text Box 14"/>
        <xdr:cNvSpPr txBox="1">
          <a:spLocks noChangeArrowheads="1"/>
        </xdr:cNvSpPr>
      </xdr:nvSpPr>
      <xdr:spPr bwMode="auto">
        <a:xfrm flipH="1">
          <a:off x="4739528" y="124316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34376</xdr:rowOff>
    </xdr:to>
    <xdr:sp macro="" textlink="">
      <xdr:nvSpPr>
        <xdr:cNvPr id="75" name="Text Box 16"/>
        <xdr:cNvSpPr txBox="1">
          <a:spLocks noChangeArrowheads="1"/>
        </xdr:cNvSpPr>
      </xdr:nvSpPr>
      <xdr:spPr bwMode="auto">
        <a:xfrm flipH="1">
          <a:off x="4739528" y="124316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2621168</xdr:colOff>
      <xdr:row>76</xdr:row>
      <xdr:rowOff>3063</xdr:rowOff>
    </xdr:to>
    <xdr:sp macro="" textlink="">
      <xdr:nvSpPr>
        <xdr:cNvPr id="76" name="Text Box 12"/>
        <xdr:cNvSpPr txBox="1">
          <a:spLocks noChangeArrowheads="1"/>
        </xdr:cNvSpPr>
      </xdr:nvSpPr>
      <xdr:spPr bwMode="auto">
        <a:xfrm flipH="1">
          <a:off x="4739528" y="124192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2621168</xdr:colOff>
      <xdr:row>76</xdr:row>
      <xdr:rowOff>34736</xdr:rowOff>
    </xdr:to>
    <xdr:sp macro="" textlink="">
      <xdr:nvSpPr>
        <xdr:cNvPr id="77" name="Text Box 4"/>
        <xdr:cNvSpPr txBox="1">
          <a:spLocks noChangeArrowheads="1"/>
        </xdr:cNvSpPr>
      </xdr:nvSpPr>
      <xdr:spPr bwMode="auto">
        <a:xfrm flipH="1">
          <a:off x="4739528" y="124285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28575</xdr:colOff>
      <xdr:row>76</xdr:row>
      <xdr:rowOff>9525</xdr:rowOff>
    </xdr:to>
    <xdr:sp macro="" textlink="">
      <xdr:nvSpPr>
        <xdr:cNvPr id="80" name="Text Box 4"/>
        <xdr:cNvSpPr txBox="1">
          <a:spLocks noChangeArrowheads="1"/>
        </xdr:cNvSpPr>
      </xdr:nvSpPr>
      <xdr:spPr bwMode="auto">
        <a:xfrm flipH="1">
          <a:off x="4743450" y="124206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2621168</xdr:colOff>
      <xdr:row>76</xdr:row>
      <xdr:rowOff>33129</xdr:rowOff>
    </xdr:to>
    <xdr:sp macro="" textlink="">
      <xdr:nvSpPr>
        <xdr:cNvPr id="81" name="Text Box 12"/>
        <xdr:cNvSpPr txBox="1">
          <a:spLocks noChangeArrowheads="1"/>
        </xdr:cNvSpPr>
      </xdr:nvSpPr>
      <xdr:spPr bwMode="auto">
        <a:xfrm flipH="1">
          <a:off x="4739528" y="124306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34377</xdr:rowOff>
    </xdr:to>
    <xdr:sp macro="" textlink="">
      <xdr:nvSpPr>
        <xdr:cNvPr id="82" name="Text Box 14"/>
        <xdr:cNvSpPr txBox="1">
          <a:spLocks noChangeArrowheads="1"/>
        </xdr:cNvSpPr>
      </xdr:nvSpPr>
      <xdr:spPr bwMode="auto">
        <a:xfrm flipH="1">
          <a:off x="4739528" y="124316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34376</xdr:rowOff>
    </xdr:to>
    <xdr:sp macro="" textlink="">
      <xdr:nvSpPr>
        <xdr:cNvPr id="83" name="Text Box 16"/>
        <xdr:cNvSpPr txBox="1">
          <a:spLocks noChangeArrowheads="1"/>
        </xdr:cNvSpPr>
      </xdr:nvSpPr>
      <xdr:spPr bwMode="auto">
        <a:xfrm flipH="1">
          <a:off x="4739528" y="124316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2621168</xdr:colOff>
      <xdr:row>76</xdr:row>
      <xdr:rowOff>3063</xdr:rowOff>
    </xdr:to>
    <xdr:sp macro="" textlink="">
      <xdr:nvSpPr>
        <xdr:cNvPr id="84" name="Text Box 12"/>
        <xdr:cNvSpPr txBox="1">
          <a:spLocks noChangeArrowheads="1"/>
        </xdr:cNvSpPr>
      </xdr:nvSpPr>
      <xdr:spPr bwMode="auto">
        <a:xfrm flipH="1">
          <a:off x="4739528" y="124192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2621168</xdr:colOff>
      <xdr:row>76</xdr:row>
      <xdr:rowOff>34736</xdr:rowOff>
    </xdr:to>
    <xdr:sp macro="" textlink="">
      <xdr:nvSpPr>
        <xdr:cNvPr id="85" name="Text Box 4"/>
        <xdr:cNvSpPr txBox="1">
          <a:spLocks noChangeArrowheads="1"/>
        </xdr:cNvSpPr>
      </xdr:nvSpPr>
      <xdr:spPr bwMode="auto">
        <a:xfrm flipH="1">
          <a:off x="4739528" y="124285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104</xdr:row>
      <xdr:rowOff>166913</xdr:rowOff>
    </xdr:from>
    <xdr:to>
      <xdr:col>5</xdr:col>
      <xdr:colOff>0</xdr:colOff>
      <xdr:row>105</xdr:row>
      <xdr:rowOff>23020</xdr:rowOff>
    </xdr:to>
    <xdr:sp macro="" textlink="">
      <xdr:nvSpPr>
        <xdr:cNvPr id="92" name="Text Box 4"/>
        <xdr:cNvSpPr txBox="1">
          <a:spLocks noChangeArrowheads="1"/>
        </xdr:cNvSpPr>
      </xdr:nvSpPr>
      <xdr:spPr bwMode="auto">
        <a:xfrm flipH="1">
          <a:off x="4743450" y="17388113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3866</xdr:rowOff>
    </xdr:from>
    <xdr:to>
      <xdr:col>5</xdr:col>
      <xdr:colOff>0</xdr:colOff>
      <xdr:row>105</xdr:row>
      <xdr:rowOff>5550</xdr:rowOff>
    </xdr:to>
    <xdr:sp macro="" textlink="">
      <xdr:nvSpPr>
        <xdr:cNvPr id="93" name="Text Box 12"/>
        <xdr:cNvSpPr txBox="1">
          <a:spLocks noChangeArrowheads="1"/>
        </xdr:cNvSpPr>
      </xdr:nvSpPr>
      <xdr:spPr bwMode="auto">
        <a:xfrm flipH="1">
          <a:off x="4743450" y="17396516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4901</xdr:rowOff>
    </xdr:from>
    <xdr:to>
      <xdr:col>5</xdr:col>
      <xdr:colOff>0</xdr:colOff>
      <xdr:row>105</xdr:row>
      <xdr:rowOff>5203</xdr:rowOff>
    </xdr:to>
    <xdr:sp macro="" textlink="">
      <xdr:nvSpPr>
        <xdr:cNvPr id="94" name="Text Box 14"/>
        <xdr:cNvSpPr txBox="1">
          <a:spLocks noChangeArrowheads="1"/>
        </xdr:cNvSpPr>
      </xdr:nvSpPr>
      <xdr:spPr bwMode="auto">
        <a:xfrm flipH="1">
          <a:off x="4743450" y="17397551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4901</xdr:rowOff>
    </xdr:from>
    <xdr:to>
      <xdr:col>5</xdr:col>
      <xdr:colOff>0</xdr:colOff>
      <xdr:row>105</xdr:row>
      <xdr:rowOff>5202</xdr:rowOff>
    </xdr:to>
    <xdr:sp macro="" textlink="">
      <xdr:nvSpPr>
        <xdr:cNvPr id="95" name="Text Box 16"/>
        <xdr:cNvSpPr txBox="1">
          <a:spLocks noChangeArrowheads="1"/>
        </xdr:cNvSpPr>
      </xdr:nvSpPr>
      <xdr:spPr bwMode="auto">
        <a:xfrm flipH="1">
          <a:off x="4743450" y="17397551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1962</xdr:rowOff>
    </xdr:from>
    <xdr:to>
      <xdr:col>5</xdr:col>
      <xdr:colOff>0</xdr:colOff>
      <xdr:row>105</xdr:row>
      <xdr:rowOff>2271</xdr:rowOff>
    </xdr:to>
    <xdr:sp macro="" textlink="">
      <xdr:nvSpPr>
        <xdr:cNvPr id="96" name="Text Box 12"/>
        <xdr:cNvSpPr txBox="1">
          <a:spLocks noChangeArrowheads="1"/>
        </xdr:cNvSpPr>
      </xdr:nvSpPr>
      <xdr:spPr bwMode="auto">
        <a:xfrm flipH="1">
          <a:off x="4743450" y="17394612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1813</xdr:rowOff>
    </xdr:from>
    <xdr:to>
      <xdr:col>5</xdr:col>
      <xdr:colOff>0</xdr:colOff>
      <xdr:row>105</xdr:row>
      <xdr:rowOff>14857</xdr:rowOff>
    </xdr:to>
    <xdr:sp macro="" textlink="">
      <xdr:nvSpPr>
        <xdr:cNvPr id="97" name="Text Box 4"/>
        <xdr:cNvSpPr txBox="1">
          <a:spLocks noChangeArrowheads="1"/>
        </xdr:cNvSpPr>
      </xdr:nvSpPr>
      <xdr:spPr bwMode="auto">
        <a:xfrm flipH="1">
          <a:off x="4743450" y="17394463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0</xdr:colOff>
      <xdr:row>76</xdr:row>
      <xdr:rowOff>9525</xdr:rowOff>
    </xdr:to>
    <xdr:sp macro="" textlink="">
      <xdr:nvSpPr>
        <xdr:cNvPr id="100" name="Text Box 4"/>
        <xdr:cNvSpPr txBox="1">
          <a:spLocks noChangeArrowheads="1"/>
        </xdr:cNvSpPr>
      </xdr:nvSpPr>
      <xdr:spPr bwMode="auto">
        <a:xfrm flipH="1">
          <a:off x="4743450" y="124206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10029</xdr:rowOff>
    </xdr:from>
    <xdr:to>
      <xdr:col>5</xdr:col>
      <xdr:colOff>0</xdr:colOff>
      <xdr:row>76</xdr:row>
      <xdr:rowOff>33129</xdr:rowOff>
    </xdr:to>
    <xdr:sp macro="" textlink="">
      <xdr:nvSpPr>
        <xdr:cNvPr id="101" name="Text Box 12"/>
        <xdr:cNvSpPr txBox="1">
          <a:spLocks noChangeArrowheads="1"/>
        </xdr:cNvSpPr>
      </xdr:nvSpPr>
      <xdr:spPr bwMode="auto">
        <a:xfrm flipH="1">
          <a:off x="4743450" y="1243062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34377</xdr:rowOff>
    </xdr:to>
    <xdr:sp macro="" textlink="">
      <xdr:nvSpPr>
        <xdr:cNvPr id="102" name="Text Box 14"/>
        <xdr:cNvSpPr txBox="1">
          <a:spLocks noChangeArrowheads="1"/>
        </xdr:cNvSpPr>
      </xdr:nvSpPr>
      <xdr:spPr bwMode="auto">
        <a:xfrm flipH="1">
          <a:off x="4743450" y="1243166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34376</xdr:rowOff>
    </xdr:to>
    <xdr:sp macro="" textlink="">
      <xdr:nvSpPr>
        <xdr:cNvPr id="103" name="Text Box 16"/>
        <xdr:cNvSpPr txBox="1">
          <a:spLocks noChangeArrowheads="1"/>
        </xdr:cNvSpPr>
      </xdr:nvSpPr>
      <xdr:spPr bwMode="auto">
        <a:xfrm flipH="1">
          <a:off x="4743450" y="1243166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75</xdr:row>
      <xdr:rowOff>170050</xdr:rowOff>
    </xdr:from>
    <xdr:to>
      <xdr:col>5</xdr:col>
      <xdr:colOff>0</xdr:colOff>
      <xdr:row>76</xdr:row>
      <xdr:rowOff>3063</xdr:rowOff>
    </xdr:to>
    <xdr:sp macro="" textlink="">
      <xdr:nvSpPr>
        <xdr:cNvPr id="104" name="Text Box 12"/>
        <xdr:cNvSpPr txBox="1">
          <a:spLocks noChangeArrowheads="1"/>
        </xdr:cNvSpPr>
      </xdr:nvSpPr>
      <xdr:spPr bwMode="auto">
        <a:xfrm flipH="1">
          <a:off x="4743450" y="1241920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7976</xdr:rowOff>
    </xdr:from>
    <xdr:to>
      <xdr:col>5</xdr:col>
      <xdr:colOff>0</xdr:colOff>
      <xdr:row>76</xdr:row>
      <xdr:rowOff>34736</xdr:rowOff>
    </xdr:to>
    <xdr:sp macro="" textlink="">
      <xdr:nvSpPr>
        <xdr:cNvPr id="105" name="Text Box 4"/>
        <xdr:cNvSpPr txBox="1">
          <a:spLocks noChangeArrowheads="1"/>
        </xdr:cNvSpPr>
      </xdr:nvSpPr>
      <xdr:spPr bwMode="auto">
        <a:xfrm flipH="1">
          <a:off x="4743450" y="1242857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0</xdr:colOff>
      <xdr:row>76</xdr:row>
      <xdr:rowOff>9525</xdr:rowOff>
    </xdr:to>
    <xdr:sp macro="" textlink="">
      <xdr:nvSpPr>
        <xdr:cNvPr id="108" name="Text Box 4"/>
        <xdr:cNvSpPr txBox="1">
          <a:spLocks noChangeArrowheads="1"/>
        </xdr:cNvSpPr>
      </xdr:nvSpPr>
      <xdr:spPr bwMode="auto">
        <a:xfrm flipH="1">
          <a:off x="4743450" y="124206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10029</xdr:rowOff>
    </xdr:from>
    <xdr:to>
      <xdr:col>5</xdr:col>
      <xdr:colOff>0</xdr:colOff>
      <xdr:row>76</xdr:row>
      <xdr:rowOff>33129</xdr:rowOff>
    </xdr:to>
    <xdr:sp macro="" textlink="">
      <xdr:nvSpPr>
        <xdr:cNvPr id="109" name="Text Box 12"/>
        <xdr:cNvSpPr txBox="1">
          <a:spLocks noChangeArrowheads="1"/>
        </xdr:cNvSpPr>
      </xdr:nvSpPr>
      <xdr:spPr bwMode="auto">
        <a:xfrm flipH="1">
          <a:off x="4743450" y="1243062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34377</xdr:rowOff>
    </xdr:to>
    <xdr:sp macro="" textlink="">
      <xdr:nvSpPr>
        <xdr:cNvPr id="110" name="Text Box 14"/>
        <xdr:cNvSpPr txBox="1">
          <a:spLocks noChangeArrowheads="1"/>
        </xdr:cNvSpPr>
      </xdr:nvSpPr>
      <xdr:spPr bwMode="auto">
        <a:xfrm flipH="1">
          <a:off x="4743450" y="1243166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34376</xdr:rowOff>
    </xdr:to>
    <xdr:sp macro="" textlink="">
      <xdr:nvSpPr>
        <xdr:cNvPr id="111" name="Text Box 16"/>
        <xdr:cNvSpPr txBox="1">
          <a:spLocks noChangeArrowheads="1"/>
        </xdr:cNvSpPr>
      </xdr:nvSpPr>
      <xdr:spPr bwMode="auto">
        <a:xfrm flipH="1">
          <a:off x="4743450" y="1243166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75</xdr:row>
      <xdr:rowOff>170050</xdr:rowOff>
    </xdr:from>
    <xdr:to>
      <xdr:col>5</xdr:col>
      <xdr:colOff>0</xdr:colOff>
      <xdr:row>76</xdr:row>
      <xdr:rowOff>3063</xdr:rowOff>
    </xdr:to>
    <xdr:sp macro="" textlink="">
      <xdr:nvSpPr>
        <xdr:cNvPr id="112" name="Text Box 12"/>
        <xdr:cNvSpPr txBox="1">
          <a:spLocks noChangeArrowheads="1"/>
        </xdr:cNvSpPr>
      </xdr:nvSpPr>
      <xdr:spPr bwMode="auto">
        <a:xfrm flipH="1">
          <a:off x="4743450" y="1241920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7976</xdr:rowOff>
    </xdr:from>
    <xdr:to>
      <xdr:col>5</xdr:col>
      <xdr:colOff>0</xdr:colOff>
      <xdr:row>76</xdr:row>
      <xdr:rowOff>34736</xdr:rowOff>
    </xdr:to>
    <xdr:sp macro="" textlink="">
      <xdr:nvSpPr>
        <xdr:cNvPr id="113" name="Text Box 4"/>
        <xdr:cNvSpPr txBox="1">
          <a:spLocks noChangeArrowheads="1"/>
        </xdr:cNvSpPr>
      </xdr:nvSpPr>
      <xdr:spPr bwMode="auto">
        <a:xfrm flipH="1">
          <a:off x="4743450" y="1242857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28575</xdr:colOff>
      <xdr:row>76</xdr:row>
      <xdr:rowOff>9525</xdr:rowOff>
    </xdr:to>
    <xdr:sp macro="" textlink="">
      <xdr:nvSpPr>
        <xdr:cNvPr id="116" name="Text Box 4"/>
        <xdr:cNvSpPr txBox="1">
          <a:spLocks noChangeArrowheads="1"/>
        </xdr:cNvSpPr>
      </xdr:nvSpPr>
      <xdr:spPr bwMode="auto">
        <a:xfrm flipH="1">
          <a:off x="4743450" y="124206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2621168</xdr:colOff>
      <xdr:row>76</xdr:row>
      <xdr:rowOff>33129</xdr:rowOff>
    </xdr:to>
    <xdr:sp macro="" textlink="">
      <xdr:nvSpPr>
        <xdr:cNvPr id="117" name="Text Box 12"/>
        <xdr:cNvSpPr txBox="1">
          <a:spLocks noChangeArrowheads="1"/>
        </xdr:cNvSpPr>
      </xdr:nvSpPr>
      <xdr:spPr bwMode="auto">
        <a:xfrm flipH="1">
          <a:off x="4739528" y="124306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34377</xdr:rowOff>
    </xdr:to>
    <xdr:sp macro="" textlink="">
      <xdr:nvSpPr>
        <xdr:cNvPr id="118" name="Text Box 14"/>
        <xdr:cNvSpPr txBox="1">
          <a:spLocks noChangeArrowheads="1"/>
        </xdr:cNvSpPr>
      </xdr:nvSpPr>
      <xdr:spPr bwMode="auto">
        <a:xfrm flipH="1">
          <a:off x="4739528" y="124316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34376</xdr:rowOff>
    </xdr:to>
    <xdr:sp macro="" textlink="">
      <xdr:nvSpPr>
        <xdr:cNvPr id="119" name="Text Box 16"/>
        <xdr:cNvSpPr txBox="1">
          <a:spLocks noChangeArrowheads="1"/>
        </xdr:cNvSpPr>
      </xdr:nvSpPr>
      <xdr:spPr bwMode="auto">
        <a:xfrm flipH="1">
          <a:off x="4739528" y="124316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2621168</xdr:colOff>
      <xdr:row>76</xdr:row>
      <xdr:rowOff>3063</xdr:rowOff>
    </xdr:to>
    <xdr:sp macro="" textlink="">
      <xdr:nvSpPr>
        <xdr:cNvPr id="120" name="Text Box 12"/>
        <xdr:cNvSpPr txBox="1">
          <a:spLocks noChangeArrowheads="1"/>
        </xdr:cNvSpPr>
      </xdr:nvSpPr>
      <xdr:spPr bwMode="auto">
        <a:xfrm flipH="1">
          <a:off x="4739528" y="124192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2621168</xdr:colOff>
      <xdr:row>76</xdr:row>
      <xdr:rowOff>34736</xdr:rowOff>
    </xdr:to>
    <xdr:sp macro="" textlink="">
      <xdr:nvSpPr>
        <xdr:cNvPr id="121" name="Text Box 4"/>
        <xdr:cNvSpPr txBox="1">
          <a:spLocks noChangeArrowheads="1"/>
        </xdr:cNvSpPr>
      </xdr:nvSpPr>
      <xdr:spPr bwMode="auto">
        <a:xfrm flipH="1">
          <a:off x="4739528" y="124285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28575</xdr:colOff>
      <xdr:row>76</xdr:row>
      <xdr:rowOff>9525</xdr:rowOff>
    </xdr:to>
    <xdr:sp macro="" textlink="">
      <xdr:nvSpPr>
        <xdr:cNvPr id="124" name="Text Box 4"/>
        <xdr:cNvSpPr txBox="1">
          <a:spLocks noChangeArrowheads="1"/>
        </xdr:cNvSpPr>
      </xdr:nvSpPr>
      <xdr:spPr bwMode="auto">
        <a:xfrm flipH="1">
          <a:off x="4743450" y="124206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2621168</xdr:colOff>
      <xdr:row>76</xdr:row>
      <xdr:rowOff>33129</xdr:rowOff>
    </xdr:to>
    <xdr:sp macro="" textlink="">
      <xdr:nvSpPr>
        <xdr:cNvPr id="125" name="Text Box 12"/>
        <xdr:cNvSpPr txBox="1">
          <a:spLocks noChangeArrowheads="1"/>
        </xdr:cNvSpPr>
      </xdr:nvSpPr>
      <xdr:spPr bwMode="auto">
        <a:xfrm flipH="1">
          <a:off x="4739528" y="124306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34377</xdr:rowOff>
    </xdr:to>
    <xdr:sp macro="" textlink="">
      <xdr:nvSpPr>
        <xdr:cNvPr id="126" name="Text Box 14"/>
        <xdr:cNvSpPr txBox="1">
          <a:spLocks noChangeArrowheads="1"/>
        </xdr:cNvSpPr>
      </xdr:nvSpPr>
      <xdr:spPr bwMode="auto">
        <a:xfrm flipH="1">
          <a:off x="4739528" y="124316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34376</xdr:rowOff>
    </xdr:to>
    <xdr:sp macro="" textlink="">
      <xdr:nvSpPr>
        <xdr:cNvPr id="127" name="Text Box 16"/>
        <xdr:cNvSpPr txBox="1">
          <a:spLocks noChangeArrowheads="1"/>
        </xdr:cNvSpPr>
      </xdr:nvSpPr>
      <xdr:spPr bwMode="auto">
        <a:xfrm flipH="1">
          <a:off x="4739528" y="124316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2621168</xdr:colOff>
      <xdr:row>76</xdr:row>
      <xdr:rowOff>3063</xdr:rowOff>
    </xdr:to>
    <xdr:sp macro="" textlink="">
      <xdr:nvSpPr>
        <xdr:cNvPr id="128" name="Text Box 12"/>
        <xdr:cNvSpPr txBox="1">
          <a:spLocks noChangeArrowheads="1"/>
        </xdr:cNvSpPr>
      </xdr:nvSpPr>
      <xdr:spPr bwMode="auto">
        <a:xfrm flipH="1">
          <a:off x="4739528" y="124192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2621168</xdr:colOff>
      <xdr:row>76</xdr:row>
      <xdr:rowOff>34736</xdr:rowOff>
    </xdr:to>
    <xdr:sp macro="" textlink="">
      <xdr:nvSpPr>
        <xdr:cNvPr id="129" name="Text Box 4"/>
        <xdr:cNvSpPr txBox="1">
          <a:spLocks noChangeArrowheads="1"/>
        </xdr:cNvSpPr>
      </xdr:nvSpPr>
      <xdr:spPr bwMode="auto">
        <a:xfrm flipH="1">
          <a:off x="4739528" y="124285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104</xdr:row>
      <xdr:rowOff>166913</xdr:rowOff>
    </xdr:from>
    <xdr:to>
      <xdr:col>4</xdr:col>
      <xdr:colOff>2621168</xdr:colOff>
      <xdr:row>105</xdr:row>
      <xdr:rowOff>23020</xdr:rowOff>
    </xdr:to>
    <xdr:sp macro="" textlink="">
      <xdr:nvSpPr>
        <xdr:cNvPr id="136" name="Text Box 4"/>
        <xdr:cNvSpPr txBox="1">
          <a:spLocks noChangeArrowheads="1"/>
        </xdr:cNvSpPr>
      </xdr:nvSpPr>
      <xdr:spPr bwMode="auto">
        <a:xfrm flipH="1">
          <a:off x="4739528" y="17388113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3866</xdr:rowOff>
    </xdr:from>
    <xdr:to>
      <xdr:col>4</xdr:col>
      <xdr:colOff>2621168</xdr:colOff>
      <xdr:row>105</xdr:row>
      <xdr:rowOff>5550</xdr:rowOff>
    </xdr:to>
    <xdr:sp macro="" textlink="">
      <xdr:nvSpPr>
        <xdr:cNvPr id="137" name="Text Box 12"/>
        <xdr:cNvSpPr txBox="1">
          <a:spLocks noChangeArrowheads="1"/>
        </xdr:cNvSpPr>
      </xdr:nvSpPr>
      <xdr:spPr bwMode="auto">
        <a:xfrm flipH="1">
          <a:off x="4739528" y="17396516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2621168</xdr:colOff>
      <xdr:row>105</xdr:row>
      <xdr:rowOff>5203</xdr:rowOff>
    </xdr:to>
    <xdr:sp macro="" textlink="">
      <xdr:nvSpPr>
        <xdr:cNvPr id="138" name="Text Box 14"/>
        <xdr:cNvSpPr txBox="1">
          <a:spLocks noChangeArrowheads="1"/>
        </xdr:cNvSpPr>
      </xdr:nvSpPr>
      <xdr:spPr bwMode="auto">
        <a:xfrm flipH="1">
          <a:off x="4739528" y="17397551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2621168</xdr:colOff>
      <xdr:row>105</xdr:row>
      <xdr:rowOff>5202</xdr:rowOff>
    </xdr:to>
    <xdr:sp macro="" textlink="">
      <xdr:nvSpPr>
        <xdr:cNvPr id="139" name="Text Box 16"/>
        <xdr:cNvSpPr txBox="1">
          <a:spLocks noChangeArrowheads="1"/>
        </xdr:cNvSpPr>
      </xdr:nvSpPr>
      <xdr:spPr bwMode="auto">
        <a:xfrm flipH="1">
          <a:off x="4739528" y="17397551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1962</xdr:rowOff>
    </xdr:from>
    <xdr:to>
      <xdr:col>4</xdr:col>
      <xdr:colOff>2621168</xdr:colOff>
      <xdr:row>105</xdr:row>
      <xdr:rowOff>2271</xdr:rowOff>
    </xdr:to>
    <xdr:sp macro="" textlink="">
      <xdr:nvSpPr>
        <xdr:cNvPr id="140" name="Text Box 12"/>
        <xdr:cNvSpPr txBox="1">
          <a:spLocks noChangeArrowheads="1"/>
        </xdr:cNvSpPr>
      </xdr:nvSpPr>
      <xdr:spPr bwMode="auto">
        <a:xfrm flipH="1">
          <a:off x="4739528" y="17394612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1813</xdr:rowOff>
    </xdr:from>
    <xdr:to>
      <xdr:col>4</xdr:col>
      <xdr:colOff>2621168</xdr:colOff>
      <xdr:row>105</xdr:row>
      <xdr:rowOff>14857</xdr:rowOff>
    </xdr:to>
    <xdr:sp macro="" textlink="">
      <xdr:nvSpPr>
        <xdr:cNvPr id="141" name="Text Box 4"/>
        <xdr:cNvSpPr txBox="1">
          <a:spLocks noChangeArrowheads="1"/>
        </xdr:cNvSpPr>
      </xdr:nvSpPr>
      <xdr:spPr bwMode="auto">
        <a:xfrm flipH="1">
          <a:off x="4739528" y="17394463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28575</xdr:colOff>
      <xdr:row>76</xdr:row>
      <xdr:rowOff>9525</xdr:rowOff>
    </xdr:to>
    <xdr:sp macro="" textlink="">
      <xdr:nvSpPr>
        <xdr:cNvPr id="144" name="Text Box 4"/>
        <xdr:cNvSpPr txBox="1">
          <a:spLocks noChangeArrowheads="1"/>
        </xdr:cNvSpPr>
      </xdr:nvSpPr>
      <xdr:spPr bwMode="auto">
        <a:xfrm flipH="1">
          <a:off x="4743450" y="124206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2621168</xdr:colOff>
      <xdr:row>76</xdr:row>
      <xdr:rowOff>33129</xdr:rowOff>
    </xdr:to>
    <xdr:sp macro="" textlink="">
      <xdr:nvSpPr>
        <xdr:cNvPr id="145" name="Text Box 12"/>
        <xdr:cNvSpPr txBox="1">
          <a:spLocks noChangeArrowheads="1"/>
        </xdr:cNvSpPr>
      </xdr:nvSpPr>
      <xdr:spPr bwMode="auto">
        <a:xfrm flipH="1">
          <a:off x="4739528" y="124306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34377</xdr:rowOff>
    </xdr:to>
    <xdr:sp macro="" textlink="">
      <xdr:nvSpPr>
        <xdr:cNvPr id="146" name="Text Box 14"/>
        <xdr:cNvSpPr txBox="1">
          <a:spLocks noChangeArrowheads="1"/>
        </xdr:cNvSpPr>
      </xdr:nvSpPr>
      <xdr:spPr bwMode="auto">
        <a:xfrm flipH="1">
          <a:off x="4739528" y="124316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34376</xdr:rowOff>
    </xdr:to>
    <xdr:sp macro="" textlink="">
      <xdr:nvSpPr>
        <xdr:cNvPr id="147" name="Text Box 16"/>
        <xdr:cNvSpPr txBox="1">
          <a:spLocks noChangeArrowheads="1"/>
        </xdr:cNvSpPr>
      </xdr:nvSpPr>
      <xdr:spPr bwMode="auto">
        <a:xfrm flipH="1">
          <a:off x="4739528" y="124316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2621168</xdr:colOff>
      <xdr:row>76</xdr:row>
      <xdr:rowOff>3063</xdr:rowOff>
    </xdr:to>
    <xdr:sp macro="" textlink="">
      <xdr:nvSpPr>
        <xdr:cNvPr id="148" name="Text Box 12"/>
        <xdr:cNvSpPr txBox="1">
          <a:spLocks noChangeArrowheads="1"/>
        </xdr:cNvSpPr>
      </xdr:nvSpPr>
      <xdr:spPr bwMode="auto">
        <a:xfrm flipH="1">
          <a:off x="4739528" y="124192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2621168</xdr:colOff>
      <xdr:row>76</xdr:row>
      <xdr:rowOff>34736</xdr:rowOff>
    </xdr:to>
    <xdr:sp macro="" textlink="">
      <xdr:nvSpPr>
        <xdr:cNvPr id="149" name="Text Box 4"/>
        <xdr:cNvSpPr txBox="1">
          <a:spLocks noChangeArrowheads="1"/>
        </xdr:cNvSpPr>
      </xdr:nvSpPr>
      <xdr:spPr bwMode="auto">
        <a:xfrm flipH="1">
          <a:off x="4739528" y="124285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28575</xdr:colOff>
      <xdr:row>76</xdr:row>
      <xdr:rowOff>9525</xdr:rowOff>
    </xdr:to>
    <xdr:sp macro="" textlink="">
      <xdr:nvSpPr>
        <xdr:cNvPr id="152" name="Text Box 4"/>
        <xdr:cNvSpPr txBox="1">
          <a:spLocks noChangeArrowheads="1"/>
        </xdr:cNvSpPr>
      </xdr:nvSpPr>
      <xdr:spPr bwMode="auto">
        <a:xfrm flipH="1">
          <a:off x="4743450" y="124206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2621168</xdr:colOff>
      <xdr:row>76</xdr:row>
      <xdr:rowOff>33129</xdr:rowOff>
    </xdr:to>
    <xdr:sp macro="" textlink="">
      <xdr:nvSpPr>
        <xdr:cNvPr id="153" name="Text Box 12"/>
        <xdr:cNvSpPr txBox="1">
          <a:spLocks noChangeArrowheads="1"/>
        </xdr:cNvSpPr>
      </xdr:nvSpPr>
      <xdr:spPr bwMode="auto">
        <a:xfrm flipH="1">
          <a:off x="4739528" y="124306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34377</xdr:rowOff>
    </xdr:to>
    <xdr:sp macro="" textlink="">
      <xdr:nvSpPr>
        <xdr:cNvPr id="154" name="Text Box 14"/>
        <xdr:cNvSpPr txBox="1">
          <a:spLocks noChangeArrowheads="1"/>
        </xdr:cNvSpPr>
      </xdr:nvSpPr>
      <xdr:spPr bwMode="auto">
        <a:xfrm flipH="1">
          <a:off x="4739528" y="124316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34376</xdr:rowOff>
    </xdr:to>
    <xdr:sp macro="" textlink="">
      <xdr:nvSpPr>
        <xdr:cNvPr id="155" name="Text Box 16"/>
        <xdr:cNvSpPr txBox="1">
          <a:spLocks noChangeArrowheads="1"/>
        </xdr:cNvSpPr>
      </xdr:nvSpPr>
      <xdr:spPr bwMode="auto">
        <a:xfrm flipH="1">
          <a:off x="4739528" y="124316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2621168</xdr:colOff>
      <xdr:row>76</xdr:row>
      <xdr:rowOff>3063</xdr:rowOff>
    </xdr:to>
    <xdr:sp macro="" textlink="">
      <xdr:nvSpPr>
        <xdr:cNvPr id="156" name="Text Box 12"/>
        <xdr:cNvSpPr txBox="1">
          <a:spLocks noChangeArrowheads="1"/>
        </xdr:cNvSpPr>
      </xdr:nvSpPr>
      <xdr:spPr bwMode="auto">
        <a:xfrm flipH="1">
          <a:off x="4739528" y="124192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2621168</xdr:colOff>
      <xdr:row>76</xdr:row>
      <xdr:rowOff>34736</xdr:rowOff>
    </xdr:to>
    <xdr:sp macro="" textlink="">
      <xdr:nvSpPr>
        <xdr:cNvPr id="157" name="Text Box 4"/>
        <xdr:cNvSpPr txBox="1">
          <a:spLocks noChangeArrowheads="1"/>
        </xdr:cNvSpPr>
      </xdr:nvSpPr>
      <xdr:spPr bwMode="auto">
        <a:xfrm flipH="1">
          <a:off x="4739528" y="124285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104</xdr:row>
      <xdr:rowOff>166913</xdr:rowOff>
    </xdr:from>
    <xdr:to>
      <xdr:col>5</xdr:col>
      <xdr:colOff>0</xdr:colOff>
      <xdr:row>105</xdr:row>
      <xdr:rowOff>23020</xdr:rowOff>
    </xdr:to>
    <xdr:sp macro="" textlink="">
      <xdr:nvSpPr>
        <xdr:cNvPr id="164" name="Text Box 4"/>
        <xdr:cNvSpPr txBox="1">
          <a:spLocks noChangeArrowheads="1"/>
        </xdr:cNvSpPr>
      </xdr:nvSpPr>
      <xdr:spPr bwMode="auto">
        <a:xfrm flipH="1">
          <a:off x="4743450" y="17388113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3866</xdr:rowOff>
    </xdr:from>
    <xdr:to>
      <xdr:col>5</xdr:col>
      <xdr:colOff>0</xdr:colOff>
      <xdr:row>105</xdr:row>
      <xdr:rowOff>5550</xdr:rowOff>
    </xdr:to>
    <xdr:sp macro="" textlink="">
      <xdr:nvSpPr>
        <xdr:cNvPr id="165" name="Text Box 12"/>
        <xdr:cNvSpPr txBox="1">
          <a:spLocks noChangeArrowheads="1"/>
        </xdr:cNvSpPr>
      </xdr:nvSpPr>
      <xdr:spPr bwMode="auto">
        <a:xfrm flipH="1">
          <a:off x="4743450" y="17396516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4901</xdr:rowOff>
    </xdr:from>
    <xdr:to>
      <xdr:col>5</xdr:col>
      <xdr:colOff>0</xdr:colOff>
      <xdr:row>105</xdr:row>
      <xdr:rowOff>5203</xdr:rowOff>
    </xdr:to>
    <xdr:sp macro="" textlink="">
      <xdr:nvSpPr>
        <xdr:cNvPr id="166" name="Text Box 14"/>
        <xdr:cNvSpPr txBox="1">
          <a:spLocks noChangeArrowheads="1"/>
        </xdr:cNvSpPr>
      </xdr:nvSpPr>
      <xdr:spPr bwMode="auto">
        <a:xfrm flipH="1">
          <a:off x="4743450" y="17397551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4901</xdr:rowOff>
    </xdr:from>
    <xdr:to>
      <xdr:col>5</xdr:col>
      <xdr:colOff>0</xdr:colOff>
      <xdr:row>105</xdr:row>
      <xdr:rowOff>5202</xdr:rowOff>
    </xdr:to>
    <xdr:sp macro="" textlink="">
      <xdr:nvSpPr>
        <xdr:cNvPr id="167" name="Text Box 16"/>
        <xdr:cNvSpPr txBox="1">
          <a:spLocks noChangeArrowheads="1"/>
        </xdr:cNvSpPr>
      </xdr:nvSpPr>
      <xdr:spPr bwMode="auto">
        <a:xfrm flipH="1">
          <a:off x="4743450" y="17397551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1962</xdr:rowOff>
    </xdr:from>
    <xdr:to>
      <xdr:col>5</xdr:col>
      <xdr:colOff>0</xdr:colOff>
      <xdr:row>105</xdr:row>
      <xdr:rowOff>2271</xdr:rowOff>
    </xdr:to>
    <xdr:sp macro="" textlink="">
      <xdr:nvSpPr>
        <xdr:cNvPr id="168" name="Text Box 12"/>
        <xdr:cNvSpPr txBox="1">
          <a:spLocks noChangeArrowheads="1"/>
        </xdr:cNvSpPr>
      </xdr:nvSpPr>
      <xdr:spPr bwMode="auto">
        <a:xfrm flipH="1">
          <a:off x="4743450" y="17394612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1813</xdr:rowOff>
    </xdr:from>
    <xdr:to>
      <xdr:col>5</xdr:col>
      <xdr:colOff>0</xdr:colOff>
      <xdr:row>105</xdr:row>
      <xdr:rowOff>14857</xdr:rowOff>
    </xdr:to>
    <xdr:sp macro="" textlink="">
      <xdr:nvSpPr>
        <xdr:cNvPr id="169" name="Text Box 4"/>
        <xdr:cNvSpPr txBox="1">
          <a:spLocks noChangeArrowheads="1"/>
        </xdr:cNvSpPr>
      </xdr:nvSpPr>
      <xdr:spPr bwMode="auto">
        <a:xfrm flipH="1">
          <a:off x="4743450" y="17394463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0</xdr:colOff>
      <xdr:row>76</xdr:row>
      <xdr:rowOff>9525</xdr:rowOff>
    </xdr:to>
    <xdr:sp macro="" textlink="">
      <xdr:nvSpPr>
        <xdr:cNvPr id="172" name="Text Box 4"/>
        <xdr:cNvSpPr txBox="1">
          <a:spLocks noChangeArrowheads="1"/>
        </xdr:cNvSpPr>
      </xdr:nvSpPr>
      <xdr:spPr bwMode="auto">
        <a:xfrm flipH="1">
          <a:off x="4743450" y="124206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10029</xdr:rowOff>
    </xdr:from>
    <xdr:to>
      <xdr:col>5</xdr:col>
      <xdr:colOff>0</xdr:colOff>
      <xdr:row>76</xdr:row>
      <xdr:rowOff>33129</xdr:rowOff>
    </xdr:to>
    <xdr:sp macro="" textlink="">
      <xdr:nvSpPr>
        <xdr:cNvPr id="173" name="Text Box 12"/>
        <xdr:cNvSpPr txBox="1">
          <a:spLocks noChangeArrowheads="1"/>
        </xdr:cNvSpPr>
      </xdr:nvSpPr>
      <xdr:spPr bwMode="auto">
        <a:xfrm flipH="1">
          <a:off x="4743450" y="1243062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34377</xdr:rowOff>
    </xdr:to>
    <xdr:sp macro="" textlink="">
      <xdr:nvSpPr>
        <xdr:cNvPr id="174" name="Text Box 14"/>
        <xdr:cNvSpPr txBox="1">
          <a:spLocks noChangeArrowheads="1"/>
        </xdr:cNvSpPr>
      </xdr:nvSpPr>
      <xdr:spPr bwMode="auto">
        <a:xfrm flipH="1">
          <a:off x="4743450" y="1243166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34376</xdr:rowOff>
    </xdr:to>
    <xdr:sp macro="" textlink="">
      <xdr:nvSpPr>
        <xdr:cNvPr id="175" name="Text Box 16"/>
        <xdr:cNvSpPr txBox="1">
          <a:spLocks noChangeArrowheads="1"/>
        </xdr:cNvSpPr>
      </xdr:nvSpPr>
      <xdr:spPr bwMode="auto">
        <a:xfrm flipH="1">
          <a:off x="4743450" y="1243166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75</xdr:row>
      <xdr:rowOff>170050</xdr:rowOff>
    </xdr:from>
    <xdr:to>
      <xdr:col>5</xdr:col>
      <xdr:colOff>0</xdr:colOff>
      <xdr:row>76</xdr:row>
      <xdr:rowOff>3063</xdr:rowOff>
    </xdr:to>
    <xdr:sp macro="" textlink="">
      <xdr:nvSpPr>
        <xdr:cNvPr id="176" name="Text Box 12"/>
        <xdr:cNvSpPr txBox="1">
          <a:spLocks noChangeArrowheads="1"/>
        </xdr:cNvSpPr>
      </xdr:nvSpPr>
      <xdr:spPr bwMode="auto">
        <a:xfrm flipH="1">
          <a:off x="4743450" y="1241920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7976</xdr:rowOff>
    </xdr:from>
    <xdr:to>
      <xdr:col>5</xdr:col>
      <xdr:colOff>0</xdr:colOff>
      <xdr:row>76</xdr:row>
      <xdr:rowOff>34736</xdr:rowOff>
    </xdr:to>
    <xdr:sp macro="" textlink="">
      <xdr:nvSpPr>
        <xdr:cNvPr id="177" name="Text Box 4"/>
        <xdr:cNvSpPr txBox="1">
          <a:spLocks noChangeArrowheads="1"/>
        </xdr:cNvSpPr>
      </xdr:nvSpPr>
      <xdr:spPr bwMode="auto">
        <a:xfrm flipH="1">
          <a:off x="4743450" y="1242857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0</xdr:colOff>
      <xdr:row>76</xdr:row>
      <xdr:rowOff>9525</xdr:rowOff>
    </xdr:to>
    <xdr:sp macro="" textlink="">
      <xdr:nvSpPr>
        <xdr:cNvPr id="180" name="Text Box 4"/>
        <xdr:cNvSpPr txBox="1">
          <a:spLocks noChangeArrowheads="1"/>
        </xdr:cNvSpPr>
      </xdr:nvSpPr>
      <xdr:spPr bwMode="auto">
        <a:xfrm flipH="1">
          <a:off x="4743450" y="124206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10029</xdr:rowOff>
    </xdr:from>
    <xdr:to>
      <xdr:col>5</xdr:col>
      <xdr:colOff>0</xdr:colOff>
      <xdr:row>76</xdr:row>
      <xdr:rowOff>33129</xdr:rowOff>
    </xdr:to>
    <xdr:sp macro="" textlink="">
      <xdr:nvSpPr>
        <xdr:cNvPr id="181" name="Text Box 12"/>
        <xdr:cNvSpPr txBox="1">
          <a:spLocks noChangeArrowheads="1"/>
        </xdr:cNvSpPr>
      </xdr:nvSpPr>
      <xdr:spPr bwMode="auto">
        <a:xfrm flipH="1">
          <a:off x="4743450" y="1243062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34377</xdr:rowOff>
    </xdr:to>
    <xdr:sp macro="" textlink="">
      <xdr:nvSpPr>
        <xdr:cNvPr id="182" name="Text Box 14"/>
        <xdr:cNvSpPr txBox="1">
          <a:spLocks noChangeArrowheads="1"/>
        </xdr:cNvSpPr>
      </xdr:nvSpPr>
      <xdr:spPr bwMode="auto">
        <a:xfrm flipH="1">
          <a:off x="4743450" y="1243166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34376</xdr:rowOff>
    </xdr:to>
    <xdr:sp macro="" textlink="">
      <xdr:nvSpPr>
        <xdr:cNvPr id="183" name="Text Box 16"/>
        <xdr:cNvSpPr txBox="1">
          <a:spLocks noChangeArrowheads="1"/>
        </xdr:cNvSpPr>
      </xdr:nvSpPr>
      <xdr:spPr bwMode="auto">
        <a:xfrm flipH="1">
          <a:off x="4743450" y="1243166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75</xdr:row>
      <xdr:rowOff>170050</xdr:rowOff>
    </xdr:from>
    <xdr:to>
      <xdr:col>5</xdr:col>
      <xdr:colOff>0</xdr:colOff>
      <xdr:row>76</xdr:row>
      <xdr:rowOff>3063</xdr:rowOff>
    </xdr:to>
    <xdr:sp macro="" textlink="">
      <xdr:nvSpPr>
        <xdr:cNvPr id="184" name="Text Box 12"/>
        <xdr:cNvSpPr txBox="1">
          <a:spLocks noChangeArrowheads="1"/>
        </xdr:cNvSpPr>
      </xdr:nvSpPr>
      <xdr:spPr bwMode="auto">
        <a:xfrm flipH="1">
          <a:off x="4743450" y="1241920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7976</xdr:rowOff>
    </xdr:from>
    <xdr:to>
      <xdr:col>5</xdr:col>
      <xdr:colOff>0</xdr:colOff>
      <xdr:row>76</xdr:row>
      <xdr:rowOff>34736</xdr:rowOff>
    </xdr:to>
    <xdr:sp macro="" textlink="">
      <xdr:nvSpPr>
        <xdr:cNvPr id="185" name="Text Box 4"/>
        <xdr:cNvSpPr txBox="1">
          <a:spLocks noChangeArrowheads="1"/>
        </xdr:cNvSpPr>
      </xdr:nvSpPr>
      <xdr:spPr bwMode="auto">
        <a:xfrm flipH="1">
          <a:off x="4743450" y="1242857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104</xdr:row>
      <xdr:rowOff>166913</xdr:rowOff>
    </xdr:from>
    <xdr:to>
      <xdr:col>4</xdr:col>
      <xdr:colOff>2621168</xdr:colOff>
      <xdr:row>105</xdr:row>
      <xdr:rowOff>23020</xdr:rowOff>
    </xdr:to>
    <xdr:sp macro="" textlink="">
      <xdr:nvSpPr>
        <xdr:cNvPr id="192" name="Text Box 4"/>
        <xdr:cNvSpPr txBox="1">
          <a:spLocks noChangeArrowheads="1"/>
        </xdr:cNvSpPr>
      </xdr:nvSpPr>
      <xdr:spPr bwMode="auto">
        <a:xfrm flipH="1">
          <a:off x="4739528" y="17388113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3866</xdr:rowOff>
    </xdr:from>
    <xdr:to>
      <xdr:col>4</xdr:col>
      <xdr:colOff>2621168</xdr:colOff>
      <xdr:row>105</xdr:row>
      <xdr:rowOff>5550</xdr:rowOff>
    </xdr:to>
    <xdr:sp macro="" textlink="">
      <xdr:nvSpPr>
        <xdr:cNvPr id="193" name="Text Box 12"/>
        <xdr:cNvSpPr txBox="1">
          <a:spLocks noChangeArrowheads="1"/>
        </xdr:cNvSpPr>
      </xdr:nvSpPr>
      <xdr:spPr bwMode="auto">
        <a:xfrm flipH="1">
          <a:off x="4739528" y="17396516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2621168</xdr:colOff>
      <xdr:row>105</xdr:row>
      <xdr:rowOff>5203</xdr:rowOff>
    </xdr:to>
    <xdr:sp macro="" textlink="">
      <xdr:nvSpPr>
        <xdr:cNvPr id="194" name="Text Box 14"/>
        <xdr:cNvSpPr txBox="1">
          <a:spLocks noChangeArrowheads="1"/>
        </xdr:cNvSpPr>
      </xdr:nvSpPr>
      <xdr:spPr bwMode="auto">
        <a:xfrm flipH="1">
          <a:off x="4739528" y="17397551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2621168</xdr:colOff>
      <xdr:row>105</xdr:row>
      <xdr:rowOff>5202</xdr:rowOff>
    </xdr:to>
    <xdr:sp macro="" textlink="">
      <xdr:nvSpPr>
        <xdr:cNvPr id="195" name="Text Box 16"/>
        <xdr:cNvSpPr txBox="1">
          <a:spLocks noChangeArrowheads="1"/>
        </xdr:cNvSpPr>
      </xdr:nvSpPr>
      <xdr:spPr bwMode="auto">
        <a:xfrm flipH="1">
          <a:off x="4739528" y="17397551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1962</xdr:rowOff>
    </xdr:from>
    <xdr:to>
      <xdr:col>4</xdr:col>
      <xdr:colOff>2621168</xdr:colOff>
      <xdr:row>105</xdr:row>
      <xdr:rowOff>2271</xdr:rowOff>
    </xdr:to>
    <xdr:sp macro="" textlink="">
      <xdr:nvSpPr>
        <xdr:cNvPr id="196" name="Text Box 12"/>
        <xdr:cNvSpPr txBox="1">
          <a:spLocks noChangeArrowheads="1"/>
        </xdr:cNvSpPr>
      </xdr:nvSpPr>
      <xdr:spPr bwMode="auto">
        <a:xfrm flipH="1">
          <a:off x="4739528" y="17394612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1813</xdr:rowOff>
    </xdr:from>
    <xdr:to>
      <xdr:col>4</xdr:col>
      <xdr:colOff>2621168</xdr:colOff>
      <xdr:row>105</xdr:row>
      <xdr:rowOff>14857</xdr:rowOff>
    </xdr:to>
    <xdr:sp macro="" textlink="">
      <xdr:nvSpPr>
        <xdr:cNvPr id="197" name="Text Box 4"/>
        <xdr:cNvSpPr txBox="1">
          <a:spLocks noChangeArrowheads="1"/>
        </xdr:cNvSpPr>
      </xdr:nvSpPr>
      <xdr:spPr bwMode="auto">
        <a:xfrm flipH="1">
          <a:off x="4739528" y="17394463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28575</xdr:colOff>
      <xdr:row>76</xdr:row>
      <xdr:rowOff>9525</xdr:rowOff>
    </xdr:to>
    <xdr:sp macro="" textlink="">
      <xdr:nvSpPr>
        <xdr:cNvPr id="200" name="Text Box 4"/>
        <xdr:cNvSpPr txBox="1">
          <a:spLocks noChangeArrowheads="1"/>
        </xdr:cNvSpPr>
      </xdr:nvSpPr>
      <xdr:spPr bwMode="auto">
        <a:xfrm flipH="1">
          <a:off x="4743450" y="124206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2621168</xdr:colOff>
      <xdr:row>76</xdr:row>
      <xdr:rowOff>33129</xdr:rowOff>
    </xdr:to>
    <xdr:sp macro="" textlink="">
      <xdr:nvSpPr>
        <xdr:cNvPr id="201" name="Text Box 12"/>
        <xdr:cNvSpPr txBox="1">
          <a:spLocks noChangeArrowheads="1"/>
        </xdr:cNvSpPr>
      </xdr:nvSpPr>
      <xdr:spPr bwMode="auto">
        <a:xfrm flipH="1">
          <a:off x="4739528" y="124306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34377</xdr:rowOff>
    </xdr:to>
    <xdr:sp macro="" textlink="">
      <xdr:nvSpPr>
        <xdr:cNvPr id="202" name="Text Box 14"/>
        <xdr:cNvSpPr txBox="1">
          <a:spLocks noChangeArrowheads="1"/>
        </xdr:cNvSpPr>
      </xdr:nvSpPr>
      <xdr:spPr bwMode="auto">
        <a:xfrm flipH="1">
          <a:off x="4739528" y="124316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34376</xdr:rowOff>
    </xdr:to>
    <xdr:sp macro="" textlink="">
      <xdr:nvSpPr>
        <xdr:cNvPr id="203" name="Text Box 16"/>
        <xdr:cNvSpPr txBox="1">
          <a:spLocks noChangeArrowheads="1"/>
        </xdr:cNvSpPr>
      </xdr:nvSpPr>
      <xdr:spPr bwMode="auto">
        <a:xfrm flipH="1">
          <a:off x="4739528" y="124316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2621168</xdr:colOff>
      <xdr:row>76</xdr:row>
      <xdr:rowOff>3063</xdr:rowOff>
    </xdr:to>
    <xdr:sp macro="" textlink="">
      <xdr:nvSpPr>
        <xdr:cNvPr id="204" name="Text Box 12"/>
        <xdr:cNvSpPr txBox="1">
          <a:spLocks noChangeArrowheads="1"/>
        </xdr:cNvSpPr>
      </xdr:nvSpPr>
      <xdr:spPr bwMode="auto">
        <a:xfrm flipH="1">
          <a:off x="4739528" y="124192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2621168</xdr:colOff>
      <xdr:row>76</xdr:row>
      <xdr:rowOff>34736</xdr:rowOff>
    </xdr:to>
    <xdr:sp macro="" textlink="">
      <xdr:nvSpPr>
        <xdr:cNvPr id="205" name="Text Box 4"/>
        <xdr:cNvSpPr txBox="1">
          <a:spLocks noChangeArrowheads="1"/>
        </xdr:cNvSpPr>
      </xdr:nvSpPr>
      <xdr:spPr bwMode="auto">
        <a:xfrm flipH="1">
          <a:off x="4739528" y="124285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28575</xdr:colOff>
      <xdr:row>76</xdr:row>
      <xdr:rowOff>9525</xdr:rowOff>
    </xdr:to>
    <xdr:sp macro="" textlink="">
      <xdr:nvSpPr>
        <xdr:cNvPr id="208" name="Text Box 4"/>
        <xdr:cNvSpPr txBox="1">
          <a:spLocks noChangeArrowheads="1"/>
        </xdr:cNvSpPr>
      </xdr:nvSpPr>
      <xdr:spPr bwMode="auto">
        <a:xfrm flipH="1">
          <a:off x="4743450" y="124206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2621168</xdr:colOff>
      <xdr:row>76</xdr:row>
      <xdr:rowOff>33129</xdr:rowOff>
    </xdr:to>
    <xdr:sp macro="" textlink="">
      <xdr:nvSpPr>
        <xdr:cNvPr id="209" name="Text Box 12"/>
        <xdr:cNvSpPr txBox="1">
          <a:spLocks noChangeArrowheads="1"/>
        </xdr:cNvSpPr>
      </xdr:nvSpPr>
      <xdr:spPr bwMode="auto">
        <a:xfrm flipH="1">
          <a:off x="4739528" y="124306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34377</xdr:rowOff>
    </xdr:to>
    <xdr:sp macro="" textlink="">
      <xdr:nvSpPr>
        <xdr:cNvPr id="210" name="Text Box 14"/>
        <xdr:cNvSpPr txBox="1">
          <a:spLocks noChangeArrowheads="1"/>
        </xdr:cNvSpPr>
      </xdr:nvSpPr>
      <xdr:spPr bwMode="auto">
        <a:xfrm flipH="1">
          <a:off x="4739528" y="124316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34376</xdr:rowOff>
    </xdr:to>
    <xdr:sp macro="" textlink="">
      <xdr:nvSpPr>
        <xdr:cNvPr id="211" name="Text Box 16"/>
        <xdr:cNvSpPr txBox="1">
          <a:spLocks noChangeArrowheads="1"/>
        </xdr:cNvSpPr>
      </xdr:nvSpPr>
      <xdr:spPr bwMode="auto">
        <a:xfrm flipH="1">
          <a:off x="4739528" y="124316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2621168</xdr:colOff>
      <xdr:row>76</xdr:row>
      <xdr:rowOff>3063</xdr:rowOff>
    </xdr:to>
    <xdr:sp macro="" textlink="">
      <xdr:nvSpPr>
        <xdr:cNvPr id="212" name="Text Box 12"/>
        <xdr:cNvSpPr txBox="1">
          <a:spLocks noChangeArrowheads="1"/>
        </xdr:cNvSpPr>
      </xdr:nvSpPr>
      <xdr:spPr bwMode="auto">
        <a:xfrm flipH="1">
          <a:off x="4739528" y="124192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2621168</xdr:colOff>
      <xdr:row>76</xdr:row>
      <xdr:rowOff>34736</xdr:rowOff>
    </xdr:to>
    <xdr:sp macro="" textlink="">
      <xdr:nvSpPr>
        <xdr:cNvPr id="213" name="Text Box 4"/>
        <xdr:cNvSpPr txBox="1">
          <a:spLocks noChangeArrowheads="1"/>
        </xdr:cNvSpPr>
      </xdr:nvSpPr>
      <xdr:spPr bwMode="auto">
        <a:xfrm flipH="1">
          <a:off x="4739528" y="124285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104</xdr:row>
      <xdr:rowOff>166913</xdr:rowOff>
    </xdr:from>
    <xdr:to>
      <xdr:col>5</xdr:col>
      <xdr:colOff>0</xdr:colOff>
      <xdr:row>105</xdr:row>
      <xdr:rowOff>23020</xdr:rowOff>
    </xdr:to>
    <xdr:sp macro="" textlink="">
      <xdr:nvSpPr>
        <xdr:cNvPr id="220" name="Text Box 4"/>
        <xdr:cNvSpPr txBox="1">
          <a:spLocks noChangeArrowheads="1"/>
        </xdr:cNvSpPr>
      </xdr:nvSpPr>
      <xdr:spPr bwMode="auto">
        <a:xfrm flipH="1">
          <a:off x="4743450" y="17388113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3866</xdr:rowOff>
    </xdr:from>
    <xdr:to>
      <xdr:col>5</xdr:col>
      <xdr:colOff>0</xdr:colOff>
      <xdr:row>105</xdr:row>
      <xdr:rowOff>5550</xdr:rowOff>
    </xdr:to>
    <xdr:sp macro="" textlink="">
      <xdr:nvSpPr>
        <xdr:cNvPr id="221" name="Text Box 12"/>
        <xdr:cNvSpPr txBox="1">
          <a:spLocks noChangeArrowheads="1"/>
        </xdr:cNvSpPr>
      </xdr:nvSpPr>
      <xdr:spPr bwMode="auto">
        <a:xfrm flipH="1">
          <a:off x="4743450" y="17396516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4901</xdr:rowOff>
    </xdr:from>
    <xdr:to>
      <xdr:col>5</xdr:col>
      <xdr:colOff>0</xdr:colOff>
      <xdr:row>105</xdr:row>
      <xdr:rowOff>5203</xdr:rowOff>
    </xdr:to>
    <xdr:sp macro="" textlink="">
      <xdr:nvSpPr>
        <xdr:cNvPr id="222" name="Text Box 14"/>
        <xdr:cNvSpPr txBox="1">
          <a:spLocks noChangeArrowheads="1"/>
        </xdr:cNvSpPr>
      </xdr:nvSpPr>
      <xdr:spPr bwMode="auto">
        <a:xfrm flipH="1">
          <a:off x="4743450" y="17397551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4901</xdr:rowOff>
    </xdr:from>
    <xdr:to>
      <xdr:col>5</xdr:col>
      <xdr:colOff>0</xdr:colOff>
      <xdr:row>105</xdr:row>
      <xdr:rowOff>5202</xdr:rowOff>
    </xdr:to>
    <xdr:sp macro="" textlink="">
      <xdr:nvSpPr>
        <xdr:cNvPr id="223" name="Text Box 16"/>
        <xdr:cNvSpPr txBox="1">
          <a:spLocks noChangeArrowheads="1"/>
        </xdr:cNvSpPr>
      </xdr:nvSpPr>
      <xdr:spPr bwMode="auto">
        <a:xfrm flipH="1">
          <a:off x="4743450" y="17397551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1962</xdr:rowOff>
    </xdr:from>
    <xdr:to>
      <xdr:col>5</xdr:col>
      <xdr:colOff>0</xdr:colOff>
      <xdr:row>105</xdr:row>
      <xdr:rowOff>2271</xdr:rowOff>
    </xdr:to>
    <xdr:sp macro="" textlink="">
      <xdr:nvSpPr>
        <xdr:cNvPr id="224" name="Text Box 12"/>
        <xdr:cNvSpPr txBox="1">
          <a:spLocks noChangeArrowheads="1"/>
        </xdr:cNvSpPr>
      </xdr:nvSpPr>
      <xdr:spPr bwMode="auto">
        <a:xfrm flipH="1">
          <a:off x="4743450" y="17394612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1813</xdr:rowOff>
    </xdr:from>
    <xdr:to>
      <xdr:col>5</xdr:col>
      <xdr:colOff>0</xdr:colOff>
      <xdr:row>105</xdr:row>
      <xdr:rowOff>14857</xdr:rowOff>
    </xdr:to>
    <xdr:sp macro="" textlink="">
      <xdr:nvSpPr>
        <xdr:cNvPr id="225" name="Text Box 4"/>
        <xdr:cNvSpPr txBox="1">
          <a:spLocks noChangeArrowheads="1"/>
        </xdr:cNvSpPr>
      </xdr:nvSpPr>
      <xdr:spPr bwMode="auto">
        <a:xfrm flipH="1">
          <a:off x="4743450" y="17394463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0</xdr:colOff>
      <xdr:row>76</xdr:row>
      <xdr:rowOff>9525</xdr:rowOff>
    </xdr:to>
    <xdr:sp macro="" textlink="">
      <xdr:nvSpPr>
        <xdr:cNvPr id="228" name="Text Box 4"/>
        <xdr:cNvSpPr txBox="1">
          <a:spLocks noChangeArrowheads="1"/>
        </xdr:cNvSpPr>
      </xdr:nvSpPr>
      <xdr:spPr bwMode="auto">
        <a:xfrm flipH="1">
          <a:off x="4743450" y="124206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10029</xdr:rowOff>
    </xdr:from>
    <xdr:to>
      <xdr:col>5</xdr:col>
      <xdr:colOff>0</xdr:colOff>
      <xdr:row>76</xdr:row>
      <xdr:rowOff>33129</xdr:rowOff>
    </xdr:to>
    <xdr:sp macro="" textlink="">
      <xdr:nvSpPr>
        <xdr:cNvPr id="229" name="Text Box 12"/>
        <xdr:cNvSpPr txBox="1">
          <a:spLocks noChangeArrowheads="1"/>
        </xdr:cNvSpPr>
      </xdr:nvSpPr>
      <xdr:spPr bwMode="auto">
        <a:xfrm flipH="1">
          <a:off x="4743450" y="1243062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34377</xdr:rowOff>
    </xdr:to>
    <xdr:sp macro="" textlink="">
      <xdr:nvSpPr>
        <xdr:cNvPr id="230" name="Text Box 14"/>
        <xdr:cNvSpPr txBox="1">
          <a:spLocks noChangeArrowheads="1"/>
        </xdr:cNvSpPr>
      </xdr:nvSpPr>
      <xdr:spPr bwMode="auto">
        <a:xfrm flipH="1">
          <a:off x="4743450" y="1243166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34376</xdr:rowOff>
    </xdr:to>
    <xdr:sp macro="" textlink="">
      <xdr:nvSpPr>
        <xdr:cNvPr id="231" name="Text Box 16"/>
        <xdr:cNvSpPr txBox="1">
          <a:spLocks noChangeArrowheads="1"/>
        </xdr:cNvSpPr>
      </xdr:nvSpPr>
      <xdr:spPr bwMode="auto">
        <a:xfrm flipH="1">
          <a:off x="4743450" y="1243166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75</xdr:row>
      <xdr:rowOff>170050</xdr:rowOff>
    </xdr:from>
    <xdr:to>
      <xdr:col>5</xdr:col>
      <xdr:colOff>0</xdr:colOff>
      <xdr:row>76</xdr:row>
      <xdr:rowOff>3063</xdr:rowOff>
    </xdr:to>
    <xdr:sp macro="" textlink="">
      <xdr:nvSpPr>
        <xdr:cNvPr id="232" name="Text Box 12"/>
        <xdr:cNvSpPr txBox="1">
          <a:spLocks noChangeArrowheads="1"/>
        </xdr:cNvSpPr>
      </xdr:nvSpPr>
      <xdr:spPr bwMode="auto">
        <a:xfrm flipH="1">
          <a:off x="4743450" y="1241920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7976</xdr:rowOff>
    </xdr:from>
    <xdr:to>
      <xdr:col>5</xdr:col>
      <xdr:colOff>0</xdr:colOff>
      <xdr:row>76</xdr:row>
      <xdr:rowOff>34736</xdr:rowOff>
    </xdr:to>
    <xdr:sp macro="" textlink="">
      <xdr:nvSpPr>
        <xdr:cNvPr id="233" name="Text Box 4"/>
        <xdr:cNvSpPr txBox="1">
          <a:spLocks noChangeArrowheads="1"/>
        </xdr:cNvSpPr>
      </xdr:nvSpPr>
      <xdr:spPr bwMode="auto">
        <a:xfrm flipH="1">
          <a:off x="4743450" y="1242857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0</xdr:colOff>
      <xdr:row>76</xdr:row>
      <xdr:rowOff>9525</xdr:rowOff>
    </xdr:to>
    <xdr:sp macro="" textlink="">
      <xdr:nvSpPr>
        <xdr:cNvPr id="236" name="Text Box 4"/>
        <xdr:cNvSpPr txBox="1">
          <a:spLocks noChangeArrowheads="1"/>
        </xdr:cNvSpPr>
      </xdr:nvSpPr>
      <xdr:spPr bwMode="auto">
        <a:xfrm flipH="1">
          <a:off x="4743450" y="124206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10029</xdr:rowOff>
    </xdr:from>
    <xdr:to>
      <xdr:col>5</xdr:col>
      <xdr:colOff>0</xdr:colOff>
      <xdr:row>76</xdr:row>
      <xdr:rowOff>33129</xdr:rowOff>
    </xdr:to>
    <xdr:sp macro="" textlink="">
      <xdr:nvSpPr>
        <xdr:cNvPr id="237" name="Text Box 12"/>
        <xdr:cNvSpPr txBox="1">
          <a:spLocks noChangeArrowheads="1"/>
        </xdr:cNvSpPr>
      </xdr:nvSpPr>
      <xdr:spPr bwMode="auto">
        <a:xfrm flipH="1">
          <a:off x="4743450" y="1243062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34377</xdr:rowOff>
    </xdr:to>
    <xdr:sp macro="" textlink="">
      <xdr:nvSpPr>
        <xdr:cNvPr id="238" name="Text Box 14"/>
        <xdr:cNvSpPr txBox="1">
          <a:spLocks noChangeArrowheads="1"/>
        </xdr:cNvSpPr>
      </xdr:nvSpPr>
      <xdr:spPr bwMode="auto">
        <a:xfrm flipH="1">
          <a:off x="4743450" y="1243166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34376</xdr:rowOff>
    </xdr:to>
    <xdr:sp macro="" textlink="">
      <xdr:nvSpPr>
        <xdr:cNvPr id="239" name="Text Box 16"/>
        <xdr:cNvSpPr txBox="1">
          <a:spLocks noChangeArrowheads="1"/>
        </xdr:cNvSpPr>
      </xdr:nvSpPr>
      <xdr:spPr bwMode="auto">
        <a:xfrm flipH="1">
          <a:off x="4743450" y="1243166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75</xdr:row>
      <xdr:rowOff>170050</xdr:rowOff>
    </xdr:from>
    <xdr:to>
      <xdr:col>5</xdr:col>
      <xdr:colOff>0</xdr:colOff>
      <xdr:row>76</xdr:row>
      <xdr:rowOff>3063</xdr:rowOff>
    </xdr:to>
    <xdr:sp macro="" textlink="">
      <xdr:nvSpPr>
        <xdr:cNvPr id="240" name="Text Box 12"/>
        <xdr:cNvSpPr txBox="1">
          <a:spLocks noChangeArrowheads="1"/>
        </xdr:cNvSpPr>
      </xdr:nvSpPr>
      <xdr:spPr bwMode="auto">
        <a:xfrm flipH="1">
          <a:off x="4743450" y="1241920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7976</xdr:rowOff>
    </xdr:from>
    <xdr:to>
      <xdr:col>5</xdr:col>
      <xdr:colOff>0</xdr:colOff>
      <xdr:row>76</xdr:row>
      <xdr:rowOff>34736</xdr:rowOff>
    </xdr:to>
    <xdr:sp macro="" textlink="">
      <xdr:nvSpPr>
        <xdr:cNvPr id="241" name="Text Box 4"/>
        <xdr:cNvSpPr txBox="1">
          <a:spLocks noChangeArrowheads="1"/>
        </xdr:cNvSpPr>
      </xdr:nvSpPr>
      <xdr:spPr bwMode="auto">
        <a:xfrm flipH="1">
          <a:off x="4743450" y="1242857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28575</xdr:colOff>
      <xdr:row>76</xdr:row>
      <xdr:rowOff>9525</xdr:rowOff>
    </xdr:to>
    <xdr:sp macro="" textlink="">
      <xdr:nvSpPr>
        <xdr:cNvPr id="244" name="Text Box 4"/>
        <xdr:cNvSpPr txBox="1">
          <a:spLocks noChangeArrowheads="1"/>
        </xdr:cNvSpPr>
      </xdr:nvSpPr>
      <xdr:spPr bwMode="auto">
        <a:xfrm flipH="1">
          <a:off x="4743450" y="124206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2621168</xdr:colOff>
      <xdr:row>76</xdr:row>
      <xdr:rowOff>33129</xdr:rowOff>
    </xdr:to>
    <xdr:sp macro="" textlink="">
      <xdr:nvSpPr>
        <xdr:cNvPr id="245" name="Text Box 12"/>
        <xdr:cNvSpPr txBox="1">
          <a:spLocks noChangeArrowheads="1"/>
        </xdr:cNvSpPr>
      </xdr:nvSpPr>
      <xdr:spPr bwMode="auto">
        <a:xfrm flipH="1">
          <a:off x="4739528" y="124306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34377</xdr:rowOff>
    </xdr:to>
    <xdr:sp macro="" textlink="">
      <xdr:nvSpPr>
        <xdr:cNvPr id="246" name="Text Box 14"/>
        <xdr:cNvSpPr txBox="1">
          <a:spLocks noChangeArrowheads="1"/>
        </xdr:cNvSpPr>
      </xdr:nvSpPr>
      <xdr:spPr bwMode="auto">
        <a:xfrm flipH="1">
          <a:off x="4739528" y="124316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34376</xdr:rowOff>
    </xdr:to>
    <xdr:sp macro="" textlink="">
      <xdr:nvSpPr>
        <xdr:cNvPr id="247" name="Text Box 16"/>
        <xdr:cNvSpPr txBox="1">
          <a:spLocks noChangeArrowheads="1"/>
        </xdr:cNvSpPr>
      </xdr:nvSpPr>
      <xdr:spPr bwMode="auto">
        <a:xfrm flipH="1">
          <a:off x="4739528" y="124316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2621168</xdr:colOff>
      <xdr:row>76</xdr:row>
      <xdr:rowOff>3063</xdr:rowOff>
    </xdr:to>
    <xdr:sp macro="" textlink="">
      <xdr:nvSpPr>
        <xdr:cNvPr id="248" name="Text Box 12"/>
        <xdr:cNvSpPr txBox="1">
          <a:spLocks noChangeArrowheads="1"/>
        </xdr:cNvSpPr>
      </xdr:nvSpPr>
      <xdr:spPr bwMode="auto">
        <a:xfrm flipH="1">
          <a:off x="4739528" y="124192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2621168</xdr:colOff>
      <xdr:row>76</xdr:row>
      <xdr:rowOff>34736</xdr:rowOff>
    </xdr:to>
    <xdr:sp macro="" textlink="">
      <xdr:nvSpPr>
        <xdr:cNvPr id="249" name="Text Box 4"/>
        <xdr:cNvSpPr txBox="1">
          <a:spLocks noChangeArrowheads="1"/>
        </xdr:cNvSpPr>
      </xdr:nvSpPr>
      <xdr:spPr bwMode="auto">
        <a:xfrm flipH="1">
          <a:off x="4739528" y="124285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28575</xdr:colOff>
      <xdr:row>76</xdr:row>
      <xdr:rowOff>9525</xdr:rowOff>
    </xdr:to>
    <xdr:sp macro="" textlink="">
      <xdr:nvSpPr>
        <xdr:cNvPr id="252" name="Text Box 4"/>
        <xdr:cNvSpPr txBox="1">
          <a:spLocks noChangeArrowheads="1"/>
        </xdr:cNvSpPr>
      </xdr:nvSpPr>
      <xdr:spPr bwMode="auto">
        <a:xfrm flipH="1">
          <a:off x="4743450" y="124206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2621168</xdr:colOff>
      <xdr:row>76</xdr:row>
      <xdr:rowOff>33129</xdr:rowOff>
    </xdr:to>
    <xdr:sp macro="" textlink="">
      <xdr:nvSpPr>
        <xdr:cNvPr id="253" name="Text Box 12"/>
        <xdr:cNvSpPr txBox="1">
          <a:spLocks noChangeArrowheads="1"/>
        </xdr:cNvSpPr>
      </xdr:nvSpPr>
      <xdr:spPr bwMode="auto">
        <a:xfrm flipH="1">
          <a:off x="4739528" y="124306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34377</xdr:rowOff>
    </xdr:to>
    <xdr:sp macro="" textlink="">
      <xdr:nvSpPr>
        <xdr:cNvPr id="254" name="Text Box 14"/>
        <xdr:cNvSpPr txBox="1">
          <a:spLocks noChangeArrowheads="1"/>
        </xdr:cNvSpPr>
      </xdr:nvSpPr>
      <xdr:spPr bwMode="auto">
        <a:xfrm flipH="1">
          <a:off x="4739528" y="124316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2621168</xdr:colOff>
      <xdr:row>76</xdr:row>
      <xdr:rowOff>34376</xdr:rowOff>
    </xdr:to>
    <xdr:sp macro="" textlink="">
      <xdr:nvSpPr>
        <xdr:cNvPr id="255" name="Text Box 16"/>
        <xdr:cNvSpPr txBox="1">
          <a:spLocks noChangeArrowheads="1"/>
        </xdr:cNvSpPr>
      </xdr:nvSpPr>
      <xdr:spPr bwMode="auto">
        <a:xfrm flipH="1">
          <a:off x="4739528" y="124316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2621168</xdr:colOff>
      <xdr:row>76</xdr:row>
      <xdr:rowOff>3063</xdr:rowOff>
    </xdr:to>
    <xdr:sp macro="" textlink="">
      <xdr:nvSpPr>
        <xdr:cNvPr id="256" name="Text Box 12"/>
        <xdr:cNvSpPr txBox="1">
          <a:spLocks noChangeArrowheads="1"/>
        </xdr:cNvSpPr>
      </xdr:nvSpPr>
      <xdr:spPr bwMode="auto">
        <a:xfrm flipH="1">
          <a:off x="4739528" y="124192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2621168</xdr:colOff>
      <xdr:row>76</xdr:row>
      <xdr:rowOff>34736</xdr:rowOff>
    </xdr:to>
    <xdr:sp macro="" textlink="">
      <xdr:nvSpPr>
        <xdr:cNvPr id="257" name="Text Box 4"/>
        <xdr:cNvSpPr txBox="1">
          <a:spLocks noChangeArrowheads="1"/>
        </xdr:cNvSpPr>
      </xdr:nvSpPr>
      <xdr:spPr bwMode="auto">
        <a:xfrm flipH="1">
          <a:off x="4739528" y="124285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104</xdr:row>
      <xdr:rowOff>166913</xdr:rowOff>
    </xdr:from>
    <xdr:to>
      <xdr:col>4</xdr:col>
      <xdr:colOff>2586878</xdr:colOff>
      <xdr:row>105</xdr:row>
      <xdr:rowOff>34746</xdr:rowOff>
    </xdr:to>
    <xdr:sp macro="" textlink="">
      <xdr:nvSpPr>
        <xdr:cNvPr id="264" name="Text Box 4"/>
        <xdr:cNvSpPr txBox="1">
          <a:spLocks noChangeArrowheads="1"/>
        </xdr:cNvSpPr>
      </xdr:nvSpPr>
      <xdr:spPr bwMode="auto">
        <a:xfrm flipH="1">
          <a:off x="4739528" y="173881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3866</xdr:rowOff>
    </xdr:from>
    <xdr:to>
      <xdr:col>4</xdr:col>
      <xdr:colOff>2586878</xdr:colOff>
      <xdr:row>105</xdr:row>
      <xdr:rowOff>36591</xdr:rowOff>
    </xdr:to>
    <xdr:sp macro="" textlink="">
      <xdr:nvSpPr>
        <xdr:cNvPr id="265" name="Text Box 12"/>
        <xdr:cNvSpPr txBox="1">
          <a:spLocks noChangeArrowheads="1"/>
        </xdr:cNvSpPr>
      </xdr:nvSpPr>
      <xdr:spPr bwMode="auto">
        <a:xfrm flipH="1">
          <a:off x="4739528" y="173965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39644</xdr:rowOff>
    </xdr:to>
    <xdr:sp macro="" textlink="">
      <xdr:nvSpPr>
        <xdr:cNvPr id="266" name="Text Box 14"/>
        <xdr:cNvSpPr txBox="1">
          <a:spLocks noChangeArrowheads="1"/>
        </xdr:cNvSpPr>
      </xdr:nvSpPr>
      <xdr:spPr bwMode="auto">
        <a:xfrm flipH="1">
          <a:off x="4739528" y="173975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39643</xdr:rowOff>
    </xdr:to>
    <xdr:sp macro="" textlink="">
      <xdr:nvSpPr>
        <xdr:cNvPr id="267" name="Text Box 16"/>
        <xdr:cNvSpPr txBox="1">
          <a:spLocks noChangeArrowheads="1"/>
        </xdr:cNvSpPr>
      </xdr:nvSpPr>
      <xdr:spPr bwMode="auto">
        <a:xfrm flipH="1">
          <a:off x="4739528" y="173975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1962</xdr:rowOff>
    </xdr:from>
    <xdr:to>
      <xdr:col>4</xdr:col>
      <xdr:colOff>2586878</xdr:colOff>
      <xdr:row>105</xdr:row>
      <xdr:rowOff>32124</xdr:rowOff>
    </xdr:to>
    <xdr:sp macro="" textlink="">
      <xdr:nvSpPr>
        <xdr:cNvPr id="268" name="Text Box 12"/>
        <xdr:cNvSpPr txBox="1">
          <a:spLocks noChangeArrowheads="1"/>
        </xdr:cNvSpPr>
      </xdr:nvSpPr>
      <xdr:spPr bwMode="auto">
        <a:xfrm flipH="1">
          <a:off x="4739528" y="173946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1813</xdr:rowOff>
    </xdr:from>
    <xdr:to>
      <xdr:col>4</xdr:col>
      <xdr:colOff>2586878</xdr:colOff>
      <xdr:row>105</xdr:row>
      <xdr:rowOff>22477</xdr:rowOff>
    </xdr:to>
    <xdr:sp macro="" textlink="">
      <xdr:nvSpPr>
        <xdr:cNvPr id="269" name="Text Box 4"/>
        <xdr:cNvSpPr txBox="1">
          <a:spLocks noChangeArrowheads="1"/>
        </xdr:cNvSpPr>
      </xdr:nvSpPr>
      <xdr:spPr bwMode="auto">
        <a:xfrm flipH="1">
          <a:off x="4739528" y="173944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1626</xdr:rowOff>
    </xdr:from>
    <xdr:to>
      <xdr:col>4</xdr:col>
      <xdr:colOff>2586878</xdr:colOff>
      <xdr:row>76</xdr:row>
      <xdr:rowOff>82082</xdr:rowOff>
    </xdr:to>
    <xdr:sp macro="" textlink="">
      <xdr:nvSpPr>
        <xdr:cNvPr id="272" name="Text Box 4"/>
        <xdr:cNvSpPr txBox="1">
          <a:spLocks noChangeArrowheads="1"/>
        </xdr:cNvSpPr>
      </xdr:nvSpPr>
      <xdr:spPr bwMode="auto">
        <a:xfrm flipH="1">
          <a:off x="4739528" y="124222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2586878</xdr:colOff>
      <xdr:row>76</xdr:row>
      <xdr:rowOff>34573</xdr:rowOff>
    </xdr:to>
    <xdr:sp macro="" textlink="">
      <xdr:nvSpPr>
        <xdr:cNvPr id="273" name="Text Box 12"/>
        <xdr:cNvSpPr txBox="1">
          <a:spLocks noChangeArrowheads="1"/>
        </xdr:cNvSpPr>
      </xdr:nvSpPr>
      <xdr:spPr bwMode="auto">
        <a:xfrm flipH="1">
          <a:off x="4739528" y="124306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2586878</xdr:colOff>
      <xdr:row>76</xdr:row>
      <xdr:rowOff>34226</xdr:rowOff>
    </xdr:to>
    <xdr:sp macro="" textlink="">
      <xdr:nvSpPr>
        <xdr:cNvPr id="274" name="Text Box 14"/>
        <xdr:cNvSpPr txBox="1">
          <a:spLocks noChangeArrowheads="1"/>
        </xdr:cNvSpPr>
      </xdr:nvSpPr>
      <xdr:spPr bwMode="auto">
        <a:xfrm flipH="1">
          <a:off x="4739528" y="124316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2586878</xdr:colOff>
      <xdr:row>76</xdr:row>
      <xdr:rowOff>34225</xdr:rowOff>
    </xdr:to>
    <xdr:sp macro="" textlink="">
      <xdr:nvSpPr>
        <xdr:cNvPr id="275" name="Text Box 16"/>
        <xdr:cNvSpPr txBox="1">
          <a:spLocks noChangeArrowheads="1"/>
        </xdr:cNvSpPr>
      </xdr:nvSpPr>
      <xdr:spPr bwMode="auto">
        <a:xfrm flipH="1">
          <a:off x="4739528" y="124316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2586878</xdr:colOff>
      <xdr:row>76</xdr:row>
      <xdr:rowOff>79589</xdr:rowOff>
    </xdr:to>
    <xdr:sp macro="" textlink="">
      <xdr:nvSpPr>
        <xdr:cNvPr id="276" name="Text Box 12"/>
        <xdr:cNvSpPr txBox="1">
          <a:spLocks noChangeArrowheads="1"/>
        </xdr:cNvSpPr>
      </xdr:nvSpPr>
      <xdr:spPr bwMode="auto">
        <a:xfrm flipH="1">
          <a:off x="4739528" y="124192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2586878</xdr:colOff>
      <xdr:row>76</xdr:row>
      <xdr:rowOff>38972</xdr:rowOff>
    </xdr:to>
    <xdr:sp macro="" textlink="">
      <xdr:nvSpPr>
        <xdr:cNvPr id="277" name="Text Box 4"/>
        <xdr:cNvSpPr txBox="1">
          <a:spLocks noChangeArrowheads="1"/>
        </xdr:cNvSpPr>
      </xdr:nvSpPr>
      <xdr:spPr bwMode="auto">
        <a:xfrm flipH="1">
          <a:off x="4739528" y="124285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1626</xdr:rowOff>
    </xdr:from>
    <xdr:to>
      <xdr:col>4</xdr:col>
      <xdr:colOff>2586878</xdr:colOff>
      <xdr:row>76</xdr:row>
      <xdr:rowOff>82082</xdr:rowOff>
    </xdr:to>
    <xdr:sp macro="" textlink="">
      <xdr:nvSpPr>
        <xdr:cNvPr id="280" name="Text Box 4"/>
        <xdr:cNvSpPr txBox="1">
          <a:spLocks noChangeArrowheads="1"/>
        </xdr:cNvSpPr>
      </xdr:nvSpPr>
      <xdr:spPr bwMode="auto">
        <a:xfrm flipH="1">
          <a:off x="4739528" y="124222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2586878</xdr:colOff>
      <xdr:row>76</xdr:row>
      <xdr:rowOff>34573</xdr:rowOff>
    </xdr:to>
    <xdr:sp macro="" textlink="">
      <xdr:nvSpPr>
        <xdr:cNvPr id="281" name="Text Box 12"/>
        <xdr:cNvSpPr txBox="1">
          <a:spLocks noChangeArrowheads="1"/>
        </xdr:cNvSpPr>
      </xdr:nvSpPr>
      <xdr:spPr bwMode="auto">
        <a:xfrm flipH="1">
          <a:off x="4739528" y="124306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2586878</xdr:colOff>
      <xdr:row>76</xdr:row>
      <xdr:rowOff>34226</xdr:rowOff>
    </xdr:to>
    <xdr:sp macro="" textlink="">
      <xdr:nvSpPr>
        <xdr:cNvPr id="282" name="Text Box 14"/>
        <xdr:cNvSpPr txBox="1">
          <a:spLocks noChangeArrowheads="1"/>
        </xdr:cNvSpPr>
      </xdr:nvSpPr>
      <xdr:spPr bwMode="auto">
        <a:xfrm flipH="1">
          <a:off x="4739528" y="124316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2586878</xdr:colOff>
      <xdr:row>76</xdr:row>
      <xdr:rowOff>34225</xdr:rowOff>
    </xdr:to>
    <xdr:sp macro="" textlink="">
      <xdr:nvSpPr>
        <xdr:cNvPr id="283" name="Text Box 16"/>
        <xdr:cNvSpPr txBox="1">
          <a:spLocks noChangeArrowheads="1"/>
        </xdr:cNvSpPr>
      </xdr:nvSpPr>
      <xdr:spPr bwMode="auto">
        <a:xfrm flipH="1">
          <a:off x="4739528" y="124316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2586878</xdr:colOff>
      <xdr:row>76</xdr:row>
      <xdr:rowOff>79589</xdr:rowOff>
    </xdr:to>
    <xdr:sp macro="" textlink="">
      <xdr:nvSpPr>
        <xdr:cNvPr id="284" name="Text Box 12"/>
        <xdr:cNvSpPr txBox="1">
          <a:spLocks noChangeArrowheads="1"/>
        </xdr:cNvSpPr>
      </xdr:nvSpPr>
      <xdr:spPr bwMode="auto">
        <a:xfrm flipH="1">
          <a:off x="4739528" y="124192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2586878</xdr:colOff>
      <xdr:row>76</xdr:row>
      <xdr:rowOff>38972</xdr:rowOff>
    </xdr:to>
    <xdr:sp macro="" textlink="">
      <xdr:nvSpPr>
        <xdr:cNvPr id="285" name="Text Box 4"/>
        <xdr:cNvSpPr txBox="1">
          <a:spLocks noChangeArrowheads="1"/>
        </xdr:cNvSpPr>
      </xdr:nvSpPr>
      <xdr:spPr bwMode="auto">
        <a:xfrm flipH="1">
          <a:off x="4739528" y="124285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104</xdr:row>
      <xdr:rowOff>166913</xdr:rowOff>
    </xdr:from>
    <xdr:to>
      <xdr:col>5</xdr:col>
      <xdr:colOff>0</xdr:colOff>
      <xdr:row>105</xdr:row>
      <xdr:rowOff>34746</xdr:rowOff>
    </xdr:to>
    <xdr:sp macro="" textlink="">
      <xdr:nvSpPr>
        <xdr:cNvPr id="292" name="Text Box 4"/>
        <xdr:cNvSpPr txBox="1">
          <a:spLocks noChangeArrowheads="1"/>
        </xdr:cNvSpPr>
      </xdr:nvSpPr>
      <xdr:spPr bwMode="auto">
        <a:xfrm flipH="1">
          <a:off x="4743450" y="173881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3866</xdr:rowOff>
    </xdr:from>
    <xdr:to>
      <xdr:col>5</xdr:col>
      <xdr:colOff>0</xdr:colOff>
      <xdr:row>105</xdr:row>
      <xdr:rowOff>36591</xdr:rowOff>
    </xdr:to>
    <xdr:sp macro="" textlink="">
      <xdr:nvSpPr>
        <xdr:cNvPr id="293" name="Text Box 12"/>
        <xdr:cNvSpPr txBox="1">
          <a:spLocks noChangeArrowheads="1"/>
        </xdr:cNvSpPr>
      </xdr:nvSpPr>
      <xdr:spPr bwMode="auto">
        <a:xfrm flipH="1">
          <a:off x="4743450" y="173965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4901</xdr:rowOff>
    </xdr:from>
    <xdr:to>
      <xdr:col>5</xdr:col>
      <xdr:colOff>0</xdr:colOff>
      <xdr:row>105</xdr:row>
      <xdr:rowOff>39644</xdr:rowOff>
    </xdr:to>
    <xdr:sp macro="" textlink="">
      <xdr:nvSpPr>
        <xdr:cNvPr id="294" name="Text Box 14"/>
        <xdr:cNvSpPr txBox="1">
          <a:spLocks noChangeArrowheads="1"/>
        </xdr:cNvSpPr>
      </xdr:nvSpPr>
      <xdr:spPr bwMode="auto">
        <a:xfrm flipH="1">
          <a:off x="4743450" y="173975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4901</xdr:rowOff>
    </xdr:from>
    <xdr:to>
      <xdr:col>5</xdr:col>
      <xdr:colOff>0</xdr:colOff>
      <xdr:row>105</xdr:row>
      <xdr:rowOff>39643</xdr:rowOff>
    </xdr:to>
    <xdr:sp macro="" textlink="">
      <xdr:nvSpPr>
        <xdr:cNvPr id="295" name="Text Box 16"/>
        <xdr:cNvSpPr txBox="1">
          <a:spLocks noChangeArrowheads="1"/>
        </xdr:cNvSpPr>
      </xdr:nvSpPr>
      <xdr:spPr bwMode="auto">
        <a:xfrm flipH="1">
          <a:off x="4743450" y="173975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1962</xdr:rowOff>
    </xdr:from>
    <xdr:to>
      <xdr:col>5</xdr:col>
      <xdr:colOff>0</xdr:colOff>
      <xdr:row>105</xdr:row>
      <xdr:rowOff>32124</xdr:rowOff>
    </xdr:to>
    <xdr:sp macro="" textlink="">
      <xdr:nvSpPr>
        <xdr:cNvPr id="296" name="Text Box 12"/>
        <xdr:cNvSpPr txBox="1">
          <a:spLocks noChangeArrowheads="1"/>
        </xdr:cNvSpPr>
      </xdr:nvSpPr>
      <xdr:spPr bwMode="auto">
        <a:xfrm flipH="1">
          <a:off x="4743450" y="173946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1813</xdr:rowOff>
    </xdr:from>
    <xdr:to>
      <xdr:col>5</xdr:col>
      <xdr:colOff>0</xdr:colOff>
      <xdr:row>105</xdr:row>
      <xdr:rowOff>22477</xdr:rowOff>
    </xdr:to>
    <xdr:sp macro="" textlink="">
      <xdr:nvSpPr>
        <xdr:cNvPr id="297" name="Text Box 4"/>
        <xdr:cNvSpPr txBox="1">
          <a:spLocks noChangeArrowheads="1"/>
        </xdr:cNvSpPr>
      </xdr:nvSpPr>
      <xdr:spPr bwMode="auto">
        <a:xfrm flipH="1">
          <a:off x="4743450" y="173944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1626</xdr:rowOff>
    </xdr:from>
    <xdr:to>
      <xdr:col>5</xdr:col>
      <xdr:colOff>0</xdr:colOff>
      <xdr:row>76</xdr:row>
      <xdr:rowOff>82082</xdr:rowOff>
    </xdr:to>
    <xdr:sp macro="" textlink="">
      <xdr:nvSpPr>
        <xdr:cNvPr id="300" name="Text Box 4"/>
        <xdr:cNvSpPr txBox="1">
          <a:spLocks noChangeArrowheads="1"/>
        </xdr:cNvSpPr>
      </xdr:nvSpPr>
      <xdr:spPr bwMode="auto">
        <a:xfrm flipH="1">
          <a:off x="4743450" y="124222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10029</xdr:rowOff>
    </xdr:from>
    <xdr:to>
      <xdr:col>5</xdr:col>
      <xdr:colOff>0</xdr:colOff>
      <xdr:row>76</xdr:row>
      <xdr:rowOff>34573</xdr:rowOff>
    </xdr:to>
    <xdr:sp macro="" textlink="">
      <xdr:nvSpPr>
        <xdr:cNvPr id="301" name="Text Box 12"/>
        <xdr:cNvSpPr txBox="1">
          <a:spLocks noChangeArrowheads="1"/>
        </xdr:cNvSpPr>
      </xdr:nvSpPr>
      <xdr:spPr bwMode="auto">
        <a:xfrm flipH="1">
          <a:off x="4743450" y="124306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34226</xdr:rowOff>
    </xdr:to>
    <xdr:sp macro="" textlink="">
      <xdr:nvSpPr>
        <xdr:cNvPr id="302" name="Text Box 14"/>
        <xdr:cNvSpPr txBox="1">
          <a:spLocks noChangeArrowheads="1"/>
        </xdr:cNvSpPr>
      </xdr:nvSpPr>
      <xdr:spPr bwMode="auto">
        <a:xfrm flipH="1">
          <a:off x="4743450" y="124316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34225</xdr:rowOff>
    </xdr:to>
    <xdr:sp macro="" textlink="">
      <xdr:nvSpPr>
        <xdr:cNvPr id="303" name="Text Box 16"/>
        <xdr:cNvSpPr txBox="1">
          <a:spLocks noChangeArrowheads="1"/>
        </xdr:cNvSpPr>
      </xdr:nvSpPr>
      <xdr:spPr bwMode="auto">
        <a:xfrm flipH="1">
          <a:off x="4743450" y="124316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75</xdr:row>
      <xdr:rowOff>170050</xdr:rowOff>
    </xdr:from>
    <xdr:to>
      <xdr:col>5</xdr:col>
      <xdr:colOff>0</xdr:colOff>
      <xdr:row>76</xdr:row>
      <xdr:rowOff>79589</xdr:rowOff>
    </xdr:to>
    <xdr:sp macro="" textlink="">
      <xdr:nvSpPr>
        <xdr:cNvPr id="304" name="Text Box 12"/>
        <xdr:cNvSpPr txBox="1">
          <a:spLocks noChangeArrowheads="1"/>
        </xdr:cNvSpPr>
      </xdr:nvSpPr>
      <xdr:spPr bwMode="auto">
        <a:xfrm flipH="1">
          <a:off x="4743450" y="124192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7976</xdr:rowOff>
    </xdr:from>
    <xdr:to>
      <xdr:col>5</xdr:col>
      <xdr:colOff>0</xdr:colOff>
      <xdr:row>76</xdr:row>
      <xdr:rowOff>38972</xdr:rowOff>
    </xdr:to>
    <xdr:sp macro="" textlink="">
      <xdr:nvSpPr>
        <xdr:cNvPr id="305" name="Text Box 4"/>
        <xdr:cNvSpPr txBox="1">
          <a:spLocks noChangeArrowheads="1"/>
        </xdr:cNvSpPr>
      </xdr:nvSpPr>
      <xdr:spPr bwMode="auto">
        <a:xfrm flipH="1">
          <a:off x="4743450" y="124285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1626</xdr:rowOff>
    </xdr:from>
    <xdr:to>
      <xdr:col>5</xdr:col>
      <xdr:colOff>0</xdr:colOff>
      <xdr:row>76</xdr:row>
      <xdr:rowOff>82082</xdr:rowOff>
    </xdr:to>
    <xdr:sp macro="" textlink="">
      <xdr:nvSpPr>
        <xdr:cNvPr id="308" name="Text Box 4"/>
        <xdr:cNvSpPr txBox="1">
          <a:spLocks noChangeArrowheads="1"/>
        </xdr:cNvSpPr>
      </xdr:nvSpPr>
      <xdr:spPr bwMode="auto">
        <a:xfrm flipH="1">
          <a:off x="4743450" y="124222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10029</xdr:rowOff>
    </xdr:from>
    <xdr:to>
      <xdr:col>5</xdr:col>
      <xdr:colOff>0</xdr:colOff>
      <xdr:row>76</xdr:row>
      <xdr:rowOff>34573</xdr:rowOff>
    </xdr:to>
    <xdr:sp macro="" textlink="">
      <xdr:nvSpPr>
        <xdr:cNvPr id="309" name="Text Box 12"/>
        <xdr:cNvSpPr txBox="1">
          <a:spLocks noChangeArrowheads="1"/>
        </xdr:cNvSpPr>
      </xdr:nvSpPr>
      <xdr:spPr bwMode="auto">
        <a:xfrm flipH="1">
          <a:off x="4743450" y="124306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34226</xdr:rowOff>
    </xdr:to>
    <xdr:sp macro="" textlink="">
      <xdr:nvSpPr>
        <xdr:cNvPr id="310" name="Text Box 14"/>
        <xdr:cNvSpPr txBox="1">
          <a:spLocks noChangeArrowheads="1"/>
        </xdr:cNvSpPr>
      </xdr:nvSpPr>
      <xdr:spPr bwMode="auto">
        <a:xfrm flipH="1">
          <a:off x="4743450" y="124316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34225</xdr:rowOff>
    </xdr:to>
    <xdr:sp macro="" textlink="">
      <xdr:nvSpPr>
        <xdr:cNvPr id="311" name="Text Box 16"/>
        <xdr:cNvSpPr txBox="1">
          <a:spLocks noChangeArrowheads="1"/>
        </xdr:cNvSpPr>
      </xdr:nvSpPr>
      <xdr:spPr bwMode="auto">
        <a:xfrm flipH="1">
          <a:off x="4743450" y="124316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75</xdr:row>
      <xdr:rowOff>170050</xdr:rowOff>
    </xdr:from>
    <xdr:to>
      <xdr:col>5</xdr:col>
      <xdr:colOff>0</xdr:colOff>
      <xdr:row>76</xdr:row>
      <xdr:rowOff>79589</xdr:rowOff>
    </xdr:to>
    <xdr:sp macro="" textlink="">
      <xdr:nvSpPr>
        <xdr:cNvPr id="312" name="Text Box 12"/>
        <xdr:cNvSpPr txBox="1">
          <a:spLocks noChangeArrowheads="1"/>
        </xdr:cNvSpPr>
      </xdr:nvSpPr>
      <xdr:spPr bwMode="auto">
        <a:xfrm flipH="1">
          <a:off x="4743450" y="124192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7976</xdr:rowOff>
    </xdr:from>
    <xdr:to>
      <xdr:col>5</xdr:col>
      <xdr:colOff>0</xdr:colOff>
      <xdr:row>76</xdr:row>
      <xdr:rowOff>38972</xdr:rowOff>
    </xdr:to>
    <xdr:sp macro="" textlink="">
      <xdr:nvSpPr>
        <xdr:cNvPr id="313" name="Text Box 4"/>
        <xdr:cNvSpPr txBox="1">
          <a:spLocks noChangeArrowheads="1"/>
        </xdr:cNvSpPr>
      </xdr:nvSpPr>
      <xdr:spPr bwMode="auto">
        <a:xfrm flipH="1">
          <a:off x="4743450" y="124285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104</xdr:row>
      <xdr:rowOff>166913</xdr:rowOff>
    </xdr:from>
    <xdr:to>
      <xdr:col>4</xdr:col>
      <xdr:colOff>2586878</xdr:colOff>
      <xdr:row>105</xdr:row>
      <xdr:rowOff>34746</xdr:rowOff>
    </xdr:to>
    <xdr:sp macro="" textlink="">
      <xdr:nvSpPr>
        <xdr:cNvPr id="320" name="Text Box 4"/>
        <xdr:cNvSpPr txBox="1">
          <a:spLocks noChangeArrowheads="1"/>
        </xdr:cNvSpPr>
      </xdr:nvSpPr>
      <xdr:spPr bwMode="auto">
        <a:xfrm flipH="1">
          <a:off x="4739528" y="173881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3866</xdr:rowOff>
    </xdr:from>
    <xdr:to>
      <xdr:col>4</xdr:col>
      <xdr:colOff>2586878</xdr:colOff>
      <xdr:row>105</xdr:row>
      <xdr:rowOff>36591</xdr:rowOff>
    </xdr:to>
    <xdr:sp macro="" textlink="">
      <xdr:nvSpPr>
        <xdr:cNvPr id="321" name="Text Box 12"/>
        <xdr:cNvSpPr txBox="1">
          <a:spLocks noChangeArrowheads="1"/>
        </xdr:cNvSpPr>
      </xdr:nvSpPr>
      <xdr:spPr bwMode="auto">
        <a:xfrm flipH="1">
          <a:off x="4739528" y="173965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39644</xdr:rowOff>
    </xdr:to>
    <xdr:sp macro="" textlink="">
      <xdr:nvSpPr>
        <xdr:cNvPr id="322" name="Text Box 14"/>
        <xdr:cNvSpPr txBox="1">
          <a:spLocks noChangeArrowheads="1"/>
        </xdr:cNvSpPr>
      </xdr:nvSpPr>
      <xdr:spPr bwMode="auto">
        <a:xfrm flipH="1">
          <a:off x="4739528" y="173975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39643</xdr:rowOff>
    </xdr:to>
    <xdr:sp macro="" textlink="">
      <xdr:nvSpPr>
        <xdr:cNvPr id="323" name="Text Box 16"/>
        <xdr:cNvSpPr txBox="1">
          <a:spLocks noChangeArrowheads="1"/>
        </xdr:cNvSpPr>
      </xdr:nvSpPr>
      <xdr:spPr bwMode="auto">
        <a:xfrm flipH="1">
          <a:off x="4739528" y="173975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1962</xdr:rowOff>
    </xdr:from>
    <xdr:to>
      <xdr:col>4</xdr:col>
      <xdr:colOff>2586878</xdr:colOff>
      <xdr:row>105</xdr:row>
      <xdr:rowOff>32124</xdr:rowOff>
    </xdr:to>
    <xdr:sp macro="" textlink="">
      <xdr:nvSpPr>
        <xdr:cNvPr id="324" name="Text Box 12"/>
        <xdr:cNvSpPr txBox="1">
          <a:spLocks noChangeArrowheads="1"/>
        </xdr:cNvSpPr>
      </xdr:nvSpPr>
      <xdr:spPr bwMode="auto">
        <a:xfrm flipH="1">
          <a:off x="4739528" y="173946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1813</xdr:rowOff>
    </xdr:from>
    <xdr:to>
      <xdr:col>4</xdr:col>
      <xdr:colOff>2586878</xdr:colOff>
      <xdr:row>105</xdr:row>
      <xdr:rowOff>22477</xdr:rowOff>
    </xdr:to>
    <xdr:sp macro="" textlink="">
      <xdr:nvSpPr>
        <xdr:cNvPr id="325" name="Text Box 4"/>
        <xdr:cNvSpPr txBox="1">
          <a:spLocks noChangeArrowheads="1"/>
        </xdr:cNvSpPr>
      </xdr:nvSpPr>
      <xdr:spPr bwMode="auto">
        <a:xfrm flipH="1">
          <a:off x="4739528" y="173944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1626</xdr:rowOff>
    </xdr:from>
    <xdr:to>
      <xdr:col>4</xdr:col>
      <xdr:colOff>2586878</xdr:colOff>
      <xdr:row>76</xdr:row>
      <xdr:rowOff>82082</xdr:rowOff>
    </xdr:to>
    <xdr:sp macro="" textlink="">
      <xdr:nvSpPr>
        <xdr:cNvPr id="328" name="Text Box 4"/>
        <xdr:cNvSpPr txBox="1">
          <a:spLocks noChangeArrowheads="1"/>
        </xdr:cNvSpPr>
      </xdr:nvSpPr>
      <xdr:spPr bwMode="auto">
        <a:xfrm flipH="1">
          <a:off x="4739528" y="124222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2586878</xdr:colOff>
      <xdr:row>76</xdr:row>
      <xdr:rowOff>34573</xdr:rowOff>
    </xdr:to>
    <xdr:sp macro="" textlink="">
      <xdr:nvSpPr>
        <xdr:cNvPr id="329" name="Text Box 12"/>
        <xdr:cNvSpPr txBox="1">
          <a:spLocks noChangeArrowheads="1"/>
        </xdr:cNvSpPr>
      </xdr:nvSpPr>
      <xdr:spPr bwMode="auto">
        <a:xfrm flipH="1">
          <a:off x="4739528" y="124306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2586878</xdr:colOff>
      <xdr:row>76</xdr:row>
      <xdr:rowOff>34226</xdr:rowOff>
    </xdr:to>
    <xdr:sp macro="" textlink="">
      <xdr:nvSpPr>
        <xdr:cNvPr id="330" name="Text Box 14"/>
        <xdr:cNvSpPr txBox="1">
          <a:spLocks noChangeArrowheads="1"/>
        </xdr:cNvSpPr>
      </xdr:nvSpPr>
      <xdr:spPr bwMode="auto">
        <a:xfrm flipH="1">
          <a:off x="4739528" y="124316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2586878</xdr:colOff>
      <xdr:row>76</xdr:row>
      <xdr:rowOff>34225</xdr:rowOff>
    </xdr:to>
    <xdr:sp macro="" textlink="">
      <xdr:nvSpPr>
        <xdr:cNvPr id="331" name="Text Box 16"/>
        <xdr:cNvSpPr txBox="1">
          <a:spLocks noChangeArrowheads="1"/>
        </xdr:cNvSpPr>
      </xdr:nvSpPr>
      <xdr:spPr bwMode="auto">
        <a:xfrm flipH="1">
          <a:off x="4739528" y="124316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2586878</xdr:colOff>
      <xdr:row>76</xdr:row>
      <xdr:rowOff>79589</xdr:rowOff>
    </xdr:to>
    <xdr:sp macro="" textlink="">
      <xdr:nvSpPr>
        <xdr:cNvPr id="332" name="Text Box 12"/>
        <xdr:cNvSpPr txBox="1">
          <a:spLocks noChangeArrowheads="1"/>
        </xdr:cNvSpPr>
      </xdr:nvSpPr>
      <xdr:spPr bwMode="auto">
        <a:xfrm flipH="1">
          <a:off x="4739528" y="124192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2586878</xdr:colOff>
      <xdr:row>76</xdr:row>
      <xdr:rowOff>38972</xdr:rowOff>
    </xdr:to>
    <xdr:sp macro="" textlink="">
      <xdr:nvSpPr>
        <xdr:cNvPr id="333" name="Text Box 4"/>
        <xdr:cNvSpPr txBox="1">
          <a:spLocks noChangeArrowheads="1"/>
        </xdr:cNvSpPr>
      </xdr:nvSpPr>
      <xdr:spPr bwMode="auto">
        <a:xfrm flipH="1">
          <a:off x="4739528" y="124285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1626</xdr:rowOff>
    </xdr:from>
    <xdr:to>
      <xdr:col>4</xdr:col>
      <xdr:colOff>2586878</xdr:colOff>
      <xdr:row>76</xdr:row>
      <xdr:rowOff>82082</xdr:rowOff>
    </xdr:to>
    <xdr:sp macro="" textlink="">
      <xdr:nvSpPr>
        <xdr:cNvPr id="336" name="Text Box 4"/>
        <xdr:cNvSpPr txBox="1">
          <a:spLocks noChangeArrowheads="1"/>
        </xdr:cNvSpPr>
      </xdr:nvSpPr>
      <xdr:spPr bwMode="auto">
        <a:xfrm flipH="1">
          <a:off x="4739528" y="124222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2586878</xdr:colOff>
      <xdr:row>76</xdr:row>
      <xdr:rowOff>34573</xdr:rowOff>
    </xdr:to>
    <xdr:sp macro="" textlink="">
      <xdr:nvSpPr>
        <xdr:cNvPr id="337" name="Text Box 12"/>
        <xdr:cNvSpPr txBox="1">
          <a:spLocks noChangeArrowheads="1"/>
        </xdr:cNvSpPr>
      </xdr:nvSpPr>
      <xdr:spPr bwMode="auto">
        <a:xfrm flipH="1">
          <a:off x="4739528" y="124306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2586878</xdr:colOff>
      <xdr:row>76</xdr:row>
      <xdr:rowOff>34226</xdr:rowOff>
    </xdr:to>
    <xdr:sp macro="" textlink="">
      <xdr:nvSpPr>
        <xdr:cNvPr id="338" name="Text Box 14"/>
        <xdr:cNvSpPr txBox="1">
          <a:spLocks noChangeArrowheads="1"/>
        </xdr:cNvSpPr>
      </xdr:nvSpPr>
      <xdr:spPr bwMode="auto">
        <a:xfrm flipH="1">
          <a:off x="4739528" y="124316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2586878</xdr:colOff>
      <xdr:row>76</xdr:row>
      <xdr:rowOff>34225</xdr:rowOff>
    </xdr:to>
    <xdr:sp macro="" textlink="">
      <xdr:nvSpPr>
        <xdr:cNvPr id="339" name="Text Box 16"/>
        <xdr:cNvSpPr txBox="1">
          <a:spLocks noChangeArrowheads="1"/>
        </xdr:cNvSpPr>
      </xdr:nvSpPr>
      <xdr:spPr bwMode="auto">
        <a:xfrm flipH="1">
          <a:off x="4739528" y="124316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2586878</xdr:colOff>
      <xdr:row>76</xdr:row>
      <xdr:rowOff>79589</xdr:rowOff>
    </xdr:to>
    <xdr:sp macro="" textlink="">
      <xdr:nvSpPr>
        <xdr:cNvPr id="340" name="Text Box 12"/>
        <xdr:cNvSpPr txBox="1">
          <a:spLocks noChangeArrowheads="1"/>
        </xdr:cNvSpPr>
      </xdr:nvSpPr>
      <xdr:spPr bwMode="auto">
        <a:xfrm flipH="1">
          <a:off x="4739528" y="124192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2586878</xdr:colOff>
      <xdr:row>76</xdr:row>
      <xdr:rowOff>38972</xdr:rowOff>
    </xdr:to>
    <xdr:sp macro="" textlink="">
      <xdr:nvSpPr>
        <xdr:cNvPr id="341" name="Text Box 4"/>
        <xdr:cNvSpPr txBox="1">
          <a:spLocks noChangeArrowheads="1"/>
        </xdr:cNvSpPr>
      </xdr:nvSpPr>
      <xdr:spPr bwMode="auto">
        <a:xfrm flipH="1">
          <a:off x="4739528" y="124285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104</xdr:row>
      <xdr:rowOff>166913</xdr:rowOff>
    </xdr:from>
    <xdr:to>
      <xdr:col>5</xdr:col>
      <xdr:colOff>0</xdr:colOff>
      <xdr:row>105</xdr:row>
      <xdr:rowOff>34746</xdr:rowOff>
    </xdr:to>
    <xdr:sp macro="" textlink="">
      <xdr:nvSpPr>
        <xdr:cNvPr id="348" name="Text Box 4"/>
        <xdr:cNvSpPr txBox="1">
          <a:spLocks noChangeArrowheads="1"/>
        </xdr:cNvSpPr>
      </xdr:nvSpPr>
      <xdr:spPr bwMode="auto">
        <a:xfrm flipH="1">
          <a:off x="4743450" y="173881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3866</xdr:rowOff>
    </xdr:from>
    <xdr:to>
      <xdr:col>5</xdr:col>
      <xdr:colOff>0</xdr:colOff>
      <xdr:row>105</xdr:row>
      <xdr:rowOff>36591</xdr:rowOff>
    </xdr:to>
    <xdr:sp macro="" textlink="">
      <xdr:nvSpPr>
        <xdr:cNvPr id="349" name="Text Box 12"/>
        <xdr:cNvSpPr txBox="1">
          <a:spLocks noChangeArrowheads="1"/>
        </xdr:cNvSpPr>
      </xdr:nvSpPr>
      <xdr:spPr bwMode="auto">
        <a:xfrm flipH="1">
          <a:off x="4743450" y="173965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4901</xdr:rowOff>
    </xdr:from>
    <xdr:to>
      <xdr:col>5</xdr:col>
      <xdr:colOff>0</xdr:colOff>
      <xdr:row>105</xdr:row>
      <xdr:rowOff>39644</xdr:rowOff>
    </xdr:to>
    <xdr:sp macro="" textlink="">
      <xdr:nvSpPr>
        <xdr:cNvPr id="350" name="Text Box 14"/>
        <xdr:cNvSpPr txBox="1">
          <a:spLocks noChangeArrowheads="1"/>
        </xdr:cNvSpPr>
      </xdr:nvSpPr>
      <xdr:spPr bwMode="auto">
        <a:xfrm flipH="1">
          <a:off x="4743450" y="173975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4901</xdr:rowOff>
    </xdr:from>
    <xdr:to>
      <xdr:col>5</xdr:col>
      <xdr:colOff>0</xdr:colOff>
      <xdr:row>105</xdr:row>
      <xdr:rowOff>39643</xdr:rowOff>
    </xdr:to>
    <xdr:sp macro="" textlink="">
      <xdr:nvSpPr>
        <xdr:cNvPr id="351" name="Text Box 16"/>
        <xdr:cNvSpPr txBox="1">
          <a:spLocks noChangeArrowheads="1"/>
        </xdr:cNvSpPr>
      </xdr:nvSpPr>
      <xdr:spPr bwMode="auto">
        <a:xfrm flipH="1">
          <a:off x="4743450" y="173975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1962</xdr:rowOff>
    </xdr:from>
    <xdr:to>
      <xdr:col>5</xdr:col>
      <xdr:colOff>0</xdr:colOff>
      <xdr:row>105</xdr:row>
      <xdr:rowOff>32124</xdr:rowOff>
    </xdr:to>
    <xdr:sp macro="" textlink="">
      <xdr:nvSpPr>
        <xdr:cNvPr id="352" name="Text Box 12"/>
        <xdr:cNvSpPr txBox="1">
          <a:spLocks noChangeArrowheads="1"/>
        </xdr:cNvSpPr>
      </xdr:nvSpPr>
      <xdr:spPr bwMode="auto">
        <a:xfrm flipH="1">
          <a:off x="4743450" y="173946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105</xdr:row>
      <xdr:rowOff>1813</xdr:rowOff>
    </xdr:from>
    <xdr:to>
      <xdr:col>5</xdr:col>
      <xdr:colOff>0</xdr:colOff>
      <xdr:row>105</xdr:row>
      <xdr:rowOff>22477</xdr:rowOff>
    </xdr:to>
    <xdr:sp macro="" textlink="">
      <xdr:nvSpPr>
        <xdr:cNvPr id="353" name="Text Box 4"/>
        <xdr:cNvSpPr txBox="1">
          <a:spLocks noChangeArrowheads="1"/>
        </xdr:cNvSpPr>
      </xdr:nvSpPr>
      <xdr:spPr bwMode="auto">
        <a:xfrm flipH="1">
          <a:off x="4743450" y="173944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1626</xdr:rowOff>
    </xdr:from>
    <xdr:to>
      <xdr:col>5</xdr:col>
      <xdr:colOff>0</xdr:colOff>
      <xdr:row>76</xdr:row>
      <xdr:rowOff>82082</xdr:rowOff>
    </xdr:to>
    <xdr:sp macro="" textlink="">
      <xdr:nvSpPr>
        <xdr:cNvPr id="356" name="Text Box 4"/>
        <xdr:cNvSpPr txBox="1">
          <a:spLocks noChangeArrowheads="1"/>
        </xdr:cNvSpPr>
      </xdr:nvSpPr>
      <xdr:spPr bwMode="auto">
        <a:xfrm flipH="1">
          <a:off x="4743450" y="124222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10029</xdr:rowOff>
    </xdr:from>
    <xdr:to>
      <xdr:col>5</xdr:col>
      <xdr:colOff>0</xdr:colOff>
      <xdr:row>76</xdr:row>
      <xdr:rowOff>34573</xdr:rowOff>
    </xdr:to>
    <xdr:sp macro="" textlink="">
      <xdr:nvSpPr>
        <xdr:cNvPr id="357" name="Text Box 12"/>
        <xdr:cNvSpPr txBox="1">
          <a:spLocks noChangeArrowheads="1"/>
        </xdr:cNvSpPr>
      </xdr:nvSpPr>
      <xdr:spPr bwMode="auto">
        <a:xfrm flipH="1">
          <a:off x="4743450" y="124306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34226</xdr:rowOff>
    </xdr:to>
    <xdr:sp macro="" textlink="">
      <xdr:nvSpPr>
        <xdr:cNvPr id="358" name="Text Box 14"/>
        <xdr:cNvSpPr txBox="1">
          <a:spLocks noChangeArrowheads="1"/>
        </xdr:cNvSpPr>
      </xdr:nvSpPr>
      <xdr:spPr bwMode="auto">
        <a:xfrm flipH="1">
          <a:off x="4743450" y="124316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34225</xdr:rowOff>
    </xdr:to>
    <xdr:sp macro="" textlink="">
      <xdr:nvSpPr>
        <xdr:cNvPr id="359" name="Text Box 16"/>
        <xdr:cNvSpPr txBox="1">
          <a:spLocks noChangeArrowheads="1"/>
        </xdr:cNvSpPr>
      </xdr:nvSpPr>
      <xdr:spPr bwMode="auto">
        <a:xfrm flipH="1">
          <a:off x="4743450" y="124316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75</xdr:row>
      <xdr:rowOff>170050</xdr:rowOff>
    </xdr:from>
    <xdr:to>
      <xdr:col>5</xdr:col>
      <xdr:colOff>0</xdr:colOff>
      <xdr:row>76</xdr:row>
      <xdr:rowOff>79589</xdr:rowOff>
    </xdr:to>
    <xdr:sp macro="" textlink="">
      <xdr:nvSpPr>
        <xdr:cNvPr id="360" name="Text Box 12"/>
        <xdr:cNvSpPr txBox="1">
          <a:spLocks noChangeArrowheads="1"/>
        </xdr:cNvSpPr>
      </xdr:nvSpPr>
      <xdr:spPr bwMode="auto">
        <a:xfrm flipH="1">
          <a:off x="4743450" y="124192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7976</xdr:rowOff>
    </xdr:from>
    <xdr:to>
      <xdr:col>5</xdr:col>
      <xdr:colOff>0</xdr:colOff>
      <xdr:row>76</xdr:row>
      <xdr:rowOff>38972</xdr:rowOff>
    </xdr:to>
    <xdr:sp macro="" textlink="">
      <xdr:nvSpPr>
        <xdr:cNvPr id="361" name="Text Box 4"/>
        <xdr:cNvSpPr txBox="1">
          <a:spLocks noChangeArrowheads="1"/>
        </xdr:cNvSpPr>
      </xdr:nvSpPr>
      <xdr:spPr bwMode="auto">
        <a:xfrm flipH="1">
          <a:off x="4743450" y="124285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1626</xdr:rowOff>
    </xdr:from>
    <xdr:to>
      <xdr:col>5</xdr:col>
      <xdr:colOff>0</xdr:colOff>
      <xdr:row>76</xdr:row>
      <xdr:rowOff>82082</xdr:rowOff>
    </xdr:to>
    <xdr:sp macro="" textlink="">
      <xdr:nvSpPr>
        <xdr:cNvPr id="364" name="Text Box 4"/>
        <xdr:cNvSpPr txBox="1">
          <a:spLocks noChangeArrowheads="1"/>
        </xdr:cNvSpPr>
      </xdr:nvSpPr>
      <xdr:spPr bwMode="auto">
        <a:xfrm flipH="1">
          <a:off x="4743450" y="124222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10029</xdr:rowOff>
    </xdr:from>
    <xdr:to>
      <xdr:col>5</xdr:col>
      <xdr:colOff>0</xdr:colOff>
      <xdr:row>76</xdr:row>
      <xdr:rowOff>34573</xdr:rowOff>
    </xdr:to>
    <xdr:sp macro="" textlink="">
      <xdr:nvSpPr>
        <xdr:cNvPr id="365" name="Text Box 12"/>
        <xdr:cNvSpPr txBox="1">
          <a:spLocks noChangeArrowheads="1"/>
        </xdr:cNvSpPr>
      </xdr:nvSpPr>
      <xdr:spPr bwMode="auto">
        <a:xfrm flipH="1">
          <a:off x="4743450" y="124306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34226</xdr:rowOff>
    </xdr:to>
    <xdr:sp macro="" textlink="">
      <xdr:nvSpPr>
        <xdr:cNvPr id="366" name="Text Box 14"/>
        <xdr:cNvSpPr txBox="1">
          <a:spLocks noChangeArrowheads="1"/>
        </xdr:cNvSpPr>
      </xdr:nvSpPr>
      <xdr:spPr bwMode="auto">
        <a:xfrm flipH="1">
          <a:off x="4743450" y="124316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11064</xdr:rowOff>
    </xdr:from>
    <xdr:to>
      <xdr:col>5</xdr:col>
      <xdr:colOff>0</xdr:colOff>
      <xdr:row>76</xdr:row>
      <xdr:rowOff>34225</xdr:rowOff>
    </xdr:to>
    <xdr:sp macro="" textlink="">
      <xdr:nvSpPr>
        <xdr:cNvPr id="367" name="Text Box 16"/>
        <xdr:cNvSpPr txBox="1">
          <a:spLocks noChangeArrowheads="1"/>
        </xdr:cNvSpPr>
      </xdr:nvSpPr>
      <xdr:spPr bwMode="auto">
        <a:xfrm flipH="1">
          <a:off x="4743450" y="124316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75</xdr:row>
      <xdr:rowOff>170050</xdr:rowOff>
    </xdr:from>
    <xdr:to>
      <xdr:col>5</xdr:col>
      <xdr:colOff>0</xdr:colOff>
      <xdr:row>76</xdr:row>
      <xdr:rowOff>79589</xdr:rowOff>
    </xdr:to>
    <xdr:sp macro="" textlink="">
      <xdr:nvSpPr>
        <xdr:cNvPr id="368" name="Text Box 12"/>
        <xdr:cNvSpPr txBox="1">
          <a:spLocks noChangeArrowheads="1"/>
        </xdr:cNvSpPr>
      </xdr:nvSpPr>
      <xdr:spPr bwMode="auto">
        <a:xfrm flipH="1">
          <a:off x="4743450" y="124192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76</xdr:row>
      <xdr:rowOff>7976</xdr:rowOff>
    </xdr:from>
    <xdr:to>
      <xdr:col>5</xdr:col>
      <xdr:colOff>0</xdr:colOff>
      <xdr:row>76</xdr:row>
      <xdr:rowOff>38972</xdr:rowOff>
    </xdr:to>
    <xdr:sp macro="" textlink="">
      <xdr:nvSpPr>
        <xdr:cNvPr id="369" name="Text Box 4"/>
        <xdr:cNvSpPr txBox="1">
          <a:spLocks noChangeArrowheads="1"/>
        </xdr:cNvSpPr>
      </xdr:nvSpPr>
      <xdr:spPr bwMode="auto">
        <a:xfrm flipH="1">
          <a:off x="4743450" y="124285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1626</xdr:rowOff>
    </xdr:from>
    <xdr:to>
      <xdr:col>4</xdr:col>
      <xdr:colOff>2586878</xdr:colOff>
      <xdr:row>76</xdr:row>
      <xdr:rowOff>82082</xdr:rowOff>
    </xdr:to>
    <xdr:sp macro="" textlink="">
      <xdr:nvSpPr>
        <xdr:cNvPr id="372" name="Text Box 4"/>
        <xdr:cNvSpPr txBox="1">
          <a:spLocks noChangeArrowheads="1"/>
        </xdr:cNvSpPr>
      </xdr:nvSpPr>
      <xdr:spPr bwMode="auto">
        <a:xfrm flipH="1">
          <a:off x="4739528" y="124222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2586878</xdr:colOff>
      <xdr:row>76</xdr:row>
      <xdr:rowOff>34573</xdr:rowOff>
    </xdr:to>
    <xdr:sp macro="" textlink="">
      <xdr:nvSpPr>
        <xdr:cNvPr id="373" name="Text Box 12"/>
        <xdr:cNvSpPr txBox="1">
          <a:spLocks noChangeArrowheads="1"/>
        </xdr:cNvSpPr>
      </xdr:nvSpPr>
      <xdr:spPr bwMode="auto">
        <a:xfrm flipH="1">
          <a:off x="4739528" y="124306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2586878</xdr:colOff>
      <xdr:row>76</xdr:row>
      <xdr:rowOff>34226</xdr:rowOff>
    </xdr:to>
    <xdr:sp macro="" textlink="">
      <xdr:nvSpPr>
        <xdr:cNvPr id="374" name="Text Box 14"/>
        <xdr:cNvSpPr txBox="1">
          <a:spLocks noChangeArrowheads="1"/>
        </xdr:cNvSpPr>
      </xdr:nvSpPr>
      <xdr:spPr bwMode="auto">
        <a:xfrm flipH="1">
          <a:off x="4739528" y="124316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2586878</xdr:colOff>
      <xdr:row>76</xdr:row>
      <xdr:rowOff>34225</xdr:rowOff>
    </xdr:to>
    <xdr:sp macro="" textlink="">
      <xdr:nvSpPr>
        <xdr:cNvPr id="375" name="Text Box 16"/>
        <xdr:cNvSpPr txBox="1">
          <a:spLocks noChangeArrowheads="1"/>
        </xdr:cNvSpPr>
      </xdr:nvSpPr>
      <xdr:spPr bwMode="auto">
        <a:xfrm flipH="1">
          <a:off x="4739528" y="124316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2586878</xdr:colOff>
      <xdr:row>76</xdr:row>
      <xdr:rowOff>79589</xdr:rowOff>
    </xdr:to>
    <xdr:sp macro="" textlink="">
      <xdr:nvSpPr>
        <xdr:cNvPr id="376" name="Text Box 12"/>
        <xdr:cNvSpPr txBox="1">
          <a:spLocks noChangeArrowheads="1"/>
        </xdr:cNvSpPr>
      </xdr:nvSpPr>
      <xdr:spPr bwMode="auto">
        <a:xfrm flipH="1">
          <a:off x="4739528" y="124192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2586878</xdr:colOff>
      <xdr:row>76</xdr:row>
      <xdr:rowOff>38972</xdr:rowOff>
    </xdr:to>
    <xdr:sp macro="" textlink="">
      <xdr:nvSpPr>
        <xdr:cNvPr id="377" name="Text Box 4"/>
        <xdr:cNvSpPr txBox="1">
          <a:spLocks noChangeArrowheads="1"/>
        </xdr:cNvSpPr>
      </xdr:nvSpPr>
      <xdr:spPr bwMode="auto">
        <a:xfrm flipH="1">
          <a:off x="4739528" y="124285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1626</xdr:rowOff>
    </xdr:from>
    <xdr:to>
      <xdr:col>4</xdr:col>
      <xdr:colOff>2586878</xdr:colOff>
      <xdr:row>76</xdr:row>
      <xdr:rowOff>82082</xdr:rowOff>
    </xdr:to>
    <xdr:sp macro="" textlink="">
      <xdr:nvSpPr>
        <xdr:cNvPr id="380" name="Text Box 4"/>
        <xdr:cNvSpPr txBox="1">
          <a:spLocks noChangeArrowheads="1"/>
        </xdr:cNvSpPr>
      </xdr:nvSpPr>
      <xdr:spPr bwMode="auto">
        <a:xfrm flipH="1">
          <a:off x="4739528" y="124222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10029</xdr:rowOff>
    </xdr:from>
    <xdr:to>
      <xdr:col>4</xdr:col>
      <xdr:colOff>2586878</xdr:colOff>
      <xdr:row>76</xdr:row>
      <xdr:rowOff>34573</xdr:rowOff>
    </xdr:to>
    <xdr:sp macro="" textlink="">
      <xdr:nvSpPr>
        <xdr:cNvPr id="381" name="Text Box 12"/>
        <xdr:cNvSpPr txBox="1">
          <a:spLocks noChangeArrowheads="1"/>
        </xdr:cNvSpPr>
      </xdr:nvSpPr>
      <xdr:spPr bwMode="auto">
        <a:xfrm flipH="1">
          <a:off x="4739528" y="124306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2586878</xdr:colOff>
      <xdr:row>76</xdr:row>
      <xdr:rowOff>34226</xdr:rowOff>
    </xdr:to>
    <xdr:sp macro="" textlink="">
      <xdr:nvSpPr>
        <xdr:cNvPr id="382" name="Text Box 14"/>
        <xdr:cNvSpPr txBox="1">
          <a:spLocks noChangeArrowheads="1"/>
        </xdr:cNvSpPr>
      </xdr:nvSpPr>
      <xdr:spPr bwMode="auto">
        <a:xfrm flipH="1">
          <a:off x="4739528" y="124316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11064</xdr:rowOff>
    </xdr:from>
    <xdr:to>
      <xdr:col>4</xdr:col>
      <xdr:colOff>2586878</xdr:colOff>
      <xdr:row>76</xdr:row>
      <xdr:rowOff>34225</xdr:rowOff>
    </xdr:to>
    <xdr:sp macro="" textlink="">
      <xdr:nvSpPr>
        <xdr:cNvPr id="383" name="Text Box 16"/>
        <xdr:cNvSpPr txBox="1">
          <a:spLocks noChangeArrowheads="1"/>
        </xdr:cNvSpPr>
      </xdr:nvSpPr>
      <xdr:spPr bwMode="auto">
        <a:xfrm flipH="1">
          <a:off x="4739528" y="124316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75</xdr:row>
      <xdr:rowOff>170050</xdr:rowOff>
    </xdr:from>
    <xdr:to>
      <xdr:col>4</xdr:col>
      <xdr:colOff>2586878</xdr:colOff>
      <xdr:row>76</xdr:row>
      <xdr:rowOff>79589</xdr:rowOff>
    </xdr:to>
    <xdr:sp macro="" textlink="">
      <xdr:nvSpPr>
        <xdr:cNvPr id="384" name="Text Box 12"/>
        <xdr:cNvSpPr txBox="1">
          <a:spLocks noChangeArrowheads="1"/>
        </xdr:cNvSpPr>
      </xdr:nvSpPr>
      <xdr:spPr bwMode="auto">
        <a:xfrm flipH="1">
          <a:off x="4739528" y="124192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76</xdr:row>
      <xdr:rowOff>7976</xdr:rowOff>
    </xdr:from>
    <xdr:to>
      <xdr:col>4</xdr:col>
      <xdr:colOff>2586878</xdr:colOff>
      <xdr:row>76</xdr:row>
      <xdr:rowOff>38972</xdr:rowOff>
    </xdr:to>
    <xdr:sp macro="" textlink="">
      <xdr:nvSpPr>
        <xdr:cNvPr id="385" name="Text Box 4"/>
        <xdr:cNvSpPr txBox="1">
          <a:spLocks noChangeArrowheads="1"/>
        </xdr:cNvSpPr>
      </xdr:nvSpPr>
      <xdr:spPr bwMode="auto">
        <a:xfrm flipH="1">
          <a:off x="4739528" y="124285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104</xdr:row>
      <xdr:rowOff>166913</xdr:rowOff>
    </xdr:from>
    <xdr:to>
      <xdr:col>4</xdr:col>
      <xdr:colOff>2586878</xdr:colOff>
      <xdr:row>105</xdr:row>
      <xdr:rowOff>34746</xdr:rowOff>
    </xdr:to>
    <xdr:sp macro="" textlink="">
      <xdr:nvSpPr>
        <xdr:cNvPr id="392" name="Text Box 4"/>
        <xdr:cNvSpPr txBox="1">
          <a:spLocks noChangeArrowheads="1"/>
        </xdr:cNvSpPr>
      </xdr:nvSpPr>
      <xdr:spPr bwMode="auto">
        <a:xfrm flipH="1">
          <a:off x="4739528" y="173881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3866</xdr:rowOff>
    </xdr:from>
    <xdr:to>
      <xdr:col>4</xdr:col>
      <xdr:colOff>2586878</xdr:colOff>
      <xdr:row>105</xdr:row>
      <xdr:rowOff>36591</xdr:rowOff>
    </xdr:to>
    <xdr:sp macro="" textlink="">
      <xdr:nvSpPr>
        <xdr:cNvPr id="393" name="Text Box 12"/>
        <xdr:cNvSpPr txBox="1">
          <a:spLocks noChangeArrowheads="1"/>
        </xdr:cNvSpPr>
      </xdr:nvSpPr>
      <xdr:spPr bwMode="auto">
        <a:xfrm flipH="1">
          <a:off x="4739528" y="173965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39644</xdr:rowOff>
    </xdr:to>
    <xdr:sp macro="" textlink="">
      <xdr:nvSpPr>
        <xdr:cNvPr id="394" name="Text Box 14"/>
        <xdr:cNvSpPr txBox="1">
          <a:spLocks noChangeArrowheads="1"/>
        </xdr:cNvSpPr>
      </xdr:nvSpPr>
      <xdr:spPr bwMode="auto">
        <a:xfrm flipH="1">
          <a:off x="4739528" y="173975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39643</xdr:rowOff>
    </xdr:to>
    <xdr:sp macro="" textlink="">
      <xdr:nvSpPr>
        <xdr:cNvPr id="395" name="Text Box 16"/>
        <xdr:cNvSpPr txBox="1">
          <a:spLocks noChangeArrowheads="1"/>
        </xdr:cNvSpPr>
      </xdr:nvSpPr>
      <xdr:spPr bwMode="auto">
        <a:xfrm flipH="1">
          <a:off x="4739528" y="173975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1962</xdr:rowOff>
    </xdr:from>
    <xdr:to>
      <xdr:col>4</xdr:col>
      <xdr:colOff>2586878</xdr:colOff>
      <xdr:row>105</xdr:row>
      <xdr:rowOff>32124</xdr:rowOff>
    </xdr:to>
    <xdr:sp macro="" textlink="">
      <xdr:nvSpPr>
        <xdr:cNvPr id="396" name="Text Box 12"/>
        <xdr:cNvSpPr txBox="1">
          <a:spLocks noChangeArrowheads="1"/>
        </xdr:cNvSpPr>
      </xdr:nvSpPr>
      <xdr:spPr bwMode="auto">
        <a:xfrm flipH="1">
          <a:off x="4739528" y="173946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1813</xdr:rowOff>
    </xdr:from>
    <xdr:to>
      <xdr:col>4</xdr:col>
      <xdr:colOff>2586878</xdr:colOff>
      <xdr:row>105</xdr:row>
      <xdr:rowOff>22477</xdr:rowOff>
    </xdr:to>
    <xdr:sp macro="" textlink="">
      <xdr:nvSpPr>
        <xdr:cNvPr id="397" name="Text Box 4"/>
        <xdr:cNvSpPr txBox="1">
          <a:spLocks noChangeArrowheads="1"/>
        </xdr:cNvSpPr>
      </xdr:nvSpPr>
      <xdr:spPr bwMode="auto">
        <a:xfrm flipH="1">
          <a:off x="4739528" y="173944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00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01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02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03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04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05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08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09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10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11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12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13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16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17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18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19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20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21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24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25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26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27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28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29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104</xdr:row>
      <xdr:rowOff>166913</xdr:rowOff>
    </xdr:from>
    <xdr:to>
      <xdr:col>4</xdr:col>
      <xdr:colOff>2586878</xdr:colOff>
      <xdr:row>105</xdr:row>
      <xdr:rowOff>34746</xdr:rowOff>
    </xdr:to>
    <xdr:sp macro="" textlink="">
      <xdr:nvSpPr>
        <xdr:cNvPr id="436" name="Text Box 4"/>
        <xdr:cNvSpPr txBox="1">
          <a:spLocks noChangeArrowheads="1"/>
        </xdr:cNvSpPr>
      </xdr:nvSpPr>
      <xdr:spPr bwMode="auto">
        <a:xfrm flipH="1">
          <a:off x="4739528" y="173881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3866</xdr:rowOff>
    </xdr:from>
    <xdr:to>
      <xdr:col>4</xdr:col>
      <xdr:colOff>2586878</xdr:colOff>
      <xdr:row>105</xdr:row>
      <xdr:rowOff>36591</xdr:rowOff>
    </xdr:to>
    <xdr:sp macro="" textlink="">
      <xdr:nvSpPr>
        <xdr:cNvPr id="437" name="Text Box 12"/>
        <xdr:cNvSpPr txBox="1">
          <a:spLocks noChangeArrowheads="1"/>
        </xdr:cNvSpPr>
      </xdr:nvSpPr>
      <xdr:spPr bwMode="auto">
        <a:xfrm flipH="1">
          <a:off x="4739528" y="173965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39644</xdr:rowOff>
    </xdr:to>
    <xdr:sp macro="" textlink="">
      <xdr:nvSpPr>
        <xdr:cNvPr id="438" name="Text Box 14"/>
        <xdr:cNvSpPr txBox="1">
          <a:spLocks noChangeArrowheads="1"/>
        </xdr:cNvSpPr>
      </xdr:nvSpPr>
      <xdr:spPr bwMode="auto">
        <a:xfrm flipH="1">
          <a:off x="4739528" y="173975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39643</xdr:rowOff>
    </xdr:to>
    <xdr:sp macro="" textlink="">
      <xdr:nvSpPr>
        <xdr:cNvPr id="439" name="Text Box 16"/>
        <xdr:cNvSpPr txBox="1">
          <a:spLocks noChangeArrowheads="1"/>
        </xdr:cNvSpPr>
      </xdr:nvSpPr>
      <xdr:spPr bwMode="auto">
        <a:xfrm flipH="1">
          <a:off x="4739528" y="173975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1962</xdr:rowOff>
    </xdr:from>
    <xdr:to>
      <xdr:col>4</xdr:col>
      <xdr:colOff>2586878</xdr:colOff>
      <xdr:row>105</xdr:row>
      <xdr:rowOff>32124</xdr:rowOff>
    </xdr:to>
    <xdr:sp macro="" textlink="">
      <xdr:nvSpPr>
        <xdr:cNvPr id="440" name="Text Box 12"/>
        <xdr:cNvSpPr txBox="1">
          <a:spLocks noChangeArrowheads="1"/>
        </xdr:cNvSpPr>
      </xdr:nvSpPr>
      <xdr:spPr bwMode="auto">
        <a:xfrm flipH="1">
          <a:off x="4739528" y="173946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1813</xdr:rowOff>
    </xdr:from>
    <xdr:to>
      <xdr:col>4</xdr:col>
      <xdr:colOff>2586878</xdr:colOff>
      <xdr:row>105</xdr:row>
      <xdr:rowOff>22477</xdr:rowOff>
    </xdr:to>
    <xdr:sp macro="" textlink="">
      <xdr:nvSpPr>
        <xdr:cNvPr id="441" name="Text Box 4"/>
        <xdr:cNvSpPr txBox="1">
          <a:spLocks noChangeArrowheads="1"/>
        </xdr:cNvSpPr>
      </xdr:nvSpPr>
      <xdr:spPr bwMode="auto">
        <a:xfrm flipH="1">
          <a:off x="4739528" y="173944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44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45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46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47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48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49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52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53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54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55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56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57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60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61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62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63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64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65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68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69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70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71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72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73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104</xdr:row>
      <xdr:rowOff>166913</xdr:rowOff>
    </xdr:from>
    <xdr:to>
      <xdr:col>4</xdr:col>
      <xdr:colOff>2586878</xdr:colOff>
      <xdr:row>105</xdr:row>
      <xdr:rowOff>34746</xdr:rowOff>
    </xdr:to>
    <xdr:sp macro="" textlink="">
      <xdr:nvSpPr>
        <xdr:cNvPr id="480" name="Text Box 4"/>
        <xdr:cNvSpPr txBox="1">
          <a:spLocks noChangeArrowheads="1"/>
        </xdr:cNvSpPr>
      </xdr:nvSpPr>
      <xdr:spPr bwMode="auto">
        <a:xfrm flipH="1">
          <a:off x="4739528" y="173881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3866</xdr:rowOff>
    </xdr:from>
    <xdr:to>
      <xdr:col>4</xdr:col>
      <xdr:colOff>2586878</xdr:colOff>
      <xdr:row>105</xdr:row>
      <xdr:rowOff>36591</xdr:rowOff>
    </xdr:to>
    <xdr:sp macro="" textlink="">
      <xdr:nvSpPr>
        <xdr:cNvPr id="481" name="Text Box 12"/>
        <xdr:cNvSpPr txBox="1">
          <a:spLocks noChangeArrowheads="1"/>
        </xdr:cNvSpPr>
      </xdr:nvSpPr>
      <xdr:spPr bwMode="auto">
        <a:xfrm flipH="1">
          <a:off x="4739528" y="173965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39644</xdr:rowOff>
    </xdr:to>
    <xdr:sp macro="" textlink="">
      <xdr:nvSpPr>
        <xdr:cNvPr id="482" name="Text Box 14"/>
        <xdr:cNvSpPr txBox="1">
          <a:spLocks noChangeArrowheads="1"/>
        </xdr:cNvSpPr>
      </xdr:nvSpPr>
      <xdr:spPr bwMode="auto">
        <a:xfrm flipH="1">
          <a:off x="4739528" y="173975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39643</xdr:rowOff>
    </xdr:to>
    <xdr:sp macro="" textlink="">
      <xdr:nvSpPr>
        <xdr:cNvPr id="483" name="Text Box 16"/>
        <xdr:cNvSpPr txBox="1">
          <a:spLocks noChangeArrowheads="1"/>
        </xdr:cNvSpPr>
      </xdr:nvSpPr>
      <xdr:spPr bwMode="auto">
        <a:xfrm flipH="1">
          <a:off x="4739528" y="173975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1962</xdr:rowOff>
    </xdr:from>
    <xdr:to>
      <xdr:col>4</xdr:col>
      <xdr:colOff>2586878</xdr:colOff>
      <xdr:row>105</xdr:row>
      <xdr:rowOff>32124</xdr:rowOff>
    </xdr:to>
    <xdr:sp macro="" textlink="">
      <xdr:nvSpPr>
        <xdr:cNvPr id="484" name="Text Box 12"/>
        <xdr:cNvSpPr txBox="1">
          <a:spLocks noChangeArrowheads="1"/>
        </xdr:cNvSpPr>
      </xdr:nvSpPr>
      <xdr:spPr bwMode="auto">
        <a:xfrm flipH="1">
          <a:off x="4739528" y="173946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1813</xdr:rowOff>
    </xdr:from>
    <xdr:to>
      <xdr:col>4</xdr:col>
      <xdr:colOff>2586878</xdr:colOff>
      <xdr:row>105</xdr:row>
      <xdr:rowOff>22477</xdr:rowOff>
    </xdr:to>
    <xdr:sp macro="" textlink="">
      <xdr:nvSpPr>
        <xdr:cNvPr id="485" name="Text Box 4"/>
        <xdr:cNvSpPr txBox="1">
          <a:spLocks noChangeArrowheads="1"/>
        </xdr:cNvSpPr>
      </xdr:nvSpPr>
      <xdr:spPr bwMode="auto">
        <a:xfrm flipH="1">
          <a:off x="4739528" y="173944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88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89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90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91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92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93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96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97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98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499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00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01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04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05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06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07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08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09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12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13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14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15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16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17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104</xdr:row>
      <xdr:rowOff>166913</xdr:rowOff>
    </xdr:from>
    <xdr:to>
      <xdr:col>4</xdr:col>
      <xdr:colOff>2586878</xdr:colOff>
      <xdr:row>105</xdr:row>
      <xdr:rowOff>34746</xdr:rowOff>
    </xdr:to>
    <xdr:sp macro="" textlink="">
      <xdr:nvSpPr>
        <xdr:cNvPr id="551" name="Text Box 4"/>
        <xdr:cNvSpPr txBox="1">
          <a:spLocks noChangeArrowheads="1"/>
        </xdr:cNvSpPr>
      </xdr:nvSpPr>
      <xdr:spPr bwMode="auto">
        <a:xfrm flipH="1">
          <a:off x="4739528" y="173881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3866</xdr:rowOff>
    </xdr:from>
    <xdr:to>
      <xdr:col>4</xdr:col>
      <xdr:colOff>2586878</xdr:colOff>
      <xdr:row>105</xdr:row>
      <xdr:rowOff>36591</xdr:rowOff>
    </xdr:to>
    <xdr:sp macro="" textlink="">
      <xdr:nvSpPr>
        <xdr:cNvPr id="552" name="Text Box 12"/>
        <xdr:cNvSpPr txBox="1">
          <a:spLocks noChangeArrowheads="1"/>
        </xdr:cNvSpPr>
      </xdr:nvSpPr>
      <xdr:spPr bwMode="auto">
        <a:xfrm flipH="1">
          <a:off x="4739528" y="173965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39644</xdr:rowOff>
    </xdr:to>
    <xdr:sp macro="" textlink="">
      <xdr:nvSpPr>
        <xdr:cNvPr id="553" name="Text Box 14"/>
        <xdr:cNvSpPr txBox="1">
          <a:spLocks noChangeArrowheads="1"/>
        </xdr:cNvSpPr>
      </xdr:nvSpPr>
      <xdr:spPr bwMode="auto">
        <a:xfrm flipH="1">
          <a:off x="4739528" y="173975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39643</xdr:rowOff>
    </xdr:to>
    <xdr:sp macro="" textlink="">
      <xdr:nvSpPr>
        <xdr:cNvPr id="554" name="Text Box 16"/>
        <xdr:cNvSpPr txBox="1">
          <a:spLocks noChangeArrowheads="1"/>
        </xdr:cNvSpPr>
      </xdr:nvSpPr>
      <xdr:spPr bwMode="auto">
        <a:xfrm flipH="1">
          <a:off x="4739528" y="173975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1962</xdr:rowOff>
    </xdr:from>
    <xdr:to>
      <xdr:col>4</xdr:col>
      <xdr:colOff>2586878</xdr:colOff>
      <xdr:row>105</xdr:row>
      <xdr:rowOff>32124</xdr:rowOff>
    </xdr:to>
    <xdr:sp macro="" textlink="">
      <xdr:nvSpPr>
        <xdr:cNvPr id="555" name="Text Box 12"/>
        <xdr:cNvSpPr txBox="1">
          <a:spLocks noChangeArrowheads="1"/>
        </xdr:cNvSpPr>
      </xdr:nvSpPr>
      <xdr:spPr bwMode="auto">
        <a:xfrm flipH="1">
          <a:off x="4739528" y="173946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1813</xdr:rowOff>
    </xdr:from>
    <xdr:to>
      <xdr:col>4</xdr:col>
      <xdr:colOff>2586878</xdr:colOff>
      <xdr:row>105</xdr:row>
      <xdr:rowOff>22477</xdr:rowOff>
    </xdr:to>
    <xdr:sp macro="" textlink="">
      <xdr:nvSpPr>
        <xdr:cNvPr id="556" name="Text Box 4"/>
        <xdr:cNvSpPr txBox="1">
          <a:spLocks noChangeArrowheads="1"/>
        </xdr:cNvSpPr>
      </xdr:nvSpPr>
      <xdr:spPr bwMode="auto">
        <a:xfrm flipH="1">
          <a:off x="4739528" y="173944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104</xdr:row>
      <xdr:rowOff>166913</xdr:rowOff>
    </xdr:from>
    <xdr:to>
      <xdr:col>4</xdr:col>
      <xdr:colOff>2586878</xdr:colOff>
      <xdr:row>105</xdr:row>
      <xdr:rowOff>34746</xdr:rowOff>
    </xdr:to>
    <xdr:sp macro="" textlink="">
      <xdr:nvSpPr>
        <xdr:cNvPr id="560" name="Text Box 4"/>
        <xdr:cNvSpPr txBox="1">
          <a:spLocks noChangeArrowheads="1"/>
        </xdr:cNvSpPr>
      </xdr:nvSpPr>
      <xdr:spPr bwMode="auto">
        <a:xfrm flipH="1">
          <a:off x="4739528" y="173881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3866</xdr:rowOff>
    </xdr:from>
    <xdr:to>
      <xdr:col>4</xdr:col>
      <xdr:colOff>2586878</xdr:colOff>
      <xdr:row>105</xdr:row>
      <xdr:rowOff>36591</xdr:rowOff>
    </xdr:to>
    <xdr:sp macro="" textlink="">
      <xdr:nvSpPr>
        <xdr:cNvPr id="561" name="Text Box 12"/>
        <xdr:cNvSpPr txBox="1">
          <a:spLocks noChangeArrowheads="1"/>
        </xdr:cNvSpPr>
      </xdr:nvSpPr>
      <xdr:spPr bwMode="auto">
        <a:xfrm flipH="1">
          <a:off x="4739528" y="173965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39644</xdr:rowOff>
    </xdr:to>
    <xdr:sp macro="" textlink="">
      <xdr:nvSpPr>
        <xdr:cNvPr id="562" name="Text Box 14"/>
        <xdr:cNvSpPr txBox="1">
          <a:spLocks noChangeArrowheads="1"/>
        </xdr:cNvSpPr>
      </xdr:nvSpPr>
      <xdr:spPr bwMode="auto">
        <a:xfrm flipH="1">
          <a:off x="4739528" y="173975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39643</xdr:rowOff>
    </xdr:to>
    <xdr:sp macro="" textlink="">
      <xdr:nvSpPr>
        <xdr:cNvPr id="563" name="Text Box 16"/>
        <xdr:cNvSpPr txBox="1">
          <a:spLocks noChangeArrowheads="1"/>
        </xdr:cNvSpPr>
      </xdr:nvSpPr>
      <xdr:spPr bwMode="auto">
        <a:xfrm flipH="1">
          <a:off x="4739528" y="173975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1962</xdr:rowOff>
    </xdr:from>
    <xdr:to>
      <xdr:col>4</xdr:col>
      <xdr:colOff>2586878</xdr:colOff>
      <xdr:row>105</xdr:row>
      <xdr:rowOff>32124</xdr:rowOff>
    </xdr:to>
    <xdr:sp macro="" textlink="">
      <xdr:nvSpPr>
        <xdr:cNvPr id="564" name="Text Box 12"/>
        <xdr:cNvSpPr txBox="1">
          <a:spLocks noChangeArrowheads="1"/>
        </xdr:cNvSpPr>
      </xdr:nvSpPr>
      <xdr:spPr bwMode="auto">
        <a:xfrm flipH="1">
          <a:off x="4739528" y="173946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1813</xdr:rowOff>
    </xdr:from>
    <xdr:to>
      <xdr:col>4</xdr:col>
      <xdr:colOff>2586878</xdr:colOff>
      <xdr:row>105</xdr:row>
      <xdr:rowOff>22477</xdr:rowOff>
    </xdr:to>
    <xdr:sp macro="" textlink="">
      <xdr:nvSpPr>
        <xdr:cNvPr id="565" name="Text Box 4"/>
        <xdr:cNvSpPr txBox="1">
          <a:spLocks noChangeArrowheads="1"/>
        </xdr:cNvSpPr>
      </xdr:nvSpPr>
      <xdr:spPr bwMode="auto">
        <a:xfrm flipH="1">
          <a:off x="4739528" y="173944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104</xdr:row>
      <xdr:rowOff>166913</xdr:rowOff>
    </xdr:from>
    <xdr:to>
      <xdr:col>4</xdr:col>
      <xdr:colOff>2586878</xdr:colOff>
      <xdr:row>105</xdr:row>
      <xdr:rowOff>34746</xdr:rowOff>
    </xdr:to>
    <xdr:sp macro="" textlink="">
      <xdr:nvSpPr>
        <xdr:cNvPr id="569" name="Text Box 4"/>
        <xdr:cNvSpPr txBox="1">
          <a:spLocks noChangeArrowheads="1"/>
        </xdr:cNvSpPr>
      </xdr:nvSpPr>
      <xdr:spPr bwMode="auto">
        <a:xfrm flipH="1">
          <a:off x="4739528" y="173881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3866</xdr:rowOff>
    </xdr:from>
    <xdr:to>
      <xdr:col>4</xdr:col>
      <xdr:colOff>2586878</xdr:colOff>
      <xdr:row>105</xdr:row>
      <xdr:rowOff>36591</xdr:rowOff>
    </xdr:to>
    <xdr:sp macro="" textlink="">
      <xdr:nvSpPr>
        <xdr:cNvPr id="570" name="Text Box 12"/>
        <xdr:cNvSpPr txBox="1">
          <a:spLocks noChangeArrowheads="1"/>
        </xdr:cNvSpPr>
      </xdr:nvSpPr>
      <xdr:spPr bwMode="auto">
        <a:xfrm flipH="1">
          <a:off x="4739528" y="173965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39644</xdr:rowOff>
    </xdr:to>
    <xdr:sp macro="" textlink="">
      <xdr:nvSpPr>
        <xdr:cNvPr id="571" name="Text Box 14"/>
        <xdr:cNvSpPr txBox="1">
          <a:spLocks noChangeArrowheads="1"/>
        </xdr:cNvSpPr>
      </xdr:nvSpPr>
      <xdr:spPr bwMode="auto">
        <a:xfrm flipH="1">
          <a:off x="4739528" y="173975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39643</xdr:rowOff>
    </xdr:to>
    <xdr:sp macro="" textlink="">
      <xdr:nvSpPr>
        <xdr:cNvPr id="572" name="Text Box 16"/>
        <xdr:cNvSpPr txBox="1">
          <a:spLocks noChangeArrowheads="1"/>
        </xdr:cNvSpPr>
      </xdr:nvSpPr>
      <xdr:spPr bwMode="auto">
        <a:xfrm flipH="1">
          <a:off x="4739528" y="173975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1962</xdr:rowOff>
    </xdr:from>
    <xdr:to>
      <xdr:col>4</xdr:col>
      <xdr:colOff>2586878</xdr:colOff>
      <xdr:row>105</xdr:row>
      <xdr:rowOff>32124</xdr:rowOff>
    </xdr:to>
    <xdr:sp macro="" textlink="">
      <xdr:nvSpPr>
        <xdr:cNvPr id="573" name="Text Box 12"/>
        <xdr:cNvSpPr txBox="1">
          <a:spLocks noChangeArrowheads="1"/>
        </xdr:cNvSpPr>
      </xdr:nvSpPr>
      <xdr:spPr bwMode="auto">
        <a:xfrm flipH="1">
          <a:off x="4739528" y="173946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1813</xdr:rowOff>
    </xdr:from>
    <xdr:to>
      <xdr:col>4</xdr:col>
      <xdr:colOff>2586878</xdr:colOff>
      <xdr:row>105</xdr:row>
      <xdr:rowOff>22477</xdr:rowOff>
    </xdr:to>
    <xdr:sp macro="" textlink="">
      <xdr:nvSpPr>
        <xdr:cNvPr id="574" name="Text Box 4"/>
        <xdr:cNvSpPr txBox="1">
          <a:spLocks noChangeArrowheads="1"/>
        </xdr:cNvSpPr>
      </xdr:nvSpPr>
      <xdr:spPr bwMode="auto">
        <a:xfrm flipH="1">
          <a:off x="4739528" y="173944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77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78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79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80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81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82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85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86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87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88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89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90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93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94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95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96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97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598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01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02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03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04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05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06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09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10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11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12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13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14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17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18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19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20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21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22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25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26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27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28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29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30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33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34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35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36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37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38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41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42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43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44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45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46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49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50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51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52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53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54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57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58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59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60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61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62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65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66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67" name="Text Box 1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68" name="Text Box 16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69" name="Text Box 12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69</xdr:row>
      <xdr:rowOff>0</xdr:rowOff>
    </xdr:from>
    <xdr:to>
      <xdr:col>4</xdr:col>
      <xdr:colOff>2586878</xdr:colOff>
      <xdr:row>69</xdr:row>
      <xdr:rowOff>0</xdr:rowOff>
    </xdr:to>
    <xdr:sp macro="" textlink="">
      <xdr:nvSpPr>
        <xdr:cNvPr id="670" name="Text Box 4"/>
        <xdr:cNvSpPr txBox="1">
          <a:spLocks noChangeArrowheads="1"/>
        </xdr:cNvSpPr>
      </xdr:nvSpPr>
      <xdr:spPr bwMode="auto">
        <a:xfrm flipH="1">
          <a:off x="4739528" y="11220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104</xdr:row>
      <xdr:rowOff>166913</xdr:rowOff>
    </xdr:from>
    <xdr:to>
      <xdr:col>4</xdr:col>
      <xdr:colOff>2586878</xdr:colOff>
      <xdr:row>105</xdr:row>
      <xdr:rowOff>34746</xdr:rowOff>
    </xdr:to>
    <xdr:sp macro="" textlink="">
      <xdr:nvSpPr>
        <xdr:cNvPr id="674" name="Text Box 4"/>
        <xdr:cNvSpPr txBox="1">
          <a:spLocks noChangeArrowheads="1"/>
        </xdr:cNvSpPr>
      </xdr:nvSpPr>
      <xdr:spPr bwMode="auto">
        <a:xfrm flipH="1">
          <a:off x="4739528" y="173881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3866</xdr:rowOff>
    </xdr:from>
    <xdr:to>
      <xdr:col>4</xdr:col>
      <xdr:colOff>2586878</xdr:colOff>
      <xdr:row>105</xdr:row>
      <xdr:rowOff>36591</xdr:rowOff>
    </xdr:to>
    <xdr:sp macro="" textlink="">
      <xdr:nvSpPr>
        <xdr:cNvPr id="675" name="Text Box 12"/>
        <xdr:cNvSpPr txBox="1">
          <a:spLocks noChangeArrowheads="1"/>
        </xdr:cNvSpPr>
      </xdr:nvSpPr>
      <xdr:spPr bwMode="auto">
        <a:xfrm flipH="1">
          <a:off x="4739528" y="173965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39644</xdr:rowOff>
    </xdr:to>
    <xdr:sp macro="" textlink="">
      <xdr:nvSpPr>
        <xdr:cNvPr id="676" name="Text Box 14"/>
        <xdr:cNvSpPr txBox="1">
          <a:spLocks noChangeArrowheads="1"/>
        </xdr:cNvSpPr>
      </xdr:nvSpPr>
      <xdr:spPr bwMode="auto">
        <a:xfrm flipH="1">
          <a:off x="4739528" y="173975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39643</xdr:rowOff>
    </xdr:to>
    <xdr:sp macro="" textlink="">
      <xdr:nvSpPr>
        <xdr:cNvPr id="677" name="Text Box 16"/>
        <xdr:cNvSpPr txBox="1">
          <a:spLocks noChangeArrowheads="1"/>
        </xdr:cNvSpPr>
      </xdr:nvSpPr>
      <xdr:spPr bwMode="auto">
        <a:xfrm flipH="1">
          <a:off x="4739528" y="173975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1962</xdr:rowOff>
    </xdr:from>
    <xdr:to>
      <xdr:col>4</xdr:col>
      <xdr:colOff>2586878</xdr:colOff>
      <xdr:row>105</xdr:row>
      <xdr:rowOff>32124</xdr:rowOff>
    </xdr:to>
    <xdr:sp macro="" textlink="">
      <xdr:nvSpPr>
        <xdr:cNvPr id="678" name="Text Box 12"/>
        <xdr:cNvSpPr txBox="1">
          <a:spLocks noChangeArrowheads="1"/>
        </xdr:cNvSpPr>
      </xdr:nvSpPr>
      <xdr:spPr bwMode="auto">
        <a:xfrm flipH="1">
          <a:off x="4739528" y="173946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1813</xdr:rowOff>
    </xdr:from>
    <xdr:to>
      <xdr:col>4</xdr:col>
      <xdr:colOff>2586878</xdr:colOff>
      <xdr:row>105</xdr:row>
      <xdr:rowOff>22477</xdr:rowOff>
    </xdr:to>
    <xdr:sp macro="" textlink="">
      <xdr:nvSpPr>
        <xdr:cNvPr id="679" name="Text Box 4"/>
        <xdr:cNvSpPr txBox="1">
          <a:spLocks noChangeArrowheads="1"/>
        </xdr:cNvSpPr>
      </xdr:nvSpPr>
      <xdr:spPr bwMode="auto">
        <a:xfrm flipH="1">
          <a:off x="4739528" y="173944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104</xdr:row>
      <xdr:rowOff>166913</xdr:rowOff>
    </xdr:from>
    <xdr:to>
      <xdr:col>4</xdr:col>
      <xdr:colOff>2586878</xdr:colOff>
      <xdr:row>105</xdr:row>
      <xdr:rowOff>34746</xdr:rowOff>
    </xdr:to>
    <xdr:sp macro="" textlink="">
      <xdr:nvSpPr>
        <xdr:cNvPr id="683" name="Text Box 4"/>
        <xdr:cNvSpPr txBox="1">
          <a:spLocks noChangeArrowheads="1"/>
        </xdr:cNvSpPr>
      </xdr:nvSpPr>
      <xdr:spPr bwMode="auto">
        <a:xfrm flipH="1">
          <a:off x="4739528" y="173881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3866</xdr:rowOff>
    </xdr:from>
    <xdr:to>
      <xdr:col>4</xdr:col>
      <xdr:colOff>2586878</xdr:colOff>
      <xdr:row>105</xdr:row>
      <xdr:rowOff>36591</xdr:rowOff>
    </xdr:to>
    <xdr:sp macro="" textlink="">
      <xdr:nvSpPr>
        <xdr:cNvPr id="684" name="Text Box 12"/>
        <xdr:cNvSpPr txBox="1">
          <a:spLocks noChangeArrowheads="1"/>
        </xdr:cNvSpPr>
      </xdr:nvSpPr>
      <xdr:spPr bwMode="auto">
        <a:xfrm flipH="1">
          <a:off x="4739528" y="173965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39644</xdr:rowOff>
    </xdr:to>
    <xdr:sp macro="" textlink="">
      <xdr:nvSpPr>
        <xdr:cNvPr id="685" name="Text Box 14"/>
        <xdr:cNvSpPr txBox="1">
          <a:spLocks noChangeArrowheads="1"/>
        </xdr:cNvSpPr>
      </xdr:nvSpPr>
      <xdr:spPr bwMode="auto">
        <a:xfrm flipH="1">
          <a:off x="4739528" y="173975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39643</xdr:rowOff>
    </xdr:to>
    <xdr:sp macro="" textlink="">
      <xdr:nvSpPr>
        <xdr:cNvPr id="686" name="Text Box 16"/>
        <xdr:cNvSpPr txBox="1">
          <a:spLocks noChangeArrowheads="1"/>
        </xdr:cNvSpPr>
      </xdr:nvSpPr>
      <xdr:spPr bwMode="auto">
        <a:xfrm flipH="1">
          <a:off x="4739528" y="173975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1962</xdr:rowOff>
    </xdr:from>
    <xdr:to>
      <xdr:col>4</xdr:col>
      <xdr:colOff>2586878</xdr:colOff>
      <xdr:row>105</xdr:row>
      <xdr:rowOff>32124</xdr:rowOff>
    </xdr:to>
    <xdr:sp macro="" textlink="">
      <xdr:nvSpPr>
        <xdr:cNvPr id="687" name="Text Box 12"/>
        <xdr:cNvSpPr txBox="1">
          <a:spLocks noChangeArrowheads="1"/>
        </xdr:cNvSpPr>
      </xdr:nvSpPr>
      <xdr:spPr bwMode="auto">
        <a:xfrm flipH="1">
          <a:off x="4739528" y="173946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1813</xdr:rowOff>
    </xdr:from>
    <xdr:to>
      <xdr:col>4</xdr:col>
      <xdr:colOff>2586878</xdr:colOff>
      <xdr:row>105</xdr:row>
      <xdr:rowOff>22477</xdr:rowOff>
    </xdr:to>
    <xdr:sp macro="" textlink="">
      <xdr:nvSpPr>
        <xdr:cNvPr id="688" name="Text Box 4"/>
        <xdr:cNvSpPr txBox="1">
          <a:spLocks noChangeArrowheads="1"/>
        </xdr:cNvSpPr>
      </xdr:nvSpPr>
      <xdr:spPr bwMode="auto">
        <a:xfrm flipH="1">
          <a:off x="4739528" y="173944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104</xdr:row>
      <xdr:rowOff>166913</xdr:rowOff>
    </xdr:from>
    <xdr:to>
      <xdr:col>4</xdr:col>
      <xdr:colOff>2586878</xdr:colOff>
      <xdr:row>105</xdr:row>
      <xdr:rowOff>34746</xdr:rowOff>
    </xdr:to>
    <xdr:sp macro="" textlink="">
      <xdr:nvSpPr>
        <xdr:cNvPr id="692" name="Text Box 4"/>
        <xdr:cNvSpPr txBox="1">
          <a:spLocks noChangeArrowheads="1"/>
        </xdr:cNvSpPr>
      </xdr:nvSpPr>
      <xdr:spPr bwMode="auto">
        <a:xfrm flipH="1">
          <a:off x="4739528" y="173881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3866</xdr:rowOff>
    </xdr:from>
    <xdr:to>
      <xdr:col>4</xdr:col>
      <xdr:colOff>2586878</xdr:colOff>
      <xdr:row>105</xdr:row>
      <xdr:rowOff>36591</xdr:rowOff>
    </xdr:to>
    <xdr:sp macro="" textlink="">
      <xdr:nvSpPr>
        <xdr:cNvPr id="693" name="Text Box 12"/>
        <xdr:cNvSpPr txBox="1">
          <a:spLocks noChangeArrowheads="1"/>
        </xdr:cNvSpPr>
      </xdr:nvSpPr>
      <xdr:spPr bwMode="auto">
        <a:xfrm flipH="1">
          <a:off x="4739528" y="173965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39644</xdr:rowOff>
    </xdr:to>
    <xdr:sp macro="" textlink="">
      <xdr:nvSpPr>
        <xdr:cNvPr id="694" name="Text Box 14"/>
        <xdr:cNvSpPr txBox="1">
          <a:spLocks noChangeArrowheads="1"/>
        </xdr:cNvSpPr>
      </xdr:nvSpPr>
      <xdr:spPr bwMode="auto">
        <a:xfrm flipH="1">
          <a:off x="4739528" y="173975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4901</xdr:rowOff>
    </xdr:from>
    <xdr:to>
      <xdr:col>4</xdr:col>
      <xdr:colOff>2586878</xdr:colOff>
      <xdr:row>105</xdr:row>
      <xdr:rowOff>39643</xdr:rowOff>
    </xdr:to>
    <xdr:sp macro="" textlink="">
      <xdr:nvSpPr>
        <xdr:cNvPr id="695" name="Text Box 16"/>
        <xdr:cNvSpPr txBox="1">
          <a:spLocks noChangeArrowheads="1"/>
        </xdr:cNvSpPr>
      </xdr:nvSpPr>
      <xdr:spPr bwMode="auto">
        <a:xfrm flipH="1">
          <a:off x="4739528" y="173975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1962</xdr:rowOff>
    </xdr:from>
    <xdr:to>
      <xdr:col>4</xdr:col>
      <xdr:colOff>2586878</xdr:colOff>
      <xdr:row>105</xdr:row>
      <xdr:rowOff>32124</xdr:rowOff>
    </xdr:to>
    <xdr:sp macro="" textlink="">
      <xdr:nvSpPr>
        <xdr:cNvPr id="696" name="Text Box 12"/>
        <xdr:cNvSpPr txBox="1">
          <a:spLocks noChangeArrowheads="1"/>
        </xdr:cNvSpPr>
      </xdr:nvSpPr>
      <xdr:spPr bwMode="auto">
        <a:xfrm flipH="1">
          <a:off x="4739528" y="173946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105</xdr:row>
      <xdr:rowOff>1813</xdr:rowOff>
    </xdr:from>
    <xdr:to>
      <xdr:col>4</xdr:col>
      <xdr:colOff>2586878</xdr:colOff>
      <xdr:row>105</xdr:row>
      <xdr:rowOff>22477</xdr:rowOff>
    </xdr:to>
    <xdr:sp macro="" textlink="">
      <xdr:nvSpPr>
        <xdr:cNvPr id="697" name="Text Box 4"/>
        <xdr:cNvSpPr txBox="1">
          <a:spLocks noChangeArrowheads="1"/>
        </xdr:cNvSpPr>
      </xdr:nvSpPr>
      <xdr:spPr bwMode="auto">
        <a:xfrm flipH="1">
          <a:off x="4739528" y="173944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2621168</xdr:colOff>
      <xdr:row>284</xdr:row>
      <xdr:rowOff>23020</xdr:rowOff>
    </xdr:to>
    <xdr:sp macro="" textlink="">
      <xdr:nvSpPr>
        <xdr:cNvPr id="710" name="Text Box 4"/>
        <xdr:cNvSpPr txBox="1">
          <a:spLocks noChangeArrowheads="1"/>
        </xdr:cNvSpPr>
      </xdr:nvSpPr>
      <xdr:spPr bwMode="auto">
        <a:xfrm flipH="1">
          <a:off x="4739528" y="4492488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2621168</xdr:colOff>
      <xdr:row>284</xdr:row>
      <xdr:rowOff>5550</xdr:rowOff>
    </xdr:to>
    <xdr:sp macro="" textlink="">
      <xdr:nvSpPr>
        <xdr:cNvPr id="711" name="Text Box 12"/>
        <xdr:cNvSpPr txBox="1">
          <a:spLocks noChangeArrowheads="1"/>
        </xdr:cNvSpPr>
      </xdr:nvSpPr>
      <xdr:spPr bwMode="auto">
        <a:xfrm flipH="1">
          <a:off x="4739528" y="4493329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2621168</xdr:colOff>
      <xdr:row>284</xdr:row>
      <xdr:rowOff>5203</xdr:rowOff>
    </xdr:to>
    <xdr:sp macro="" textlink="">
      <xdr:nvSpPr>
        <xdr:cNvPr id="712" name="Text Box 14"/>
        <xdr:cNvSpPr txBox="1">
          <a:spLocks noChangeArrowheads="1"/>
        </xdr:cNvSpPr>
      </xdr:nvSpPr>
      <xdr:spPr bwMode="auto">
        <a:xfrm flipH="1">
          <a:off x="4739528" y="4493432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2621168</xdr:colOff>
      <xdr:row>284</xdr:row>
      <xdr:rowOff>5202</xdr:rowOff>
    </xdr:to>
    <xdr:sp macro="" textlink="">
      <xdr:nvSpPr>
        <xdr:cNvPr id="713" name="Text Box 16"/>
        <xdr:cNvSpPr txBox="1">
          <a:spLocks noChangeArrowheads="1"/>
        </xdr:cNvSpPr>
      </xdr:nvSpPr>
      <xdr:spPr bwMode="auto">
        <a:xfrm flipH="1">
          <a:off x="4739528" y="4493432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2621168</xdr:colOff>
      <xdr:row>284</xdr:row>
      <xdr:rowOff>2271</xdr:rowOff>
    </xdr:to>
    <xdr:sp macro="" textlink="">
      <xdr:nvSpPr>
        <xdr:cNvPr id="714" name="Text Box 12"/>
        <xdr:cNvSpPr txBox="1">
          <a:spLocks noChangeArrowheads="1"/>
        </xdr:cNvSpPr>
      </xdr:nvSpPr>
      <xdr:spPr bwMode="auto">
        <a:xfrm flipH="1">
          <a:off x="4739528" y="4493138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2621168</xdr:colOff>
      <xdr:row>284</xdr:row>
      <xdr:rowOff>14857</xdr:rowOff>
    </xdr:to>
    <xdr:sp macro="" textlink="">
      <xdr:nvSpPr>
        <xdr:cNvPr id="715" name="Text Box 4"/>
        <xdr:cNvSpPr txBox="1">
          <a:spLocks noChangeArrowheads="1"/>
        </xdr:cNvSpPr>
      </xdr:nvSpPr>
      <xdr:spPr bwMode="auto">
        <a:xfrm flipH="1">
          <a:off x="4739528" y="4493123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718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719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720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721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722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723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726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727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728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729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730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731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283</xdr:row>
      <xdr:rowOff>166913</xdr:rowOff>
    </xdr:from>
    <xdr:to>
      <xdr:col>5</xdr:col>
      <xdr:colOff>0</xdr:colOff>
      <xdr:row>284</xdr:row>
      <xdr:rowOff>23020</xdr:rowOff>
    </xdr:to>
    <xdr:sp macro="" textlink="">
      <xdr:nvSpPr>
        <xdr:cNvPr id="738" name="Text Box 4"/>
        <xdr:cNvSpPr txBox="1">
          <a:spLocks noChangeArrowheads="1"/>
        </xdr:cNvSpPr>
      </xdr:nvSpPr>
      <xdr:spPr bwMode="auto">
        <a:xfrm flipH="1">
          <a:off x="4743450" y="4492488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3866</xdr:rowOff>
    </xdr:from>
    <xdr:to>
      <xdr:col>5</xdr:col>
      <xdr:colOff>0</xdr:colOff>
      <xdr:row>284</xdr:row>
      <xdr:rowOff>5550</xdr:rowOff>
    </xdr:to>
    <xdr:sp macro="" textlink="">
      <xdr:nvSpPr>
        <xdr:cNvPr id="739" name="Text Box 12"/>
        <xdr:cNvSpPr txBox="1">
          <a:spLocks noChangeArrowheads="1"/>
        </xdr:cNvSpPr>
      </xdr:nvSpPr>
      <xdr:spPr bwMode="auto">
        <a:xfrm flipH="1">
          <a:off x="4743450" y="4493329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5203</xdr:rowOff>
    </xdr:to>
    <xdr:sp macro="" textlink="">
      <xdr:nvSpPr>
        <xdr:cNvPr id="740" name="Text Box 14"/>
        <xdr:cNvSpPr txBox="1">
          <a:spLocks noChangeArrowheads="1"/>
        </xdr:cNvSpPr>
      </xdr:nvSpPr>
      <xdr:spPr bwMode="auto">
        <a:xfrm flipH="1">
          <a:off x="4743450" y="4493432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5202</xdr:rowOff>
    </xdr:to>
    <xdr:sp macro="" textlink="">
      <xdr:nvSpPr>
        <xdr:cNvPr id="741" name="Text Box 16"/>
        <xdr:cNvSpPr txBox="1">
          <a:spLocks noChangeArrowheads="1"/>
        </xdr:cNvSpPr>
      </xdr:nvSpPr>
      <xdr:spPr bwMode="auto">
        <a:xfrm flipH="1">
          <a:off x="4743450" y="4493432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1962</xdr:rowOff>
    </xdr:from>
    <xdr:to>
      <xdr:col>5</xdr:col>
      <xdr:colOff>0</xdr:colOff>
      <xdr:row>284</xdr:row>
      <xdr:rowOff>2271</xdr:rowOff>
    </xdr:to>
    <xdr:sp macro="" textlink="">
      <xdr:nvSpPr>
        <xdr:cNvPr id="742" name="Text Box 12"/>
        <xdr:cNvSpPr txBox="1">
          <a:spLocks noChangeArrowheads="1"/>
        </xdr:cNvSpPr>
      </xdr:nvSpPr>
      <xdr:spPr bwMode="auto">
        <a:xfrm flipH="1">
          <a:off x="4743450" y="4493138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1813</xdr:rowOff>
    </xdr:from>
    <xdr:to>
      <xdr:col>5</xdr:col>
      <xdr:colOff>0</xdr:colOff>
      <xdr:row>284</xdr:row>
      <xdr:rowOff>14857</xdr:rowOff>
    </xdr:to>
    <xdr:sp macro="" textlink="">
      <xdr:nvSpPr>
        <xdr:cNvPr id="743" name="Text Box 4"/>
        <xdr:cNvSpPr txBox="1">
          <a:spLocks noChangeArrowheads="1"/>
        </xdr:cNvSpPr>
      </xdr:nvSpPr>
      <xdr:spPr bwMode="auto">
        <a:xfrm flipH="1">
          <a:off x="4743450" y="4493123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746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747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748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749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750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751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754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755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756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757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758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759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2621168</xdr:colOff>
      <xdr:row>284</xdr:row>
      <xdr:rowOff>23020</xdr:rowOff>
    </xdr:to>
    <xdr:sp macro="" textlink="">
      <xdr:nvSpPr>
        <xdr:cNvPr id="766" name="Text Box 4"/>
        <xdr:cNvSpPr txBox="1">
          <a:spLocks noChangeArrowheads="1"/>
        </xdr:cNvSpPr>
      </xdr:nvSpPr>
      <xdr:spPr bwMode="auto">
        <a:xfrm flipH="1">
          <a:off x="4739528" y="4492488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2621168</xdr:colOff>
      <xdr:row>284</xdr:row>
      <xdr:rowOff>5550</xdr:rowOff>
    </xdr:to>
    <xdr:sp macro="" textlink="">
      <xdr:nvSpPr>
        <xdr:cNvPr id="767" name="Text Box 12"/>
        <xdr:cNvSpPr txBox="1">
          <a:spLocks noChangeArrowheads="1"/>
        </xdr:cNvSpPr>
      </xdr:nvSpPr>
      <xdr:spPr bwMode="auto">
        <a:xfrm flipH="1">
          <a:off x="4739528" y="4493329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2621168</xdr:colOff>
      <xdr:row>284</xdr:row>
      <xdr:rowOff>5203</xdr:rowOff>
    </xdr:to>
    <xdr:sp macro="" textlink="">
      <xdr:nvSpPr>
        <xdr:cNvPr id="768" name="Text Box 14"/>
        <xdr:cNvSpPr txBox="1">
          <a:spLocks noChangeArrowheads="1"/>
        </xdr:cNvSpPr>
      </xdr:nvSpPr>
      <xdr:spPr bwMode="auto">
        <a:xfrm flipH="1">
          <a:off x="4739528" y="4493432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2621168</xdr:colOff>
      <xdr:row>284</xdr:row>
      <xdr:rowOff>5202</xdr:rowOff>
    </xdr:to>
    <xdr:sp macro="" textlink="">
      <xdr:nvSpPr>
        <xdr:cNvPr id="769" name="Text Box 16"/>
        <xdr:cNvSpPr txBox="1">
          <a:spLocks noChangeArrowheads="1"/>
        </xdr:cNvSpPr>
      </xdr:nvSpPr>
      <xdr:spPr bwMode="auto">
        <a:xfrm flipH="1">
          <a:off x="4739528" y="4493432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2621168</xdr:colOff>
      <xdr:row>284</xdr:row>
      <xdr:rowOff>2271</xdr:rowOff>
    </xdr:to>
    <xdr:sp macro="" textlink="">
      <xdr:nvSpPr>
        <xdr:cNvPr id="770" name="Text Box 12"/>
        <xdr:cNvSpPr txBox="1">
          <a:spLocks noChangeArrowheads="1"/>
        </xdr:cNvSpPr>
      </xdr:nvSpPr>
      <xdr:spPr bwMode="auto">
        <a:xfrm flipH="1">
          <a:off x="4739528" y="4493138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2621168</xdr:colOff>
      <xdr:row>284</xdr:row>
      <xdr:rowOff>14857</xdr:rowOff>
    </xdr:to>
    <xdr:sp macro="" textlink="">
      <xdr:nvSpPr>
        <xdr:cNvPr id="771" name="Text Box 4"/>
        <xdr:cNvSpPr txBox="1">
          <a:spLocks noChangeArrowheads="1"/>
        </xdr:cNvSpPr>
      </xdr:nvSpPr>
      <xdr:spPr bwMode="auto">
        <a:xfrm flipH="1">
          <a:off x="4739528" y="4493123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774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775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776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777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778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779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782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783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784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785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786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787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283</xdr:row>
      <xdr:rowOff>166913</xdr:rowOff>
    </xdr:from>
    <xdr:to>
      <xdr:col>5</xdr:col>
      <xdr:colOff>0</xdr:colOff>
      <xdr:row>284</xdr:row>
      <xdr:rowOff>23020</xdr:rowOff>
    </xdr:to>
    <xdr:sp macro="" textlink="">
      <xdr:nvSpPr>
        <xdr:cNvPr id="794" name="Text Box 4"/>
        <xdr:cNvSpPr txBox="1">
          <a:spLocks noChangeArrowheads="1"/>
        </xdr:cNvSpPr>
      </xdr:nvSpPr>
      <xdr:spPr bwMode="auto">
        <a:xfrm flipH="1">
          <a:off x="4743450" y="4492488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3866</xdr:rowOff>
    </xdr:from>
    <xdr:to>
      <xdr:col>5</xdr:col>
      <xdr:colOff>0</xdr:colOff>
      <xdr:row>284</xdr:row>
      <xdr:rowOff>5550</xdr:rowOff>
    </xdr:to>
    <xdr:sp macro="" textlink="">
      <xdr:nvSpPr>
        <xdr:cNvPr id="795" name="Text Box 12"/>
        <xdr:cNvSpPr txBox="1">
          <a:spLocks noChangeArrowheads="1"/>
        </xdr:cNvSpPr>
      </xdr:nvSpPr>
      <xdr:spPr bwMode="auto">
        <a:xfrm flipH="1">
          <a:off x="4743450" y="4493329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5203</xdr:rowOff>
    </xdr:to>
    <xdr:sp macro="" textlink="">
      <xdr:nvSpPr>
        <xdr:cNvPr id="796" name="Text Box 14"/>
        <xdr:cNvSpPr txBox="1">
          <a:spLocks noChangeArrowheads="1"/>
        </xdr:cNvSpPr>
      </xdr:nvSpPr>
      <xdr:spPr bwMode="auto">
        <a:xfrm flipH="1">
          <a:off x="4743450" y="4493432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5202</xdr:rowOff>
    </xdr:to>
    <xdr:sp macro="" textlink="">
      <xdr:nvSpPr>
        <xdr:cNvPr id="797" name="Text Box 16"/>
        <xdr:cNvSpPr txBox="1">
          <a:spLocks noChangeArrowheads="1"/>
        </xdr:cNvSpPr>
      </xdr:nvSpPr>
      <xdr:spPr bwMode="auto">
        <a:xfrm flipH="1">
          <a:off x="4743450" y="4493432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1962</xdr:rowOff>
    </xdr:from>
    <xdr:to>
      <xdr:col>5</xdr:col>
      <xdr:colOff>0</xdr:colOff>
      <xdr:row>284</xdr:row>
      <xdr:rowOff>2271</xdr:rowOff>
    </xdr:to>
    <xdr:sp macro="" textlink="">
      <xdr:nvSpPr>
        <xdr:cNvPr id="798" name="Text Box 12"/>
        <xdr:cNvSpPr txBox="1">
          <a:spLocks noChangeArrowheads="1"/>
        </xdr:cNvSpPr>
      </xdr:nvSpPr>
      <xdr:spPr bwMode="auto">
        <a:xfrm flipH="1">
          <a:off x="4743450" y="4493138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1813</xdr:rowOff>
    </xdr:from>
    <xdr:to>
      <xdr:col>5</xdr:col>
      <xdr:colOff>0</xdr:colOff>
      <xdr:row>284</xdr:row>
      <xdr:rowOff>14857</xdr:rowOff>
    </xdr:to>
    <xdr:sp macro="" textlink="">
      <xdr:nvSpPr>
        <xdr:cNvPr id="799" name="Text Box 4"/>
        <xdr:cNvSpPr txBox="1">
          <a:spLocks noChangeArrowheads="1"/>
        </xdr:cNvSpPr>
      </xdr:nvSpPr>
      <xdr:spPr bwMode="auto">
        <a:xfrm flipH="1">
          <a:off x="4743450" y="4493123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802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803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804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805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806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807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810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811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812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813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814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815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818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819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820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821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822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823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826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827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828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829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830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831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2621168</xdr:colOff>
      <xdr:row>284</xdr:row>
      <xdr:rowOff>23020</xdr:rowOff>
    </xdr:to>
    <xdr:sp macro="" textlink="">
      <xdr:nvSpPr>
        <xdr:cNvPr id="838" name="Text Box 4"/>
        <xdr:cNvSpPr txBox="1">
          <a:spLocks noChangeArrowheads="1"/>
        </xdr:cNvSpPr>
      </xdr:nvSpPr>
      <xdr:spPr bwMode="auto">
        <a:xfrm flipH="1">
          <a:off x="4739528" y="4492488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2621168</xdr:colOff>
      <xdr:row>284</xdr:row>
      <xdr:rowOff>5550</xdr:rowOff>
    </xdr:to>
    <xdr:sp macro="" textlink="">
      <xdr:nvSpPr>
        <xdr:cNvPr id="839" name="Text Box 12"/>
        <xdr:cNvSpPr txBox="1">
          <a:spLocks noChangeArrowheads="1"/>
        </xdr:cNvSpPr>
      </xdr:nvSpPr>
      <xdr:spPr bwMode="auto">
        <a:xfrm flipH="1">
          <a:off x="4739528" y="4493329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2621168</xdr:colOff>
      <xdr:row>284</xdr:row>
      <xdr:rowOff>5203</xdr:rowOff>
    </xdr:to>
    <xdr:sp macro="" textlink="">
      <xdr:nvSpPr>
        <xdr:cNvPr id="840" name="Text Box 14"/>
        <xdr:cNvSpPr txBox="1">
          <a:spLocks noChangeArrowheads="1"/>
        </xdr:cNvSpPr>
      </xdr:nvSpPr>
      <xdr:spPr bwMode="auto">
        <a:xfrm flipH="1">
          <a:off x="4739528" y="4493432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2621168</xdr:colOff>
      <xdr:row>284</xdr:row>
      <xdr:rowOff>5202</xdr:rowOff>
    </xdr:to>
    <xdr:sp macro="" textlink="">
      <xdr:nvSpPr>
        <xdr:cNvPr id="841" name="Text Box 16"/>
        <xdr:cNvSpPr txBox="1">
          <a:spLocks noChangeArrowheads="1"/>
        </xdr:cNvSpPr>
      </xdr:nvSpPr>
      <xdr:spPr bwMode="auto">
        <a:xfrm flipH="1">
          <a:off x="4739528" y="4493432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2621168</xdr:colOff>
      <xdr:row>284</xdr:row>
      <xdr:rowOff>2271</xdr:rowOff>
    </xdr:to>
    <xdr:sp macro="" textlink="">
      <xdr:nvSpPr>
        <xdr:cNvPr id="842" name="Text Box 12"/>
        <xdr:cNvSpPr txBox="1">
          <a:spLocks noChangeArrowheads="1"/>
        </xdr:cNvSpPr>
      </xdr:nvSpPr>
      <xdr:spPr bwMode="auto">
        <a:xfrm flipH="1">
          <a:off x="4739528" y="4493138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2621168</xdr:colOff>
      <xdr:row>284</xdr:row>
      <xdr:rowOff>14857</xdr:rowOff>
    </xdr:to>
    <xdr:sp macro="" textlink="">
      <xdr:nvSpPr>
        <xdr:cNvPr id="843" name="Text Box 4"/>
        <xdr:cNvSpPr txBox="1">
          <a:spLocks noChangeArrowheads="1"/>
        </xdr:cNvSpPr>
      </xdr:nvSpPr>
      <xdr:spPr bwMode="auto">
        <a:xfrm flipH="1">
          <a:off x="4739528" y="4493123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846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847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848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849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850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851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854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855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856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857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858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859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283</xdr:row>
      <xdr:rowOff>166913</xdr:rowOff>
    </xdr:from>
    <xdr:to>
      <xdr:col>5</xdr:col>
      <xdr:colOff>0</xdr:colOff>
      <xdr:row>284</xdr:row>
      <xdr:rowOff>23020</xdr:rowOff>
    </xdr:to>
    <xdr:sp macro="" textlink="">
      <xdr:nvSpPr>
        <xdr:cNvPr id="866" name="Text Box 4"/>
        <xdr:cNvSpPr txBox="1">
          <a:spLocks noChangeArrowheads="1"/>
        </xdr:cNvSpPr>
      </xdr:nvSpPr>
      <xdr:spPr bwMode="auto">
        <a:xfrm flipH="1">
          <a:off x="4743450" y="4492488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3866</xdr:rowOff>
    </xdr:from>
    <xdr:to>
      <xdr:col>5</xdr:col>
      <xdr:colOff>0</xdr:colOff>
      <xdr:row>284</xdr:row>
      <xdr:rowOff>5550</xdr:rowOff>
    </xdr:to>
    <xdr:sp macro="" textlink="">
      <xdr:nvSpPr>
        <xdr:cNvPr id="867" name="Text Box 12"/>
        <xdr:cNvSpPr txBox="1">
          <a:spLocks noChangeArrowheads="1"/>
        </xdr:cNvSpPr>
      </xdr:nvSpPr>
      <xdr:spPr bwMode="auto">
        <a:xfrm flipH="1">
          <a:off x="4743450" y="4493329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5203</xdr:rowOff>
    </xdr:to>
    <xdr:sp macro="" textlink="">
      <xdr:nvSpPr>
        <xdr:cNvPr id="868" name="Text Box 14"/>
        <xdr:cNvSpPr txBox="1">
          <a:spLocks noChangeArrowheads="1"/>
        </xdr:cNvSpPr>
      </xdr:nvSpPr>
      <xdr:spPr bwMode="auto">
        <a:xfrm flipH="1">
          <a:off x="4743450" y="4493432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5202</xdr:rowOff>
    </xdr:to>
    <xdr:sp macro="" textlink="">
      <xdr:nvSpPr>
        <xdr:cNvPr id="869" name="Text Box 16"/>
        <xdr:cNvSpPr txBox="1">
          <a:spLocks noChangeArrowheads="1"/>
        </xdr:cNvSpPr>
      </xdr:nvSpPr>
      <xdr:spPr bwMode="auto">
        <a:xfrm flipH="1">
          <a:off x="4743450" y="4493432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1962</xdr:rowOff>
    </xdr:from>
    <xdr:to>
      <xdr:col>5</xdr:col>
      <xdr:colOff>0</xdr:colOff>
      <xdr:row>284</xdr:row>
      <xdr:rowOff>2271</xdr:rowOff>
    </xdr:to>
    <xdr:sp macro="" textlink="">
      <xdr:nvSpPr>
        <xdr:cNvPr id="870" name="Text Box 12"/>
        <xdr:cNvSpPr txBox="1">
          <a:spLocks noChangeArrowheads="1"/>
        </xdr:cNvSpPr>
      </xdr:nvSpPr>
      <xdr:spPr bwMode="auto">
        <a:xfrm flipH="1">
          <a:off x="4743450" y="4493138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1813</xdr:rowOff>
    </xdr:from>
    <xdr:to>
      <xdr:col>5</xdr:col>
      <xdr:colOff>0</xdr:colOff>
      <xdr:row>284</xdr:row>
      <xdr:rowOff>14857</xdr:rowOff>
    </xdr:to>
    <xdr:sp macro="" textlink="">
      <xdr:nvSpPr>
        <xdr:cNvPr id="871" name="Text Box 4"/>
        <xdr:cNvSpPr txBox="1">
          <a:spLocks noChangeArrowheads="1"/>
        </xdr:cNvSpPr>
      </xdr:nvSpPr>
      <xdr:spPr bwMode="auto">
        <a:xfrm flipH="1">
          <a:off x="4743450" y="4493123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874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875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876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877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878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879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882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883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884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885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886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887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2621168</xdr:colOff>
      <xdr:row>284</xdr:row>
      <xdr:rowOff>23020</xdr:rowOff>
    </xdr:to>
    <xdr:sp macro="" textlink="">
      <xdr:nvSpPr>
        <xdr:cNvPr id="894" name="Text Box 4"/>
        <xdr:cNvSpPr txBox="1">
          <a:spLocks noChangeArrowheads="1"/>
        </xdr:cNvSpPr>
      </xdr:nvSpPr>
      <xdr:spPr bwMode="auto">
        <a:xfrm flipH="1">
          <a:off x="4739528" y="4492488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2621168</xdr:colOff>
      <xdr:row>284</xdr:row>
      <xdr:rowOff>5550</xdr:rowOff>
    </xdr:to>
    <xdr:sp macro="" textlink="">
      <xdr:nvSpPr>
        <xdr:cNvPr id="895" name="Text Box 12"/>
        <xdr:cNvSpPr txBox="1">
          <a:spLocks noChangeArrowheads="1"/>
        </xdr:cNvSpPr>
      </xdr:nvSpPr>
      <xdr:spPr bwMode="auto">
        <a:xfrm flipH="1">
          <a:off x="4739528" y="4493329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2621168</xdr:colOff>
      <xdr:row>284</xdr:row>
      <xdr:rowOff>5203</xdr:rowOff>
    </xdr:to>
    <xdr:sp macro="" textlink="">
      <xdr:nvSpPr>
        <xdr:cNvPr id="896" name="Text Box 14"/>
        <xdr:cNvSpPr txBox="1">
          <a:spLocks noChangeArrowheads="1"/>
        </xdr:cNvSpPr>
      </xdr:nvSpPr>
      <xdr:spPr bwMode="auto">
        <a:xfrm flipH="1">
          <a:off x="4739528" y="4493432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2621168</xdr:colOff>
      <xdr:row>284</xdr:row>
      <xdr:rowOff>5202</xdr:rowOff>
    </xdr:to>
    <xdr:sp macro="" textlink="">
      <xdr:nvSpPr>
        <xdr:cNvPr id="897" name="Text Box 16"/>
        <xdr:cNvSpPr txBox="1">
          <a:spLocks noChangeArrowheads="1"/>
        </xdr:cNvSpPr>
      </xdr:nvSpPr>
      <xdr:spPr bwMode="auto">
        <a:xfrm flipH="1">
          <a:off x="4739528" y="4493432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2621168</xdr:colOff>
      <xdr:row>284</xdr:row>
      <xdr:rowOff>2271</xdr:rowOff>
    </xdr:to>
    <xdr:sp macro="" textlink="">
      <xdr:nvSpPr>
        <xdr:cNvPr id="898" name="Text Box 12"/>
        <xdr:cNvSpPr txBox="1">
          <a:spLocks noChangeArrowheads="1"/>
        </xdr:cNvSpPr>
      </xdr:nvSpPr>
      <xdr:spPr bwMode="auto">
        <a:xfrm flipH="1">
          <a:off x="4739528" y="4493138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2621168</xdr:colOff>
      <xdr:row>284</xdr:row>
      <xdr:rowOff>14857</xdr:rowOff>
    </xdr:to>
    <xdr:sp macro="" textlink="">
      <xdr:nvSpPr>
        <xdr:cNvPr id="899" name="Text Box 4"/>
        <xdr:cNvSpPr txBox="1">
          <a:spLocks noChangeArrowheads="1"/>
        </xdr:cNvSpPr>
      </xdr:nvSpPr>
      <xdr:spPr bwMode="auto">
        <a:xfrm flipH="1">
          <a:off x="4739528" y="4493123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902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903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904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905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906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907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910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911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912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913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914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915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283</xdr:row>
      <xdr:rowOff>166913</xdr:rowOff>
    </xdr:from>
    <xdr:to>
      <xdr:col>5</xdr:col>
      <xdr:colOff>0</xdr:colOff>
      <xdr:row>284</xdr:row>
      <xdr:rowOff>23020</xdr:rowOff>
    </xdr:to>
    <xdr:sp macro="" textlink="">
      <xdr:nvSpPr>
        <xdr:cNvPr id="922" name="Text Box 4"/>
        <xdr:cNvSpPr txBox="1">
          <a:spLocks noChangeArrowheads="1"/>
        </xdr:cNvSpPr>
      </xdr:nvSpPr>
      <xdr:spPr bwMode="auto">
        <a:xfrm flipH="1">
          <a:off x="4743450" y="4492488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3866</xdr:rowOff>
    </xdr:from>
    <xdr:to>
      <xdr:col>5</xdr:col>
      <xdr:colOff>0</xdr:colOff>
      <xdr:row>284</xdr:row>
      <xdr:rowOff>5550</xdr:rowOff>
    </xdr:to>
    <xdr:sp macro="" textlink="">
      <xdr:nvSpPr>
        <xdr:cNvPr id="923" name="Text Box 12"/>
        <xdr:cNvSpPr txBox="1">
          <a:spLocks noChangeArrowheads="1"/>
        </xdr:cNvSpPr>
      </xdr:nvSpPr>
      <xdr:spPr bwMode="auto">
        <a:xfrm flipH="1">
          <a:off x="4743450" y="4493329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5203</xdr:rowOff>
    </xdr:to>
    <xdr:sp macro="" textlink="">
      <xdr:nvSpPr>
        <xdr:cNvPr id="924" name="Text Box 14"/>
        <xdr:cNvSpPr txBox="1">
          <a:spLocks noChangeArrowheads="1"/>
        </xdr:cNvSpPr>
      </xdr:nvSpPr>
      <xdr:spPr bwMode="auto">
        <a:xfrm flipH="1">
          <a:off x="4743450" y="4493432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5202</xdr:rowOff>
    </xdr:to>
    <xdr:sp macro="" textlink="">
      <xdr:nvSpPr>
        <xdr:cNvPr id="925" name="Text Box 16"/>
        <xdr:cNvSpPr txBox="1">
          <a:spLocks noChangeArrowheads="1"/>
        </xdr:cNvSpPr>
      </xdr:nvSpPr>
      <xdr:spPr bwMode="auto">
        <a:xfrm flipH="1">
          <a:off x="4743450" y="4493432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1962</xdr:rowOff>
    </xdr:from>
    <xdr:to>
      <xdr:col>5</xdr:col>
      <xdr:colOff>0</xdr:colOff>
      <xdr:row>284</xdr:row>
      <xdr:rowOff>2271</xdr:rowOff>
    </xdr:to>
    <xdr:sp macro="" textlink="">
      <xdr:nvSpPr>
        <xdr:cNvPr id="926" name="Text Box 12"/>
        <xdr:cNvSpPr txBox="1">
          <a:spLocks noChangeArrowheads="1"/>
        </xdr:cNvSpPr>
      </xdr:nvSpPr>
      <xdr:spPr bwMode="auto">
        <a:xfrm flipH="1">
          <a:off x="4743450" y="4493138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1813</xdr:rowOff>
    </xdr:from>
    <xdr:to>
      <xdr:col>5</xdr:col>
      <xdr:colOff>0</xdr:colOff>
      <xdr:row>284</xdr:row>
      <xdr:rowOff>14857</xdr:rowOff>
    </xdr:to>
    <xdr:sp macro="" textlink="">
      <xdr:nvSpPr>
        <xdr:cNvPr id="927" name="Text Box 4"/>
        <xdr:cNvSpPr txBox="1">
          <a:spLocks noChangeArrowheads="1"/>
        </xdr:cNvSpPr>
      </xdr:nvSpPr>
      <xdr:spPr bwMode="auto">
        <a:xfrm flipH="1">
          <a:off x="4743450" y="4493123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930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931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932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933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934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935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938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939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940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941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942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943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946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947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948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949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950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951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954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955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956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957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958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959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966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967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968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969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970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971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974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975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976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977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978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979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982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983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984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985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986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987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283</xdr:row>
      <xdr:rowOff>166913</xdr:rowOff>
    </xdr:from>
    <xdr:to>
      <xdr:col>5</xdr:col>
      <xdr:colOff>0</xdr:colOff>
      <xdr:row>284</xdr:row>
      <xdr:rowOff>34746</xdr:rowOff>
    </xdr:to>
    <xdr:sp macro="" textlink="">
      <xdr:nvSpPr>
        <xdr:cNvPr id="994" name="Text Box 4"/>
        <xdr:cNvSpPr txBox="1">
          <a:spLocks noChangeArrowheads="1"/>
        </xdr:cNvSpPr>
      </xdr:nvSpPr>
      <xdr:spPr bwMode="auto">
        <a:xfrm flipH="1">
          <a:off x="4743450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3866</xdr:rowOff>
    </xdr:from>
    <xdr:to>
      <xdr:col>5</xdr:col>
      <xdr:colOff>0</xdr:colOff>
      <xdr:row>284</xdr:row>
      <xdr:rowOff>36591</xdr:rowOff>
    </xdr:to>
    <xdr:sp macro="" textlink="">
      <xdr:nvSpPr>
        <xdr:cNvPr id="995" name="Text Box 12"/>
        <xdr:cNvSpPr txBox="1">
          <a:spLocks noChangeArrowheads="1"/>
        </xdr:cNvSpPr>
      </xdr:nvSpPr>
      <xdr:spPr bwMode="auto">
        <a:xfrm flipH="1">
          <a:off x="4743450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1626</xdr:rowOff>
    </xdr:from>
    <xdr:to>
      <xdr:col>5</xdr:col>
      <xdr:colOff>0</xdr:colOff>
      <xdr:row>257</xdr:row>
      <xdr:rowOff>82082</xdr:rowOff>
    </xdr:to>
    <xdr:sp macro="" textlink="">
      <xdr:nvSpPr>
        <xdr:cNvPr id="996" name="Text Box 4"/>
        <xdr:cNvSpPr txBox="1">
          <a:spLocks noChangeArrowheads="1"/>
        </xdr:cNvSpPr>
      </xdr:nvSpPr>
      <xdr:spPr bwMode="auto">
        <a:xfrm flipH="1">
          <a:off x="4743450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34573</xdr:rowOff>
    </xdr:to>
    <xdr:sp macro="" textlink="">
      <xdr:nvSpPr>
        <xdr:cNvPr id="997" name="Text Box 12"/>
        <xdr:cNvSpPr txBox="1">
          <a:spLocks noChangeArrowheads="1"/>
        </xdr:cNvSpPr>
      </xdr:nvSpPr>
      <xdr:spPr bwMode="auto">
        <a:xfrm flipH="1">
          <a:off x="4743450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34226</xdr:rowOff>
    </xdr:to>
    <xdr:sp macro="" textlink="">
      <xdr:nvSpPr>
        <xdr:cNvPr id="998" name="Text Box 14"/>
        <xdr:cNvSpPr txBox="1">
          <a:spLocks noChangeArrowheads="1"/>
        </xdr:cNvSpPr>
      </xdr:nvSpPr>
      <xdr:spPr bwMode="auto">
        <a:xfrm flipH="1">
          <a:off x="4743450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34225</xdr:rowOff>
    </xdr:to>
    <xdr:sp macro="" textlink="">
      <xdr:nvSpPr>
        <xdr:cNvPr id="999" name="Text Box 16"/>
        <xdr:cNvSpPr txBox="1">
          <a:spLocks noChangeArrowheads="1"/>
        </xdr:cNvSpPr>
      </xdr:nvSpPr>
      <xdr:spPr bwMode="auto">
        <a:xfrm flipH="1">
          <a:off x="4743450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79589</xdr:rowOff>
    </xdr:to>
    <xdr:sp macro="" textlink="">
      <xdr:nvSpPr>
        <xdr:cNvPr id="1000" name="Text Box 12"/>
        <xdr:cNvSpPr txBox="1">
          <a:spLocks noChangeArrowheads="1"/>
        </xdr:cNvSpPr>
      </xdr:nvSpPr>
      <xdr:spPr bwMode="auto">
        <a:xfrm flipH="1">
          <a:off x="4743450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38972</xdr:rowOff>
    </xdr:to>
    <xdr:sp macro="" textlink="">
      <xdr:nvSpPr>
        <xdr:cNvPr id="1001" name="Text Box 4"/>
        <xdr:cNvSpPr txBox="1">
          <a:spLocks noChangeArrowheads="1"/>
        </xdr:cNvSpPr>
      </xdr:nvSpPr>
      <xdr:spPr bwMode="auto">
        <a:xfrm flipH="1">
          <a:off x="4743450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1626</xdr:rowOff>
    </xdr:from>
    <xdr:to>
      <xdr:col>5</xdr:col>
      <xdr:colOff>0</xdr:colOff>
      <xdr:row>257</xdr:row>
      <xdr:rowOff>82082</xdr:rowOff>
    </xdr:to>
    <xdr:sp macro="" textlink="">
      <xdr:nvSpPr>
        <xdr:cNvPr id="1004" name="Text Box 4"/>
        <xdr:cNvSpPr txBox="1">
          <a:spLocks noChangeArrowheads="1"/>
        </xdr:cNvSpPr>
      </xdr:nvSpPr>
      <xdr:spPr bwMode="auto">
        <a:xfrm flipH="1">
          <a:off x="4743450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34573</xdr:rowOff>
    </xdr:to>
    <xdr:sp macro="" textlink="">
      <xdr:nvSpPr>
        <xdr:cNvPr id="1005" name="Text Box 12"/>
        <xdr:cNvSpPr txBox="1">
          <a:spLocks noChangeArrowheads="1"/>
        </xdr:cNvSpPr>
      </xdr:nvSpPr>
      <xdr:spPr bwMode="auto">
        <a:xfrm flipH="1">
          <a:off x="4743450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34226</xdr:rowOff>
    </xdr:to>
    <xdr:sp macro="" textlink="">
      <xdr:nvSpPr>
        <xdr:cNvPr id="1006" name="Text Box 14"/>
        <xdr:cNvSpPr txBox="1">
          <a:spLocks noChangeArrowheads="1"/>
        </xdr:cNvSpPr>
      </xdr:nvSpPr>
      <xdr:spPr bwMode="auto">
        <a:xfrm flipH="1">
          <a:off x="4743450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34225</xdr:rowOff>
    </xdr:to>
    <xdr:sp macro="" textlink="">
      <xdr:nvSpPr>
        <xdr:cNvPr id="1007" name="Text Box 16"/>
        <xdr:cNvSpPr txBox="1">
          <a:spLocks noChangeArrowheads="1"/>
        </xdr:cNvSpPr>
      </xdr:nvSpPr>
      <xdr:spPr bwMode="auto">
        <a:xfrm flipH="1">
          <a:off x="4743450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79589</xdr:rowOff>
    </xdr:to>
    <xdr:sp macro="" textlink="">
      <xdr:nvSpPr>
        <xdr:cNvPr id="1008" name="Text Box 12"/>
        <xdr:cNvSpPr txBox="1">
          <a:spLocks noChangeArrowheads="1"/>
        </xdr:cNvSpPr>
      </xdr:nvSpPr>
      <xdr:spPr bwMode="auto">
        <a:xfrm flipH="1">
          <a:off x="4743450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38972</xdr:rowOff>
    </xdr:to>
    <xdr:sp macro="" textlink="">
      <xdr:nvSpPr>
        <xdr:cNvPr id="1009" name="Text Box 4"/>
        <xdr:cNvSpPr txBox="1">
          <a:spLocks noChangeArrowheads="1"/>
        </xdr:cNvSpPr>
      </xdr:nvSpPr>
      <xdr:spPr bwMode="auto">
        <a:xfrm flipH="1">
          <a:off x="4743450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016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017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018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019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020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021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1024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1025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1026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1027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1028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1029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1032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1033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1034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1035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1036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1037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283</xdr:row>
      <xdr:rowOff>166913</xdr:rowOff>
    </xdr:from>
    <xdr:to>
      <xdr:col>5</xdr:col>
      <xdr:colOff>0</xdr:colOff>
      <xdr:row>284</xdr:row>
      <xdr:rowOff>34746</xdr:rowOff>
    </xdr:to>
    <xdr:sp macro="" textlink="">
      <xdr:nvSpPr>
        <xdr:cNvPr id="1044" name="Text Box 4"/>
        <xdr:cNvSpPr txBox="1">
          <a:spLocks noChangeArrowheads="1"/>
        </xdr:cNvSpPr>
      </xdr:nvSpPr>
      <xdr:spPr bwMode="auto">
        <a:xfrm flipH="1">
          <a:off x="4743450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3866</xdr:rowOff>
    </xdr:from>
    <xdr:to>
      <xdr:col>5</xdr:col>
      <xdr:colOff>0</xdr:colOff>
      <xdr:row>284</xdr:row>
      <xdr:rowOff>36591</xdr:rowOff>
    </xdr:to>
    <xdr:sp macro="" textlink="">
      <xdr:nvSpPr>
        <xdr:cNvPr id="1045" name="Text Box 12"/>
        <xdr:cNvSpPr txBox="1">
          <a:spLocks noChangeArrowheads="1"/>
        </xdr:cNvSpPr>
      </xdr:nvSpPr>
      <xdr:spPr bwMode="auto">
        <a:xfrm flipH="1">
          <a:off x="4743450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39644</xdr:rowOff>
    </xdr:to>
    <xdr:sp macro="" textlink="">
      <xdr:nvSpPr>
        <xdr:cNvPr id="1046" name="Text Box 14"/>
        <xdr:cNvSpPr txBox="1">
          <a:spLocks noChangeArrowheads="1"/>
        </xdr:cNvSpPr>
      </xdr:nvSpPr>
      <xdr:spPr bwMode="auto">
        <a:xfrm flipH="1">
          <a:off x="4743450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39643</xdr:rowOff>
    </xdr:to>
    <xdr:sp macro="" textlink="">
      <xdr:nvSpPr>
        <xdr:cNvPr id="1047" name="Text Box 16"/>
        <xdr:cNvSpPr txBox="1">
          <a:spLocks noChangeArrowheads="1"/>
        </xdr:cNvSpPr>
      </xdr:nvSpPr>
      <xdr:spPr bwMode="auto">
        <a:xfrm flipH="1">
          <a:off x="4743450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1962</xdr:rowOff>
    </xdr:from>
    <xdr:to>
      <xdr:col>5</xdr:col>
      <xdr:colOff>0</xdr:colOff>
      <xdr:row>284</xdr:row>
      <xdr:rowOff>32124</xdr:rowOff>
    </xdr:to>
    <xdr:sp macro="" textlink="">
      <xdr:nvSpPr>
        <xdr:cNvPr id="1048" name="Text Box 12"/>
        <xdr:cNvSpPr txBox="1">
          <a:spLocks noChangeArrowheads="1"/>
        </xdr:cNvSpPr>
      </xdr:nvSpPr>
      <xdr:spPr bwMode="auto">
        <a:xfrm flipH="1">
          <a:off x="4743450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1813</xdr:rowOff>
    </xdr:from>
    <xdr:to>
      <xdr:col>5</xdr:col>
      <xdr:colOff>0</xdr:colOff>
      <xdr:row>284</xdr:row>
      <xdr:rowOff>22477</xdr:rowOff>
    </xdr:to>
    <xdr:sp macro="" textlink="">
      <xdr:nvSpPr>
        <xdr:cNvPr id="1049" name="Text Box 4"/>
        <xdr:cNvSpPr txBox="1">
          <a:spLocks noChangeArrowheads="1"/>
        </xdr:cNvSpPr>
      </xdr:nvSpPr>
      <xdr:spPr bwMode="auto">
        <a:xfrm flipH="1">
          <a:off x="4743450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1626</xdr:rowOff>
    </xdr:from>
    <xdr:to>
      <xdr:col>5</xdr:col>
      <xdr:colOff>0</xdr:colOff>
      <xdr:row>257</xdr:row>
      <xdr:rowOff>82082</xdr:rowOff>
    </xdr:to>
    <xdr:sp macro="" textlink="">
      <xdr:nvSpPr>
        <xdr:cNvPr id="1052" name="Text Box 4"/>
        <xdr:cNvSpPr txBox="1">
          <a:spLocks noChangeArrowheads="1"/>
        </xdr:cNvSpPr>
      </xdr:nvSpPr>
      <xdr:spPr bwMode="auto">
        <a:xfrm flipH="1">
          <a:off x="4743450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34573</xdr:rowOff>
    </xdr:to>
    <xdr:sp macro="" textlink="">
      <xdr:nvSpPr>
        <xdr:cNvPr id="1053" name="Text Box 12"/>
        <xdr:cNvSpPr txBox="1">
          <a:spLocks noChangeArrowheads="1"/>
        </xdr:cNvSpPr>
      </xdr:nvSpPr>
      <xdr:spPr bwMode="auto">
        <a:xfrm flipH="1">
          <a:off x="4743450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34226</xdr:rowOff>
    </xdr:to>
    <xdr:sp macro="" textlink="">
      <xdr:nvSpPr>
        <xdr:cNvPr id="1054" name="Text Box 14"/>
        <xdr:cNvSpPr txBox="1">
          <a:spLocks noChangeArrowheads="1"/>
        </xdr:cNvSpPr>
      </xdr:nvSpPr>
      <xdr:spPr bwMode="auto">
        <a:xfrm flipH="1">
          <a:off x="4743450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34225</xdr:rowOff>
    </xdr:to>
    <xdr:sp macro="" textlink="">
      <xdr:nvSpPr>
        <xdr:cNvPr id="1055" name="Text Box 16"/>
        <xdr:cNvSpPr txBox="1">
          <a:spLocks noChangeArrowheads="1"/>
        </xdr:cNvSpPr>
      </xdr:nvSpPr>
      <xdr:spPr bwMode="auto">
        <a:xfrm flipH="1">
          <a:off x="4743450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79589</xdr:rowOff>
    </xdr:to>
    <xdr:sp macro="" textlink="">
      <xdr:nvSpPr>
        <xdr:cNvPr id="1056" name="Text Box 12"/>
        <xdr:cNvSpPr txBox="1">
          <a:spLocks noChangeArrowheads="1"/>
        </xdr:cNvSpPr>
      </xdr:nvSpPr>
      <xdr:spPr bwMode="auto">
        <a:xfrm flipH="1">
          <a:off x="4743450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38972</xdr:rowOff>
    </xdr:to>
    <xdr:sp macro="" textlink="">
      <xdr:nvSpPr>
        <xdr:cNvPr id="1057" name="Text Box 4"/>
        <xdr:cNvSpPr txBox="1">
          <a:spLocks noChangeArrowheads="1"/>
        </xdr:cNvSpPr>
      </xdr:nvSpPr>
      <xdr:spPr bwMode="auto">
        <a:xfrm flipH="1">
          <a:off x="4743450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1626</xdr:rowOff>
    </xdr:from>
    <xdr:to>
      <xdr:col>5</xdr:col>
      <xdr:colOff>0</xdr:colOff>
      <xdr:row>257</xdr:row>
      <xdr:rowOff>82082</xdr:rowOff>
    </xdr:to>
    <xdr:sp macro="" textlink="">
      <xdr:nvSpPr>
        <xdr:cNvPr id="1060" name="Text Box 4"/>
        <xdr:cNvSpPr txBox="1">
          <a:spLocks noChangeArrowheads="1"/>
        </xdr:cNvSpPr>
      </xdr:nvSpPr>
      <xdr:spPr bwMode="auto">
        <a:xfrm flipH="1">
          <a:off x="4743450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34573</xdr:rowOff>
    </xdr:to>
    <xdr:sp macro="" textlink="">
      <xdr:nvSpPr>
        <xdr:cNvPr id="1061" name="Text Box 12"/>
        <xdr:cNvSpPr txBox="1">
          <a:spLocks noChangeArrowheads="1"/>
        </xdr:cNvSpPr>
      </xdr:nvSpPr>
      <xdr:spPr bwMode="auto">
        <a:xfrm flipH="1">
          <a:off x="4743450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34226</xdr:rowOff>
    </xdr:to>
    <xdr:sp macro="" textlink="">
      <xdr:nvSpPr>
        <xdr:cNvPr id="1062" name="Text Box 14"/>
        <xdr:cNvSpPr txBox="1">
          <a:spLocks noChangeArrowheads="1"/>
        </xdr:cNvSpPr>
      </xdr:nvSpPr>
      <xdr:spPr bwMode="auto">
        <a:xfrm flipH="1">
          <a:off x="4743450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34225</xdr:rowOff>
    </xdr:to>
    <xdr:sp macro="" textlink="">
      <xdr:nvSpPr>
        <xdr:cNvPr id="1063" name="Text Box 16"/>
        <xdr:cNvSpPr txBox="1">
          <a:spLocks noChangeArrowheads="1"/>
        </xdr:cNvSpPr>
      </xdr:nvSpPr>
      <xdr:spPr bwMode="auto">
        <a:xfrm flipH="1">
          <a:off x="4743450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79589</xdr:rowOff>
    </xdr:to>
    <xdr:sp macro="" textlink="">
      <xdr:nvSpPr>
        <xdr:cNvPr id="1064" name="Text Box 12"/>
        <xdr:cNvSpPr txBox="1">
          <a:spLocks noChangeArrowheads="1"/>
        </xdr:cNvSpPr>
      </xdr:nvSpPr>
      <xdr:spPr bwMode="auto">
        <a:xfrm flipH="1">
          <a:off x="4743450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38972</xdr:rowOff>
    </xdr:to>
    <xdr:sp macro="" textlink="">
      <xdr:nvSpPr>
        <xdr:cNvPr id="1065" name="Text Box 4"/>
        <xdr:cNvSpPr txBox="1">
          <a:spLocks noChangeArrowheads="1"/>
        </xdr:cNvSpPr>
      </xdr:nvSpPr>
      <xdr:spPr bwMode="auto">
        <a:xfrm flipH="1">
          <a:off x="4743450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1068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1069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1070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1071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1072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1073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1076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1077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1078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1079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1080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1081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088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089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090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091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092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093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096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097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098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099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00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01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04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05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06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07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08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09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12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13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14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15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16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17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20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21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22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23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24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25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132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133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134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135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136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137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40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41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42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43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44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45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48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49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50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51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52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53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56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57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58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59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60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61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64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65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66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67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68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69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176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177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178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179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180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181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84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85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86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87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88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89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92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93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94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95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96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197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00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01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02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03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04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05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08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09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10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11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12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13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247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248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249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250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251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252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256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257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258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259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260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261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265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266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267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268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269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270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73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74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75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76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77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78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81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82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83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84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85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86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89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90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91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92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93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94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97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98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299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00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01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02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05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06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07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08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09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10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13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14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15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16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17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18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21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22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23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24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25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26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29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30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31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32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33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34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37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38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39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40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41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42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45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46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47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48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49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50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53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54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55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56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57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58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61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62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63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64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65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366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370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371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372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373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374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375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379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380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381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382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383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384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388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389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390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391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392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393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2621168</xdr:colOff>
      <xdr:row>284</xdr:row>
      <xdr:rowOff>23020</xdr:rowOff>
    </xdr:to>
    <xdr:sp macro="" textlink="">
      <xdr:nvSpPr>
        <xdr:cNvPr id="1406" name="Text Box 4"/>
        <xdr:cNvSpPr txBox="1">
          <a:spLocks noChangeArrowheads="1"/>
        </xdr:cNvSpPr>
      </xdr:nvSpPr>
      <xdr:spPr bwMode="auto">
        <a:xfrm flipH="1">
          <a:off x="4739528" y="4492488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2621168</xdr:colOff>
      <xdr:row>284</xdr:row>
      <xdr:rowOff>5550</xdr:rowOff>
    </xdr:to>
    <xdr:sp macro="" textlink="">
      <xdr:nvSpPr>
        <xdr:cNvPr id="1407" name="Text Box 12"/>
        <xdr:cNvSpPr txBox="1">
          <a:spLocks noChangeArrowheads="1"/>
        </xdr:cNvSpPr>
      </xdr:nvSpPr>
      <xdr:spPr bwMode="auto">
        <a:xfrm flipH="1">
          <a:off x="4739528" y="4493329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2621168</xdr:colOff>
      <xdr:row>284</xdr:row>
      <xdr:rowOff>5203</xdr:rowOff>
    </xdr:to>
    <xdr:sp macro="" textlink="">
      <xdr:nvSpPr>
        <xdr:cNvPr id="1408" name="Text Box 14"/>
        <xdr:cNvSpPr txBox="1">
          <a:spLocks noChangeArrowheads="1"/>
        </xdr:cNvSpPr>
      </xdr:nvSpPr>
      <xdr:spPr bwMode="auto">
        <a:xfrm flipH="1">
          <a:off x="4739528" y="4493432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2621168</xdr:colOff>
      <xdr:row>284</xdr:row>
      <xdr:rowOff>5202</xdr:rowOff>
    </xdr:to>
    <xdr:sp macro="" textlink="">
      <xdr:nvSpPr>
        <xdr:cNvPr id="1409" name="Text Box 16"/>
        <xdr:cNvSpPr txBox="1">
          <a:spLocks noChangeArrowheads="1"/>
        </xdr:cNvSpPr>
      </xdr:nvSpPr>
      <xdr:spPr bwMode="auto">
        <a:xfrm flipH="1">
          <a:off x="4739528" y="4493432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2621168</xdr:colOff>
      <xdr:row>284</xdr:row>
      <xdr:rowOff>2271</xdr:rowOff>
    </xdr:to>
    <xdr:sp macro="" textlink="">
      <xdr:nvSpPr>
        <xdr:cNvPr id="1410" name="Text Box 12"/>
        <xdr:cNvSpPr txBox="1">
          <a:spLocks noChangeArrowheads="1"/>
        </xdr:cNvSpPr>
      </xdr:nvSpPr>
      <xdr:spPr bwMode="auto">
        <a:xfrm flipH="1">
          <a:off x="4739528" y="4493138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2621168</xdr:colOff>
      <xdr:row>284</xdr:row>
      <xdr:rowOff>14857</xdr:rowOff>
    </xdr:to>
    <xdr:sp macro="" textlink="">
      <xdr:nvSpPr>
        <xdr:cNvPr id="1411" name="Text Box 4"/>
        <xdr:cNvSpPr txBox="1">
          <a:spLocks noChangeArrowheads="1"/>
        </xdr:cNvSpPr>
      </xdr:nvSpPr>
      <xdr:spPr bwMode="auto">
        <a:xfrm flipH="1">
          <a:off x="4739528" y="4493123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1414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1415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1416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1417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1418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1419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1422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1423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1424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1425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1426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1427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283</xdr:row>
      <xdr:rowOff>166913</xdr:rowOff>
    </xdr:from>
    <xdr:to>
      <xdr:col>5</xdr:col>
      <xdr:colOff>0</xdr:colOff>
      <xdr:row>284</xdr:row>
      <xdr:rowOff>23020</xdr:rowOff>
    </xdr:to>
    <xdr:sp macro="" textlink="">
      <xdr:nvSpPr>
        <xdr:cNvPr id="1434" name="Text Box 4"/>
        <xdr:cNvSpPr txBox="1">
          <a:spLocks noChangeArrowheads="1"/>
        </xdr:cNvSpPr>
      </xdr:nvSpPr>
      <xdr:spPr bwMode="auto">
        <a:xfrm flipH="1">
          <a:off x="4743450" y="4492488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3866</xdr:rowOff>
    </xdr:from>
    <xdr:to>
      <xdr:col>5</xdr:col>
      <xdr:colOff>0</xdr:colOff>
      <xdr:row>284</xdr:row>
      <xdr:rowOff>5550</xdr:rowOff>
    </xdr:to>
    <xdr:sp macro="" textlink="">
      <xdr:nvSpPr>
        <xdr:cNvPr id="1435" name="Text Box 12"/>
        <xdr:cNvSpPr txBox="1">
          <a:spLocks noChangeArrowheads="1"/>
        </xdr:cNvSpPr>
      </xdr:nvSpPr>
      <xdr:spPr bwMode="auto">
        <a:xfrm flipH="1">
          <a:off x="4743450" y="4493329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5203</xdr:rowOff>
    </xdr:to>
    <xdr:sp macro="" textlink="">
      <xdr:nvSpPr>
        <xdr:cNvPr id="1436" name="Text Box 14"/>
        <xdr:cNvSpPr txBox="1">
          <a:spLocks noChangeArrowheads="1"/>
        </xdr:cNvSpPr>
      </xdr:nvSpPr>
      <xdr:spPr bwMode="auto">
        <a:xfrm flipH="1">
          <a:off x="4743450" y="4493432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5202</xdr:rowOff>
    </xdr:to>
    <xdr:sp macro="" textlink="">
      <xdr:nvSpPr>
        <xdr:cNvPr id="1437" name="Text Box 16"/>
        <xdr:cNvSpPr txBox="1">
          <a:spLocks noChangeArrowheads="1"/>
        </xdr:cNvSpPr>
      </xdr:nvSpPr>
      <xdr:spPr bwMode="auto">
        <a:xfrm flipH="1">
          <a:off x="4743450" y="4493432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1962</xdr:rowOff>
    </xdr:from>
    <xdr:to>
      <xdr:col>5</xdr:col>
      <xdr:colOff>0</xdr:colOff>
      <xdr:row>284</xdr:row>
      <xdr:rowOff>2271</xdr:rowOff>
    </xdr:to>
    <xdr:sp macro="" textlink="">
      <xdr:nvSpPr>
        <xdr:cNvPr id="1438" name="Text Box 12"/>
        <xdr:cNvSpPr txBox="1">
          <a:spLocks noChangeArrowheads="1"/>
        </xdr:cNvSpPr>
      </xdr:nvSpPr>
      <xdr:spPr bwMode="auto">
        <a:xfrm flipH="1">
          <a:off x="4743450" y="4493138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1813</xdr:rowOff>
    </xdr:from>
    <xdr:to>
      <xdr:col>5</xdr:col>
      <xdr:colOff>0</xdr:colOff>
      <xdr:row>284</xdr:row>
      <xdr:rowOff>14857</xdr:rowOff>
    </xdr:to>
    <xdr:sp macro="" textlink="">
      <xdr:nvSpPr>
        <xdr:cNvPr id="1439" name="Text Box 4"/>
        <xdr:cNvSpPr txBox="1">
          <a:spLocks noChangeArrowheads="1"/>
        </xdr:cNvSpPr>
      </xdr:nvSpPr>
      <xdr:spPr bwMode="auto">
        <a:xfrm flipH="1">
          <a:off x="4743450" y="4493123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1442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1443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1444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1445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1446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1447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1450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1451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1452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1453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1454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1455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2621168</xdr:colOff>
      <xdr:row>284</xdr:row>
      <xdr:rowOff>23020</xdr:rowOff>
    </xdr:to>
    <xdr:sp macro="" textlink="">
      <xdr:nvSpPr>
        <xdr:cNvPr id="1462" name="Text Box 4"/>
        <xdr:cNvSpPr txBox="1">
          <a:spLocks noChangeArrowheads="1"/>
        </xdr:cNvSpPr>
      </xdr:nvSpPr>
      <xdr:spPr bwMode="auto">
        <a:xfrm flipH="1">
          <a:off x="4739528" y="4492488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2621168</xdr:colOff>
      <xdr:row>284</xdr:row>
      <xdr:rowOff>5550</xdr:rowOff>
    </xdr:to>
    <xdr:sp macro="" textlink="">
      <xdr:nvSpPr>
        <xdr:cNvPr id="1463" name="Text Box 12"/>
        <xdr:cNvSpPr txBox="1">
          <a:spLocks noChangeArrowheads="1"/>
        </xdr:cNvSpPr>
      </xdr:nvSpPr>
      <xdr:spPr bwMode="auto">
        <a:xfrm flipH="1">
          <a:off x="4739528" y="4493329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2621168</xdr:colOff>
      <xdr:row>284</xdr:row>
      <xdr:rowOff>5203</xdr:rowOff>
    </xdr:to>
    <xdr:sp macro="" textlink="">
      <xdr:nvSpPr>
        <xdr:cNvPr id="1464" name="Text Box 14"/>
        <xdr:cNvSpPr txBox="1">
          <a:spLocks noChangeArrowheads="1"/>
        </xdr:cNvSpPr>
      </xdr:nvSpPr>
      <xdr:spPr bwMode="auto">
        <a:xfrm flipH="1">
          <a:off x="4739528" y="4493432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2621168</xdr:colOff>
      <xdr:row>284</xdr:row>
      <xdr:rowOff>5202</xdr:rowOff>
    </xdr:to>
    <xdr:sp macro="" textlink="">
      <xdr:nvSpPr>
        <xdr:cNvPr id="1465" name="Text Box 16"/>
        <xdr:cNvSpPr txBox="1">
          <a:spLocks noChangeArrowheads="1"/>
        </xdr:cNvSpPr>
      </xdr:nvSpPr>
      <xdr:spPr bwMode="auto">
        <a:xfrm flipH="1">
          <a:off x="4739528" y="4493432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2621168</xdr:colOff>
      <xdr:row>284</xdr:row>
      <xdr:rowOff>2271</xdr:rowOff>
    </xdr:to>
    <xdr:sp macro="" textlink="">
      <xdr:nvSpPr>
        <xdr:cNvPr id="1466" name="Text Box 12"/>
        <xdr:cNvSpPr txBox="1">
          <a:spLocks noChangeArrowheads="1"/>
        </xdr:cNvSpPr>
      </xdr:nvSpPr>
      <xdr:spPr bwMode="auto">
        <a:xfrm flipH="1">
          <a:off x="4739528" y="4493138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2621168</xdr:colOff>
      <xdr:row>284</xdr:row>
      <xdr:rowOff>14857</xdr:rowOff>
    </xdr:to>
    <xdr:sp macro="" textlink="">
      <xdr:nvSpPr>
        <xdr:cNvPr id="1467" name="Text Box 4"/>
        <xdr:cNvSpPr txBox="1">
          <a:spLocks noChangeArrowheads="1"/>
        </xdr:cNvSpPr>
      </xdr:nvSpPr>
      <xdr:spPr bwMode="auto">
        <a:xfrm flipH="1">
          <a:off x="4739528" y="4493123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1470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1471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1472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1473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1474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1475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1478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1479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1480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1481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1482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1483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283</xdr:row>
      <xdr:rowOff>166913</xdr:rowOff>
    </xdr:from>
    <xdr:to>
      <xdr:col>5</xdr:col>
      <xdr:colOff>0</xdr:colOff>
      <xdr:row>284</xdr:row>
      <xdr:rowOff>23020</xdr:rowOff>
    </xdr:to>
    <xdr:sp macro="" textlink="">
      <xdr:nvSpPr>
        <xdr:cNvPr id="1490" name="Text Box 4"/>
        <xdr:cNvSpPr txBox="1">
          <a:spLocks noChangeArrowheads="1"/>
        </xdr:cNvSpPr>
      </xdr:nvSpPr>
      <xdr:spPr bwMode="auto">
        <a:xfrm flipH="1">
          <a:off x="4743450" y="4492488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3866</xdr:rowOff>
    </xdr:from>
    <xdr:to>
      <xdr:col>5</xdr:col>
      <xdr:colOff>0</xdr:colOff>
      <xdr:row>284</xdr:row>
      <xdr:rowOff>5550</xdr:rowOff>
    </xdr:to>
    <xdr:sp macro="" textlink="">
      <xdr:nvSpPr>
        <xdr:cNvPr id="1491" name="Text Box 12"/>
        <xdr:cNvSpPr txBox="1">
          <a:spLocks noChangeArrowheads="1"/>
        </xdr:cNvSpPr>
      </xdr:nvSpPr>
      <xdr:spPr bwMode="auto">
        <a:xfrm flipH="1">
          <a:off x="4743450" y="4493329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5203</xdr:rowOff>
    </xdr:to>
    <xdr:sp macro="" textlink="">
      <xdr:nvSpPr>
        <xdr:cNvPr id="1492" name="Text Box 14"/>
        <xdr:cNvSpPr txBox="1">
          <a:spLocks noChangeArrowheads="1"/>
        </xdr:cNvSpPr>
      </xdr:nvSpPr>
      <xdr:spPr bwMode="auto">
        <a:xfrm flipH="1">
          <a:off x="4743450" y="4493432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5202</xdr:rowOff>
    </xdr:to>
    <xdr:sp macro="" textlink="">
      <xdr:nvSpPr>
        <xdr:cNvPr id="1493" name="Text Box 16"/>
        <xdr:cNvSpPr txBox="1">
          <a:spLocks noChangeArrowheads="1"/>
        </xdr:cNvSpPr>
      </xdr:nvSpPr>
      <xdr:spPr bwMode="auto">
        <a:xfrm flipH="1">
          <a:off x="4743450" y="4493432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1962</xdr:rowOff>
    </xdr:from>
    <xdr:to>
      <xdr:col>5</xdr:col>
      <xdr:colOff>0</xdr:colOff>
      <xdr:row>284</xdr:row>
      <xdr:rowOff>2271</xdr:rowOff>
    </xdr:to>
    <xdr:sp macro="" textlink="">
      <xdr:nvSpPr>
        <xdr:cNvPr id="1494" name="Text Box 12"/>
        <xdr:cNvSpPr txBox="1">
          <a:spLocks noChangeArrowheads="1"/>
        </xdr:cNvSpPr>
      </xdr:nvSpPr>
      <xdr:spPr bwMode="auto">
        <a:xfrm flipH="1">
          <a:off x="4743450" y="4493138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1813</xdr:rowOff>
    </xdr:from>
    <xdr:to>
      <xdr:col>5</xdr:col>
      <xdr:colOff>0</xdr:colOff>
      <xdr:row>284</xdr:row>
      <xdr:rowOff>14857</xdr:rowOff>
    </xdr:to>
    <xdr:sp macro="" textlink="">
      <xdr:nvSpPr>
        <xdr:cNvPr id="1495" name="Text Box 4"/>
        <xdr:cNvSpPr txBox="1">
          <a:spLocks noChangeArrowheads="1"/>
        </xdr:cNvSpPr>
      </xdr:nvSpPr>
      <xdr:spPr bwMode="auto">
        <a:xfrm flipH="1">
          <a:off x="4743450" y="4493123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1498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1499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1500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1501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1502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1503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1506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1507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1508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1509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1510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1511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1514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1515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1516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1517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1518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1519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1522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1523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1524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1525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1526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1527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2621168</xdr:colOff>
      <xdr:row>284</xdr:row>
      <xdr:rowOff>23020</xdr:rowOff>
    </xdr:to>
    <xdr:sp macro="" textlink="">
      <xdr:nvSpPr>
        <xdr:cNvPr id="1534" name="Text Box 4"/>
        <xdr:cNvSpPr txBox="1">
          <a:spLocks noChangeArrowheads="1"/>
        </xdr:cNvSpPr>
      </xdr:nvSpPr>
      <xdr:spPr bwMode="auto">
        <a:xfrm flipH="1">
          <a:off x="4739528" y="4492488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2621168</xdr:colOff>
      <xdr:row>284</xdr:row>
      <xdr:rowOff>5550</xdr:rowOff>
    </xdr:to>
    <xdr:sp macro="" textlink="">
      <xdr:nvSpPr>
        <xdr:cNvPr id="1535" name="Text Box 12"/>
        <xdr:cNvSpPr txBox="1">
          <a:spLocks noChangeArrowheads="1"/>
        </xdr:cNvSpPr>
      </xdr:nvSpPr>
      <xdr:spPr bwMode="auto">
        <a:xfrm flipH="1">
          <a:off x="4739528" y="4493329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2621168</xdr:colOff>
      <xdr:row>284</xdr:row>
      <xdr:rowOff>5203</xdr:rowOff>
    </xdr:to>
    <xdr:sp macro="" textlink="">
      <xdr:nvSpPr>
        <xdr:cNvPr id="1536" name="Text Box 14"/>
        <xdr:cNvSpPr txBox="1">
          <a:spLocks noChangeArrowheads="1"/>
        </xdr:cNvSpPr>
      </xdr:nvSpPr>
      <xdr:spPr bwMode="auto">
        <a:xfrm flipH="1">
          <a:off x="4739528" y="4493432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2621168</xdr:colOff>
      <xdr:row>284</xdr:row>
      <xdr:rowOff>5202</xdr:rowOff>
    </xdr:to>
    <xdr:sp macro="" textlink="">
      <xdr:nvSpPr>
        <xdr:cNvPr id="1537" name="Text Box 16"/>
        <xdr:cNvSpPr txBox="1">
          <a:spLocks noChangeArrowheads="1"/>
        </xdr:cNvSpPr>
      </xdr:nvSpPr>
      <xdr:spPr bwMode="auto">
        <a:xfrm flipH="1">
          <a:off x="4739528" y="4493432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2621168</xdr:colOff>
      <xdr:row>284</xdr:row>
      <xdr:rowOff>2271</xdr:rowOff>
    </xdr:to>
    <xdr:sp macro="" textlink="">
      <xdr:nvSpPr>
        <xdr:cNvPr id="1538" name="Text Box 12"/>
        <xdr:cNvSpPr txBox="1">
          <a:spLocks noChangeArrowheads="1"/>
        </xdr:cNvSpPr>
      </xdr:nvSpPr>
      <xdr:spPr bwMode="auto">
        <a:xfrm flipH="1">
          <a:off x="4739528" y="4493138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2621168</xdr:colOff>
      <xdr:row>284</xdr:row>
      <xdr:rowOff>14857</xdr:rowOff>
    </xdr:to>
    <xdr:sp macro="" textlink="">
      <xdr:nvSpPr>
        <xdr:cNvPr id="1539" name="Text Box 4"/>
        <xdr:cNvSpPr txBox="1">
          <a:spLocks noChangeArrowheads="1"/>
        </xdr:cNvSpPr>
      </xdr:nvSpPr>
      <xdr:spPr bwMode="auto">
        <a:xfrm flipH="1">
          <a:off x="4739528" y="4493123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1542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1543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1544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1545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1546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1547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1550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1551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1552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1553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1554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1555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283</xdr:row>
      <xdr:rowOff>166913</xdr:rowOff>
    </xdr:from>
    <xdr:to>
      <xdr:col>5</xdr:col>
      <xdr:colOff>0</xdr:colOff>
      <xdr:row>284</xdr:row>
      <xdr:rowOff>23020</xdr:rowOff>
    </xdr:to>
    <xdr:sp macro="" textlink="">
      <xdr:nvSpPr>
        <xdr:cNvPr id="1562" name="Text Box 4"/>
        <xdr:cNvSpPr txBox="1">
          <a:spLocks noChangeArrowheads="1"/>
        </xdr:cNvSpPr>
      </xdr:nvSpPr>
      <xdr:spPr bwMode="auto">
        <a:xfrm flipH="1">
          <a:off x="4743450" y="4492488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3866</xdr:rowOff>
    </xdr:from>
    <xdr:to>
      <xdr:col>5</xdr:col>
      <xdr:colOff>0</xdr:colOff>
      <xdr:row>284</xdr:row>
      <xdr:rowOff>5550</xdr:rowOff>
    </xdr:to>
    <xdr:sp macro="" textlink="">
      <xdr:nvSpPr>
        <xdr:cNvPr id="1563" name="Text Box 12"/>
        <xdr:cNvSpPr txBox="1">
          <a:spLocks noChangeArrowheads="1"/>
        </xdr:cNvSpPr>
      </xdr:nvSpPr>
      <xdr:spPr bwMode="auto">
        <a:xfrm flipH="1">
          <a:off x="4743450" y="4493329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5203</xdr:rowOff>
    </xdr:to>
    <xdr:sp macro="" textlink="">
      <xdr:nvSpPr>
        <xdr:cNvPr id="1564" name="Text Box 14"/>
        <xdr:cNvSpPr txBox="1">
          <a:spLocks noChangeArrowheads="1"/>
        </xdr:cNvSpPr>
      </xdr:nvSpPr>
      <xdr:spPr bwMode="auto">
        <a:xfrm flipH="1">
          <a:off x="4743450" y="4493432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5202</xdr:rowOff>
    </xdr:to>
    <xdr:sp macro="" textlink="">
      <xdr:nvSpPr>
        <xdr:cNvPr id="1565" name="Text Box 16"/>
        <xdr:cNvSpPr txBox="1">
          <a:spLocks noChangeArrowheads="1"/>
        </xdr:cNvSpPr>
      </xdr:nvSpPr>
      <xdr:spPr bwMode="auto">
        <a:xfrm flipH="1">
          <a:off x="4743450" y="4493432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1962</xdr:rowOff>
    </xdr:from>
    <xdr:to>
      <xdr:col>5</xdr:col>
      <xdr:colOff>0</xdr:colOff>
      <xdr:row>284</xdr:row>
      <xdr:rowOff>2271</xdr:rowOff>
    </xdr:to>
    <xdr:sp macro="" textlink="">
      <xdr:nvSpPr>
        <xdr:cNvPr id="1566" name="Text Box 12"/>
        <xdr:cNvSpPr txBox="1">
          <a:spLocks noChangeArrowheads="1"/>
        </xdr:cNvSpPr>
      </xdr:nvSpPr>
      <xdr:spPr bwMode="auto">
        <a:xfrm flipH="1">
          <a:off x="4743450" y="4493138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1813</xdr:rowOff>
    </xdr:from>
    <xdr:to>
      <xdr:col>5</xdr:col>
      <xdr:colOff>0</xdr:colOff>
      <xdr:row>284</xdr:row>
      <xdr:rowOff>14857</xdr:rowOff>
    </xdr:to>
    <xdr:sp macro="" textlink="">
      <xdr:nvSpPr>
        <xdr:cNvPr id="1567" name="Text Box 4"/>
        <xdr:cNvSpPr txBox="1">
          <a:spLocks noChangeArrowheads="1"/>
        </xdr:cNvSpPr>
      </xdr:nvSpPr>
      <xdr:spPr bwMode="auto">
        <a:xfrm flipH="1">
          <a:off x="4743450" y="4493123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1570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1571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1572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1573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1574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1575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1578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1579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1580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1581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1582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1583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2621168</xdr:colOff>
      <xdr:row>284</xdr:row>
      <xdr:rowOff>23020</xdr:rowOff>
    </xdr:to>
    <xdr:sp macro="" textlink="">
      <xdr:nvSpPr>
        <xdr:cNvPr id="1590" name="Text Box 4"/>
        <xdr:cNvSpPr txBox="1">
          <a:spLocks noChangeArrowheads="1"/>
        </xdr:cNvSpPr>
      </xdr:nvSpPr>
      <xdr:spPr bwMode="auto">
        <a:xfrm flipH="1">
          <a:off x="4739528" y="4492488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2621168</xdr:colOff>
      <xdr:row>284</xdr:row>
      <xdr:rowOff>5550</xdr:rowOff>
    </xdr:to>
    <xdr:sp macro="" textlink="">
      <xdr:nvSpPr>
        <xdr:cNvPr id="1591" name="Text Box 12"/>
        <xdr:cNvSpPr txBox="1">
          <a:spLocks noChangeArrowheads="1"/>
        </xdr:cNvSpPr>
      </xdr:nvSpPr>
      <xdr:spPr bwMode="auto">
        <a:xfrm flipH="1">
          <a:off x="4739528" y="4493329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2621168</xdr:colOff>
      <xdr:row>284</xdr:row>
      <xdr:rowOff>5203</xdr:rowOff>
    </xdr:to>
    <xdr:sp macro="" textlink="">
      <xdr:nvSpPr>
        <xdr:cNvPr id="1592" name="Text Box 14"/>
        <xdr:cNvSpPr txBox="1">
          <a:spLocks noChangeArrowheads="1"/>
        </xdr:cNvSpPr>
      </xdr:nvSpPr>
      <xdr:spPr bwMode="auto">
        <a:xfrm flipH="1">
          <a:off x="4739528" y="4493432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2621168</xdr:colOff>
      <xdr:row>284</xdr:row>
      <xdr:rowOff>5202</xdr:rowOff>
    </xdr:to>
    <xdr:sp macro="" textlink="">
      <xdr:nvSpPr>
        <xdr:cNvPr id="1593" name="Text Box 16"/>
        <xdr:cNvSpPr txBox="1">
          <a:spLocks noChangeArrowheads="1"/>
        </xdr:cNvSpPr>
      </xdr:nvSpPr>
      <xdr:spPr bwMode="auto">
        <a:xfrm flipH="1">
          <a:off x="4739528" y="4493432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2621168</xdr:colOff>
      <xdr:row>284</xdr:row>
      <xdr:rowOff>2271</xdr:rowOff>
    </xdr:to>
    <xdr:sp macro="" textlink="">
      <xdr:nvSpPr>
        <xdr:cNvPr id="1594" name="Text Box 12"/>
        <xdr:cNvSpPr txBox="1">
          <a:spLocks noChangeArrowheads="1"/>
        </xdr:cNvSpPr>
      </xdr:nvSpPr>
      <xdr:spPr bwMode="auto">
        <a:xfrm flipH="1">
          <a:off x="4739528" y="4493138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2621168</xdr:colOff>
      <xdr:row>284</xdr:row>
      <xdr:rowOff>14857</xdr:rowOff>
    </xdr:to>
    <xdr:sp macro="" textlink="">
      <xdr:nvSpPr>
        <xdr:cNvPr id="1595" name="Text Box 4"/>
        <xdr:cNvSpPr txBox="1">
          <a:spLocks noChangeArrowheads="1"/>
        </xdr:cNvSpPr>
      </xdr:nvSpPr>
      <xdr:spPr bwMode="auto">
        <a:xfrm flipH="1">
          <a:off x="4739528" y="4493123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1598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1599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1600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1601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1602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1603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1606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1607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1608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1609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1610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1611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283</xdr:row>
      <xdr:rowOff>166913</xdr:rowOff>
    </xdr:from>
    <xdr:to>
      <xdr:col>5</xdr:col>
      <xdr:colOff>0</xdr:colOff>
      <xdr:row>284</xdr:row>
      <xdr:rowOff>23020</xdr:rowOff>
    </xdr:to>
    <xdr:sp macro="" textlink="">
      <xdr:nvSpPr>
        <xdr:cNvPr id="1618" name="Text Box 4"/>
        <xdr:cNvSpPr txBox="1">
          <a:spLocks noChangeArrowheads="1"/>
        </xdr:cNvSpPr>
      </xdr:nvSpPr>
      <xdr:spPr bwMode="auto">
        <a:xfrm flipH="1">
          <a:off x="4743450" y="4492488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3866</xdr:rowOff>
    </xdr:from>
    <xdr:to>
      <xdr:col>5</xdr:col>
      <xdr:colOff>0</xdr:colOff>
      <xdr:row>284</xdr:row>
      <xdr:rowOff>5550</xdr:rowOff>
    </xdr:to>
    <xdr:sp macro="" textlink="">
      <xdr:nvSpPr>
        <xdr:cNvPr id="1619" name="Text Box 12"/>
        <xdr:cNvSpPr txBox="1">
          <a:spLocks noChangeArrowheads="1"/>
        </xdr:cNvSpPr>
      </xdr:nvSpPr>
      <xdr:spPr bwMode="auto">
        <a:xfrm flipH="1">
          <a:off x="4743450" y="4493329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5203</xdr:rowOff>
    </xdr:to>
    <xdr:sp macro="" textlink="">
      <xdr:nvSpPr>
        <xdr:cNvPr id="1620" name="Text Box 14"/>
        <xdr:cNvSpPr txBox="1">
          <a:spLocks noChangeArrowheads="1"/>
        </xdr:cNvSpPr>
      </xdr:nvSpPr>
      <xdr:spPr bwMode="auto">
        <a:xfrm flipH="1">
          <a:off x="4743450" y="4493432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5202</xdr:rowOff>
    </xdr:to>
    <xdr:sp macro="" textlink="">
      <xdr:nvSpPr>
        <xdr:cNvPr id="1621" name="Text Box 16"/>
        <xdr:cNvSpPr txBox="1">
          <a:spLocks noChangeArrowheads="1"/>
        </xdr:cNvSpPr>
      </xdr:nvSpPr>
      <xdr:spPr bwMode="auto">
        <a:xfrm flipH="1">
          <a:off x="4743450" y="4493432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1962</xdr:rowOff>
    </xdr:from>
    <xdr:to>
      <xdr:col>5</xdr:col>
      <xdr:colOff>0</xdr:colOff>
      <xdr:row>284</xdr:row>
      <xdr:rowOff>2271</xdr:rowOff>
    </xdr:to>
    <xdr:sp macro="" textlink="">
      <xdr:nvSpPr>
        <xdr:cNvPr id="1622" name="Text Box 12"/>
        <xdr:cNvSpPr txBox="1">
          <a:spLocks noChangeArrowheads="1"/>
        </xdr:cNvSpPr>
      </xdr:nvSpPr>
      <xdr:spPr bwMode="auto">
        <a:xfrm flipH="1">
          <a:off x="4743450" y="4493138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1813</xdr:rowOff>
    </xdr:from>
    <xdr:to>
      <xdr:col>5</xdr:col>
      <xdr:colOff>0</xdr:colOff>
      <xdr:row>284</xdr:row>
      <xdr:rowOff>14857</xdr:rowOff>
    </xdr:to>
    <xdr:sp macro="" textlink="">
      <xdr:nvSpPr>
        <xdr:cNvPr id="1623" name="Text Box 4"/>
        <xdr:cNvSpPr txBox="1">
          <a:spLocks noChangeArrowheads="1"/>
        </xdr:cNvSpPr>
      </xdr:nvSpPr>
      <xdr:spPr bwMode="auto">
        <a:xfrm flipH="1">
          <a:off x="4743450" y="4493123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1626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1627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1628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1629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1630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1631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1634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1635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1636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1637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1638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1639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1642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1643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1644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1645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1646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1647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1650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1651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1652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1653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1654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1655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662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663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664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665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666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667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1670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1671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1672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1673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1674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1675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1678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1679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1680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1681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1682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1683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283</xdr:row>
      <xdr:rowOff>166913</xdr:rowOff>
    </xdr:from>
    <xdr:to>
      <xdr:col>5</xdr:col>
      <xdr:colOff>0</xdr:colOff>
      <xdr:row>284</xdr:row>
      <xdr:rowOff>34746</xdr:rowOff>
    </xdr:to>
    <xdr:sp macro="" textlink="">
      <xdr:nvSpPr>
        <xdr:cNvPr id="1690" name="Text Box 4"/>
        <xdr:cNvSpPr txBox="1">
          <a:spLocks noChangeArrowheads="1"/>
        </xdr:cNvSpPr>
      </xdr:nvSpPr>
      <xdr:spPr bwMode="auto">
        <a:xfrm flipH="1">
          <a:off x="4743450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3866</xdr:rowOff>
    </xdr:from>
    <xdr:to>
      <xdr:col>5</xdr:col>
      <xdr:colOff>0</xdr:colOff>
      <xdr:row>284</xdr:row>
      <xdr:rowOff>36591</xdr:rowOff>
    </xdr:to>
    <xdr:sp macro="" textlink="">
      <xdr:nvSpPr>
        <xdr:cNvPr id="1691" name="Text Box 12"/>
        <xdr:cNvSpPr txBox="1">
          <a:spLocks noChangeArrowheads="1"/>
        </xdr:cNvSpPr>
      </xdr:nvSpPr>
      <xdr:spPr bwMode="auto">
        <a:xfrm flipH="1">
          <a:off x="4743450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39644</xdr:rowOff>
    </xdr:to>
    <xdr:sp macro="" textlink="">
      <xdr:nvSpPr>
        <xdr:cNvPr id="1692" name="Text Box 14"/>
        <xdr:cNvSpPr txBox="1">
          <a:spLocks noChangeArrowheads="1"/>
        </xdr:cNvSpPr>
      </xdr:nvSpPr>
      <xdr:spPr bwMode="auto">
        <a:xfrm flipH="1">
          <a:off x="4743450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39643</xdr:rowOff>
    </xdr:to>
    <xdr:sp macro="" textlink="">
      <xdr:nvSpPr>
        <xdr:cNvPr id="1693" name="Text Box 16"/>
        <xdr:cNvSpPr txBox="1">
          <a:spLocks noChangeArrowheads="1"/>
        </xdr:cNvSpPr>
      </xdr:nvSpPr>
      <xdr:spPr bwMode="auto">
        <a:xfrm flipH="1">
          <a:off x="4743450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1962</xdr:rowOff>
    </xdr:from>
    <xdr:to>
      <xdr:col>5</xdr:col>
      <xdr:colOff>0</xdr:colOff>
      <xdr:row>284</xdr:row>
      <xdr:rowOff>32124</xdr:rowOff>
    </xdr:to>
    <xdr:sp macro="" textlink="">
      <xdr:nvSpPr>
        <xdr:cNvPr id="1694" name="Text Box 12"/>
        <xdr:cNvSpPr txBox="1">
          <a:spLocks noChangeArrowheads="1"/>
        </xdr:cNvSpPr>
      </xdr:nvSpPr>
      <xdr:spPr bwMode="auto">
        <a:xfrm flipH="1">
          <a:off x="4743450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1813</xdr:rowOff>
    </xdr:from>
    <xdr:to>
      <xdr:col>5</xdr:col>
      <xdr:colOff>0</xdr:colOff>
      <xdr:row>284</xdr:row>
      <xdr:rowOff>22477</xdr:rowOff>
    </xdr:to>
    <xdr:sp macro="" textlink="">
      <xdr:nvSpPr>
        <xdr:cNvPr id="1695" name="Text Box 4"/>
        <xdr:cNvSpPr txBox="1">
          <a:spLocks noChangeArrowheads="1"/>
        </xdr:cNvSpPr>
      </xdr:nvSpPr>
      <xdr:spPr bwMode="auto">
        <a:xfrm flipH="1">
          <a:off x="4743450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1626</xdr:rowOff>
    </xdr:from>
    <xdr:to>
      <xdr:col>5</xdr:col>
      <xdr:colOff>0</xdr:colOff>
      <xdr:row>257</xdr:row>
      <xdr:rowOff>82082</xdr:rowOff>
    </xdr:to>
    <xdr:sp macro="" textlink="">
      <xdr:nvSpPr>
        <xdr:cNvPr id="1698" name="Text Box 4"/>
        <xdr:cNvSpPr txBox="1">
          <a:spLocks noChangeArrowheads="1"/>
        </xdr:cNvSpPr>
      </xdr:nvSpPr>
      <xdr:spPr bwMode="auto">
        <a:xfrm flipH="1">
          <a:off x="4743450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34573</xdr:rowOff>
    </xdr:to>
    <xdr:sp macro="" textlink="">
      <xdr:nvSpPr>
        <xdr:cNvPr id="1699" name="Text Box 12"/>
        <xdr:cNvSpPr txBox="1">
          <a:spLocks noChangeArrowheads="1"/>
        </xdr:cNvSpPr>
      </xdr:nvSpPr>
      <xdr:spPr bwMode="auto">
        <a:xfrm flipH="1">
          <a:off x="4743450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34226</xdr:rowOff>
    </xdr:to>
    <xdr:sp macro="" textlink="">
      <xdr:nvSpPr>
        <xdr:cNvPr id="1700" name="Text Box 14"/>
        <xdr:cNvSpPr txBox="1">
          <a:spLocks noChangeArrowheads="1"/>
        </xdr:cNvSpPr>
      </xdr:nvSpPr>
      <xdr:spPr bwMode="auto">
        <a:xfrm flipH="1">
          <a:off x="4743450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34225</xdr:rowOff>
    </xdr:to>
    <xdr:sp macro="" textlink="">
      <xdr:nvSpPr>
        <xdr:cNvPr id="1701" name="Text Box 16"/>
        <xdr:cNvSpPr txBox="1">
          <a:spLocks noChangeArrowheads="1"/>
        </xdr:cNvSpPr>
      </xdr:nvSpPr>
      <xdr:spPr bwMode="auto">
        <a:xfrm flipH="1">
          <a:off x="4743450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79589</xdr:rowOff>
    </xdr:to>
    <xdr:sp macro="" textlink="">
      <xdr:nvSpPr>
        <xdr:cNvPr id="1702" name="Text Box 12"/>
        <xdr:cNvSpPr txBox="1">
          <a:spLocks noChangeArrowheads="1"/>
        </xdr:cNvSpPr>
      </xdr:nvSpPr>
      <xdr:spPr bwMode="auto">
        <a:xfrm flipH="1">
          <a:off x="4743450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38972</xdr:rowOff>
    </xdr:to>
    <xdr:sp macro="" textlink="">
      <xdr:nvSpPr>
        <xdr:cNvPr id="1703" name="Text Box 4"/>
        <xdr:cNvSpPr txBox="1">
          <a:spLocks noChangeArrowheads="1"/>
        </xdr:cNvSpPr>
      </xdr:nvSpPr>
      <xdr:spPr bwMode="auto">
        <a:xfrm flipH="1">
          <a:off x="4743450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1626</xdr:rowOff>
    </xdr:from>
    <xdr:to>
      <xdr:col>5</xdr:col>
      <xdr:colOff>0</xdr:colOff>
      <xdr:row>257</xdr:row>
      <xdr:rowOff>82082</xdr:rowOff>
    </xdr:to>
    <xdr:sp macro="" textlink="">
      <xdr:nvSpPr>
        <xdr:cNvPr id="1706" name="Text Box 4"/>
        <xdr:cNvSpPr txBox="1">
          <a:spLocks noChangeArrowheads="1"/>
        </xdr:cNvSpPr>
      </xdr:nvSpPr>
      <xdr:spPr bwMode="auto">
        <a:xfrm flipH="1">
          <a:off x="4743450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34573</xdr:rowOff>
    </xdr:to>
    <xdr:sp macro="" textlink="">
      <xdr:nvSpPr>
        <xdr:cNvPr id="1707" name="Text Box 12"/>
        <xdr:cNvSpPr txBox="1">
          <a:spLocks noChangeArrowheads="1"/>
        </xdr:cNvSpPr>
      </xdr:nvSpPr>
      <xdr:spPr bwMode="auto">
        <a:xfrm flipH="1">
          <a:off x="4743450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34226</xdr:rowOff>
    </xdr:to>
    <xdr:sp macro="" textlink="">
      <xdr:nvSpPr>
        <xdr:cNvPr id="1708" name="Text Box 14"/>
        <xdr:cNvSpPr txBox="1">
          <a:spLocks noChangeArrowheads="1"/>
        </xdr:cNvSpPr>
      </xdr:nvSpPr>
      <xdr:spPr bwMode="auto">
        <a:xfrm flipH="1">
          <a:off x="4743450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34225</xdr:rowOff>
    </xdr:to>
    <xdr:sp macro="" textlink="">
      <xdr:nvSpPr>
        <xdr:cNvPr id="1709" name="Text Box 16"/>
        <xdr:cNvSpPr txBox="1">
          <a:spLocks noChangeArrowheads="1"/>
        </xdr:cNvSpPr>
      </xdr:nvSpPr>
      <xdr:spPr bwMode="auto">
        <a:xfrm flipH="1">
          <a:off x="4743450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79589</xdr:rowOff>
    </xdr:to>
    <xdr:sp macro="" textlink="">
      <xdr:nvSpPr>
        <xdr:cNvPr id="1710" name="Text Box 12"/>
        <xdr:cNvSpPr txBox="1">
          <a:spLocks noChangeArrowheads="1"/>
        </xdr:cNvSpPr>
      </xdr:nvSpPr>
      <xdr:spPr bwMode="auto">
        <a:xfrm flipH="1">
          <a:off x="4743450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38972</xdr:rowOff>
    </xdr:to>
    <xdr:sp macro="" textlink="">
      <xdr:nvSpPr>
        <xdr:cNvPr id="1711" name="Text Box 4"/>
        <xdr:cNvSpPr txBox="1">
          <a:spLocks noChangeArrowheads="1"/>
        </xdr:cNvSpPr>
      </xdr:nvSpPr>
      <xdr:spPr bwMode="auto">
        <a:xfrm flipH="1">
          <a:off x="4743450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718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719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720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721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722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723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1726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1727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1728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1729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1730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1731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1734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1735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1736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1737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1738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1739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283</xdr:row>
      <xdr:rowOff>166913</xdr:rowOff>
    </xdr:from>
    <xdr:to>
      <xdr:col>5</xdr:col>
      <xdr:colOff>0</xdr:colOff>
      <xdr:row>284</xdr:row>
      <xdr:rowOff>34746</xdr:rowOff>
    </xdr:to>
    <xdr:sp macro="" textlink="">
      <xdr:nvSpPr>
        <xdr:cNvPr id="1746" name="Text Box 4"/>
        <xdr:cNvSpPr txBox="1">
          <a:spLocks noChangeArrowheads="1"/>
        </xdr:cNvSpPr>
      </xdr:nvSpPr>
      <xdr:spPr bwMode="auto">
        <a:xfrm flipH="1">
          <a:off x="4743450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3866</xdr:rowOff>
    </xdr:from>
    <xdr:to>
      <xdr:col>5</xdr:col>
      <xdr:colOff>0</xdr:colOff>
      <xdr:row>284</xdr:row>
      <xdr:rowOff>36591</xdr:rowOff>
    </xdr:to>
    <xdr:sp macro="" textlink="">
      <xdr:nvSpPr>
        <xdr:cNvPr id="1747" name="Text Box 12"/>
        <xdr:cNvSpPr txBox="1">
          <a:spLocks noChangeArrowheads="1"/>
        </xdr:cNvSpPr>
      </xdr:nvSpPr>
      <xdr:spPr bwMode="auto">
        <a:xfrm flipH="1">
          <a:off x="4743450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39644</xdr:rowOff>
    </xdr:to>
    <xdr:sp macro="" textlink="">
      <xdr:nvSpPr>
        <xdr:cNvPr id="1748" name="Text Box 14"/>
        <xdr:cNvSpPr txBox="1">
          <a:spLocks noChangeArrowheads="1"/>
        </xdr:cNvSpPr>
      </xdr:nvSpPr>
      <xdr:spPr bwMode="auto">
        <a:xfrm flipH="1">
          <a:off x="4743450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39643</xdr:rowOff>
    </xdr:to>
    <xdr:sp macro="" textlink="">
      <xdr:nvSpPr>
        <xdr:cNvPr id="1749" name="Text Box 16"/>
        <xdr:cNvSpPr txBox="1">
          <a:spLocks noChangeArrowheads="1"/>
        </xdr:cNvSpPr>
      </xdr:nvSpPr>
      <xdr:spPr bwMode="auto">
        <a:xfrm flipH="1">
          <a:off x="4743450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1962</xdr:rowOff>
    </xdr:from>
    <xdr:to>
      <xdr:col>5</xdr:col>
      <xdr:colOff>0</xdr:colOff>
      <xdr:row>284</xdr:row>
      <xdr:rowOff>32124</xdr:rowOff>
    </xdr:to>
    <xdr:sp macro="" textlink="">
      <xdr:nvSpPr>
        <xdr:cNvPr id="1750" name="Text Box 12"/>
        <xdr:cNvSpPr txBox="1">
          <a:spLocks noChangeArrowheads="1"/>
        </xdr:cNvSpPr>
      </xdr:nvSpPr>
      <xdr:spPr bwMode="auto">
        <a:xfrm flipH="1">
          <a:off x="4743450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1813</xdr:rowOff>
    </xdr:from>
    <xdr:to>
      <xdr:col>5</xdr:col>
      <xdr:colOff>0</xdr:colOff>
      <xdr:row>284</xdr:row>
      <xdr:rowOff>22477</xdr:rowOff>
    </xdr:to>
    <xdr:sp macro="" textlink="">
      <xdr:nvSpPr>
        <xdr:cNvPr id="1751" name="Text Box 4"/>
        <xdr:cNvSpPr txBox="1">
          <a:spLocks noChangeArrowheads="1"/>
        </xdr:cNvSpPr>
      </xdr:nvSpPr>
      <xdr:spPr bwMode="auto">
        <a:xfrm flipH="1">
          <a:off x="4743450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1626</xdr:rowOff>
    </xdr:from>
    <xdr:to>
      <xdr:col>5</xdr:col>
      <xdr:colOff>0</xdr:colOff>
      <xdr:row>257</xdr:row>
      <xdr:rowOff>82082</xdr:rowOff>
    </xdr:to>
    <xdr:sp macro="" textlink="">
      <xdr:nvSpPr>
        <xdr:cNvPr id="1754" name="Text Box 4"/>
        <xdr:cNvSpPr txBox="1">
          <a:spLocks noChangeArrowheads="1"/>
        </xdr:cNvSpPr>
      </xdr:nvSpPr>
      <xdr:spPr bwMode="auto">
        <a:xfrm flipH="1">
          <a:off x="4743450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34573</xdr:rowOff>
    </xdr:to>
    <xdr:sp macro="" textlink="">
      <xdr:nvSpPr>
        <xdr:cNvPr id="1755" name="Text Box 12"/>
        <xdr:cNvSpPr txBox="1">
          <a:spLocks noChangeArrowheads="1"/>
        </xdr:cNvSpPr>
      </xdr:nvSpPr>
      <xdr:spPr bwMode="auto">
        <a:xfrm flipH="1">
          <a:off x="4743450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34226</xdr:rowOff>
    </xdr:to>
    <xdr:sp macro="" textlink="">
      <xdr:nvSpPr>
        <xdr:cNvPr id="1756" name="Text Box 14"/>
        <xdr:cNvSpPr txBox="1">
          <a:spLocks noChangeArrowheads="1"/>
        </xdr:cNvSpPr>
      </xdr:nvSpPr>
      <xdr:spPr bwMode="auto">
        <a:xfrm flipH="1">
          <a:off x="4743450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34225</xdr:rowOff>
    </xdr:to>
    <xdr:sp macro="" textlink="">
      <xdr:nvSpPr>
        <xdr:cNvPr id="1757" name="Text Box 16"/>
        <xdr:cNvSpPr txBox="1">
          <a:spLocks noChangeArrowheads="1"/>
        </xdr:cNvSpPr>
      </xdr:nvSpPr>
      <xdr:spPr bwMode="auto">
        <a:xfrm flipH="1">
          <a:off x="4743450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79589</xdr:rowOff>
    </xdr:to>
    <xdr:sp macro="" textlink="">
      <xdr:nvSpPr>
        <xdr:cNvPr id="1758" name="Text Box 12"/>
        <xdr:cNvSpPr txBox="1">
          <a:spLocks noChangeArrowheads="1"/>
        </xdr:cNvSpPr>
      </xdr:nvSpPr>
      <xdr:spPr bwMode="auto">
        <a:xfrm flipH="1">
          <a:off x="4743450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38972</xdr:rowOff>
    </xdr:to>
    <xdr:sp macro="" textlink="">
      <xdr:nvSpPr>
        <xdr:cNvPr id="1759" name="Text Box 4"/>
        <xdr:cNvSpPr txBox="1">
          <a:spLocks noChangeArrowheads="1"/>
        </xdr:cNvSpPr>
      </xdr:nvSpPr>
      <xdr:spPr bwMode="auto">
        <a:xfrm flipH="1">
          <a:off x="4743450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1626</xdr:rowOff>
    </xdr:from>
    <xdr:to>
      <xdr:col>5</xdr:col>
      <xdr:colOff>0</xdr:colOff>
      <xdr:row>257</xdr:row>
      <xdr:rowOff>82082</xdr:rowOff>
    </xdr:to>
    <xdr:sp macro="" textlink="">
      <xdr:nvSpPr>
        <xdr:cNvPr id="1762" name="Text Box 4"/>
        <xdr:cNvSpPr txBox="1">
          <a:spLocks noChangeArrowheads="1"/>
        </xdr:cNvSpPr>
      </xdr:nvSpPr>
      <xdr:spPr bwMode="auto">
        <a:xfrm flipH="1">
          <a:off x="4743450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34573</xdr:rowOff>
    </xdr:to>
    <xdr:sp macro="" textlink="">
      <xdr:nvSpPr>
        <xdr:cNvPr id="1763" name="Text Box 12"/>
        <xdr:cNvSpPr txBox="1">
          <a:spLocks noChangeArrowheads="1"/>
        </xdr:cNvSpPr>
      </xdr:nvSpPr>
      <xdr:spPr bwMode="auto">
        <a:xfrm flipH="1">
          <a:off x="4743450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34226</xdr:rowOff>
    </xdr:to>
    <xdr:sp macro="" textlink="">
      <xdr:nvSpPr>
        <xdr:cNvPr id="1764" name="Text Box 14"/>
        <xdr:cNvSpPr txBox="1">
          <a:spLocks noChangeArrowheads="1"/>
        </xdr:cNvSpPr>
      </xdr:nvSpPr>
      <xdr:spPr bwMode="auto">
        <a:xfrm flipH="1">
          <a:off x="4743450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34225</xdr:rowOff>
    </xdr:to>
    <xdr:sp macro="" textlink="">
      <xdr:nvSpPr>
        <xdr:cNvPr id="1765" name="Text Box 16"/>
        <xdr:cNvSpPr txBox="1">
          <a:spLocks noChangeArrowheads="1"/>
        </xdr:cNvSpPr>
      </xdr:nvSpPr>
      <xdr:spPr bwMode="auto">
        <a:xfrm flipH="1">
          <a:off x="4743450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79589</xdr:rowOff>
    </xdr:to>
    <xdr:sp macro="" textlink="">
      <xdr:nvSpPr>
        <xdr:cNvPr id="1766" name="Text Box 12"/>
        <xdr:cNvSpPr txBox="1">
          <a:spLocks noChangeArrowheads="1"/>
        </xdr:cNvSpPr>
      </xdr:nvSpPr>
      <xdr:spPr bwMode="auto">
        <a:xfrm flipH="1">
          <a:off x="4743450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38972</xdr:rowOff>
    </xdr:to>
    <xdr:sp macro="" textlink="">
      <xdr:nvSpPr>
        <xdr:cNvPr id="1767" name="Text Box 4"/>
        <xdr:cNvSpPr txBox="1">
          <a:spLocks noChangeArrowheads="1"/>
        </xdr:cNvSpPr>
      </xdr:nvSpPr>
      <xdr:spPr bwMode="auto">
        <a:xfrm flipH="1">
          <a:off x="4743450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1770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1771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1772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1773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1774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1775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1778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1779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1780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1781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1782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1783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790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791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792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793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794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795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798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799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00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01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02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03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06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07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08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09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10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11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14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15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16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17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18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19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22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23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24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25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26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27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834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835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836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837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838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839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42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43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44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45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46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47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50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51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52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53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54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55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58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59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60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61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62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63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66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67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68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69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70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71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878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879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880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881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882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883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86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87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88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89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90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91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96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97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98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899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00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01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04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05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06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07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08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09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943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944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945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946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947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948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952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953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954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955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956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957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1961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1962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1963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1964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1965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1966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69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70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71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72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73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74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77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78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79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80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81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82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85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86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87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88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89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90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93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94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95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96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97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1998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01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02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03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04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05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06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09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10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11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12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13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14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17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18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19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20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21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22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25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26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27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28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29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30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33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34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35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36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37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38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41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42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43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44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45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46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49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50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51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52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53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54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57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58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59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60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61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062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2066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2067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2068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2069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2070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2071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2075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2076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2077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2078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2079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2080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283</xdr:row>
      <xdr:rowOff>166913</xdr:rowOff>
    </xdr:from>
    <xdr:to>
      <xdr:col>4</xdr:col>
      <xdr:colOff>2586878</xdr:colOff>
      <xdr:row>284</xdr:row>
      <xdr:rowOff>34746</xdr:rowOff>
    </xdr:to>
    <xdr:sp macro="" textlink="">
      <xdr:nvSpPr>
        <xdr:cNvPr id="2084" name="Text Box 4"/>
        <xdr:cNvSpPr txBox="1">
          <a:spLocks noChangeArrowheads="1"/>
        </xdr:cNvSpPr>
      </xdr:nvSpPr>
      <xdr:spPr bwMode="auto">
        <a:xfrm flipH="1">
          <a:off x="4739528" y="449248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3866</xdr:rowOff>
    </xdr:from>
    <xdr:to>
      <xdr:col>4</xdr:col>
      <xdr:colOff>2586878</xdr:colOff>
      <xdr:row>284</xdr:row>
      <xdr:rowOff>36591</xdr:rowOff>
    </xdr:to>
    <xdr:sp macro="" textlink="">
      <xdr:nvSpPr>
        <xdr:cNvPr id="2085" name="Text Box 12"/>
        <xdr:cNvSpPr txBox="1">
          <a:spLocks noChangeArrowheads="1"/>
        </xdr:cNvSpPr>
      </xdr:nvSpPr>
      <xdr:spPr bwMode="auto">
        <a:xfrm flipH="1">
          <a:off x="4739528" y="449332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39644</xdr:rowOff>
    </xdr:to>
    <xdr:sp macro="" textlink="">
      <xdr:nvSpPr>
        <xdr:cNvPr id="2086" name="Text Box 14"/>
        <xdr:cNvSpPr txBox="1">
          <a:spLocks noChangeArrowheads="1"/>
        </xdr:cNvSpPr>
      </xdr:nvSpPr>
      <xdr:spPr bwMode="auto">
        <a:xfrm flipH="1">
          <a:off x="4739528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4901</xdr:rowOff>
    </xdr:from>
    <xdr:to>
      <xdr:col>4</xdr:col>
      <xdr:colOff>2586878</xdr:colOff>
      <xdr:row>284</xdr:row>
      <xdr:rowOff>39643</xdr:rowOff>
    </xdr:to>
    <xdr:sp macro="" textlink="">
      <xdr:nvSpPr>
        <xdr:cNvPr id="2087" name="Text Box 16"/>
        <xdr:cNvSpPr txBox="1">
          <a:spLocks noChangeArrowheads="1"/>
        </xdr:cNvSpPr>
      </xdr:nvSpPr>
      <xdr:spPr bwMode="auto">
        <a:xfrm flipH="1">
          <a:off x="4739528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1962</xdr:rowOff>
    </xdr:from>
    <xdr:to>
      <xdr:col>4</xdr:col>
      <xdr:colOff>2586878</xdr:colOff>
      <xdr:row>284</xdr:row>
      <xdr:rowOff>32124</xdr:rowOff>
    </xdr:to>
    <xdr:sp macro="" textlink="">
      <xdr:nvSpPr>
        <xdr:cNvPr id="2088" name="Text Box 12"/>
        <xdr:cNvSpPr txBox="1">
          <a:spLocks noChangeArrowheads="1"/>
        </xdr:cNvSpPr>
      </xdr:nvSpPr>
      <xdr:spPr bwMode="auto">
        <a:xfrm flipH="1">
          <a:off x="4739528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284</xdr:row>
      <xdr:rowOff>1813</xdr:rowOff>
    </xdr:from>
    <xdr:to>
      <xdr:col>4</xdr:col>
      <xdr:colOff>2586878</xdr:colOff>
      <xdr:row>284</xdr:row>
      <xdr:rowOff>22477</xdr:rowOff>
    </xdr:to>
    <xdr:sp macro="" textlink="">
      <xdr:nvSpPr>
        <xdr:cNvPr id="2089" name="Text Box 4"/>
        <xdr:cNvSpPr txBox="1">
          <a:spLocks noChangeArrowheads="1"/>
        </xdr:cNvSpPr>
      </xdr:nvSpPr>
      <xdr:spPr bwMode="auto">
        <a:xfrm flipH="1">
          <a:off x="4739528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285</xdr:row>
      <xdr:rowOff>166913</xdr:rowOff>
    </xdr:from>
    <xdr:to>
      <xdr:col>4</xdr:col>
      <xdr:colOff>2621168</xdr:colOff>
      <xdr:row>286</xdr:row>
      <xdr:rowOff>23020</xdr:rowOff>
    </xdr:to>
    <xdr:sp macro="" textlink="">
      <xdr:nvSpPr>
        <xdr:cNvPr id="2102" name="Text Box 4"/>
        <xdr:cNvSpPr txBox="1">
          <a:spLocks noChangeArrowheads="1"/>
        </xdr:cNvSpPr>
      </xdr:nvSpPr>
      <xdr:spPr bwMode="auto">
        <a:xfrm flipH="1">
          <a:off x="4739528" y="4526778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3866</xdr:rowOff>
    </xdr:from>
    <xdr:to>
      <xdr:col>4</xdr:col>
      <xdr:colOff>2621168</xdr:colOff>
      <xdr:row>286</xdr:row>
      <xdr:rowOff>5550</xdr:rowOff>
    </xdr:to>
    <xdr:sp macro="" textlink="">
      <xdr:nvSpPr>
        <xdr:cNvPr id="2103" name="Text Box 12"/>
        <xdr:cNvSpPr txBox="1">
          <a:spLocks noChangeArrowheads="1"/>
        </xdr:cNvSpPr>
      </xdr:nvSpPr>
      <xdr:spPr bwMode="auto">
        <a:xfrm flipH="1">
          <a:off x="4739528" y="4527619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2621168</xdr:colOff>
      <xdr:row>286</xdr:row>
      <xdr:rowOff>5203</xdr:rowOff>
    </xdr:to>
    <xdr:sp macro="" textlink="">
      <xdr:nvSpPr>
        <xdr:cNvPr id="2104" name="Text Box 14"/>
        <xdr:cNvSpPr txBox="1">
          <a:spLocks noChangeArrowheads="1"/>
        </xdr:cNvSpPr>
      </xdr:nvSpPr>
      <xdr:spPr bwMode="auto">
        <a:xfrm flipH="1">
          <a:off x="4739528" y="4527722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2621168</xdr:colOff>
      <xdr:row>286</xdr:row>
      <xdr:rowOff>5202</xdr:rowOff>
    </xdr:to>
    <xdr:sp macro="" textlink="">
      <xdr:nvSpPr>
        <xdr:cNvPr id="2105" name="Text Box 16"/>
        <xdr:cNvSpPr txBox="1">
          <a:spLocks noChangeArrowheads="1"/>
        </xdr:cNvSpPr>
      </xdr:nvSpPr>
      <xdr:spPr bwMode="auto">
        <a:xfrm flipH="1">
          <a:off x="4739528" y="4527722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1962</xdr:rowOff>
    </xdr:from>
    <xdr:to>
      <xdr:col>4</xdr:col>
      <xdr:colOff>2621168</xdr:colOff>
      <xdr:row>286</xdr:row>
      <xdr:rowOff>2271</xdr:rowOff>
    </xdr:to>
    <xdr:sp macro="" textlink="">
      <xdr:nvSpPr>
        <xdr:cNvPr id="2106" name="Text Box 12"/>
        <xdr:cNvSpPr txBox="1">
          <a:spLocks noChangeArrowheads="1"/>
        </xdr:cNvSpPr>
      </xdr:nvSpPr>
      <xdr:spPr bwMode="auto">
        <a:xfrm flipH="1">
          <a:off x="4739528" y="4527428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1813</xdr:rowOff>
    </xdr:from>
    <xdr:to>
      <xdr:col>4</xdr:col>
      <xdr:colOff>2621168</xdr:colOff>
      <xdr:row>286</xdr:row>
      <xdr:rowOff>14857</xdr:rowOff>
    </xdr:to>
    <xdr:sp macro="" textlink="">
      <xdr:nvSpPr>
        <xdr:cNvPr id="2107" name="Text Box 4"/>
        <xdr:cNvSpPr txBox="1">
          <a:spLocks noChangeArrowheads="1"/>
        </xdr:cNvSpPr>
      </xdr:nvSpPr>
      <xdr:spPr bwMode="auto">
        <a:xfrm flipH="1">
          <a:off x="4739528" y="4527413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2110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2111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2112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2113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2114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2115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2118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2119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2120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2121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2122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2123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285</xdr:row>
      <xdr:rowOff>166913</xdr:rowOff>
    </xdr:from>
    <xdr:to>
      <xdr:col>5</xdr:col>
      <xdr:colOff>0</xdr:colOff>
      <xdr:row>286</xdr:row>
      <xdr:rowOff>23020</xdr:rowOff>
    </xdr:to>
    <xdr:sp macro="" textlink="">
      <xdr:nvSpPr>
        <xdr:cNvPr id="2130" name="Text Box 4"/>
        <xdr:cNvSpPr txBox="1">
          <a:spLocks noChangeArrowheads="1"/>
        </xdr:cNvSpPr>
      </xdr:nvSpPr>
      <xdr:spPr bwMode="auto">
        <a:xfrm flipH="1">
          <a:off x="4743450" y="4526778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3866</xdr:rowOff>
    </xdr:from>
    <xdr:to>
      <xdr:col>5</xdr:col>
      <xdr:colOff>0</xdr:colOff>
      <xdr:row>286</xdr:row>
      <xdr:rowOff>5550</xdr:rowOff>
    </xdr:to>
    <xdr:sp macro="" textlink="">
      <xdr:nvSpPr>
        <xdr:cNvPr id="2131" name="Text Box 12"/>
        <xdr:cNvSpPr txBox="1">
          <a:spLocks noChangeArrowheads="1"/>
        </xdr:cNvSpPr>
      </xdr:nvSpPr>
      <xdr:spPr bwMode="auto">
        <a:xfrm flipH="1">
          <a:off x="4743450" y="4527619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4901</xdr:rowOff>
    </xdr:from>
    <xdr:to>
      <xdr:col>5</xdr:col>
      <xdr:colOff>0</xdr:colOff>
      <xdr:row>286</xdr:row>
      <xdr:rowOff>5203</xdr:rowOff>
    </xdr:to>
    <xdr:sp macro="" textlink="">
      <xdr:nvSpPr>
        <xdr:cNvPr id="2132" name="Text Box 14"/>
        <xdr:cNvSpPr txBox="1">
          <a:spLocks noChangeArrowheads="1"/>
        </xdr:cNvSpPr>
      </xdr:nvSpPr>
      <xdr:spPr bwMode="auto">
        <a:xfrm flipH="1">
          <a:off x="4743450" y="4527722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4901</xdr:rowOff>
    </xdr:from>
    <xdr:to>
      <xdr:col>5</xdr:col>
      <xdr:colOff>0</xdr:colOff>
      <xdr:row>286</xdr:row>
      <xdr:rowOff>5202</xdr:rowOff>
    </xdr:to>
    <xdr:sp macro="" textlink="">
      <xdr:nvSpPr>
        <xdr:cNvPr id="2133" name="Text Box 16"/>
        <xdr:cNvSpPr txBox="1">
          <a:spLocks noChangeArrowheads="1"/>
        </xdr:cNvSpPr>
      </xdr:nvSpPr>
      <xdr:spPr bwMode="auto">
        <a:xfrm flipH="1">
          <a:off x="4743450" y="4527722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1962</xdr:rowOff>
    </xdr:from>
    <xdr:to>
      <xdr:col>5</xdr:col>
      <xdr:colOff>0</xdr:colOff>
      <xdr:row>286</xdr:row>
      <xdr:rowOff>2271</xdr:rowOff>
    </xdr:to>
    <xdr:sp macro="" textlink="">
      <xdr:nvSpPr>
        <xdr:cNvPr id="2134" name="Text Box 12"/>
        <xdr:cNvSpPr txBox="1">
          <a:spLocks noChangeArrowheads="1"/>
        </xdr:cNvSpPr>
      </xdr:nvSpPr>
      <xdr:spPr bwMode="auto">
        <a:xfrm flipH="1">
          <a:off x="4743450" y="4527428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1813</xdr:rowOff>
    </xdr:from>
    <xdr:to>
      <xdr:col>5</xdr:col>
      <xdr:colOff>0</xdr:colOff>
      <xdr:row>286</xdr:row>
      <xdr:rowOff>14857</xdr:rowOff>
    </xdr:to>
    <xdr:sp macro="" textlink="">
      <xdr:nvSpPr>
        <xdr:cNvPr id="2135" name="Text Box 4"/>
        <xdr:cNvSpPr txBox="1">
          <a:spLocks noChangeArrowheads="1"/>
        </xdr:cNvSpPr>
      </xdr:nvSpPr>
      <xdr:spPr bwMode="auto">
        <a:xfrm flipH="1">
          <a:off x="4743450" y="4527413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2138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2139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2140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2141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2142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2143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2146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2147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2148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2149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2150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2151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285</xdr:row>
      <xdr:rowOff>166913</xdr:rowOff>
    </xdr:from>
    <xdr:to>
      <xdr:col>4</xdr:col>
      <xdr:colOff>2621168</xdr:colOff>
      <xdr:row>286</xdr:row>
      <xdr:rowOff>23020</xdr:rowOff>
    </xdr:to>
    <xdr:sp macro="" textlink="">
      <xdr:nvSpPr>
        <xdr:cNvPr id="2158" name="Text Box 4"/>
        <xdr:cNvSpPr txBox="1">
          <a:spLocks noChangeArrowheads="1"/>
        </xdr:cNvSpPr>
      </xdr:nvSpPr>
      <xdr:spPr bwMode="auto">
        <a:xfrm flipH="1">
          <a:off x="4739528" y="4526778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3866</xdr:rowOff>
    </xdr:from>
    <xdr:to>
      <xdr:col>4</xdr:col>
      <xdr:colOff>2621168</xdr:colOff>
      <xdr:row>286</xdr:row>
      <xdr:rowOff>5550</xdr:rowOff>
    </xdr:to>
    <xdr:sp macro="" textlink="">
      <xdr:nvSpPr>
        <xdr:cNvPr id="2159" name="Text Box 12"/>
        <xdr:cNvSpPr txBox="1">
          <a:spLocks noChangeArrowheads="1"/>
        </xdr:cNvSpPr>
      </xdr:nvSpPr>
      <xdr:spPr bwMode="auto">
        <a:xfrm flipH="1">
          <a:off x="4739528" y="4527619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2621168</xdr:colOff>
      <xdr:row>286</xdr:row>
      <xdr:rowOff>5203</xdr:rowOff>
    </xdr:to>
    <xdr:sp macro="" textlink="">
      <xdr:nvSpPr>
        <xdr:cNvPr id="2160" name="Text Box 14"/>
        <xdr:cNvSpPr txBox="1">
          <a:spLocks noChangeArrowheads="1"/>
        </xdr:cNvSpPr>
      </xdr:nvSpPr>
      <xdr:spPr bwMode="auto">
        <a:xfrm flipH="1">
          <a:off x="4739528" y="4527722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2621168</xdr:colOff>
      <xdr:row>286</xdr:row>
      <xdr:rowOff>5202</xdr:rowOff>
    </xdr:to>
    <xdr:sp macro="" textlink="">
      <xdr:nvSpPr>
        <xdr:cNvPr id="2161" name="Text Box 16"/>
        <xdr:cNvSpPr txBox="1">
          <a:spLocks noChangeArrowheads="1"/>
        </xdr:cNvSpPr>
      </xdr:nvSpPr>
      <xdr:spPr bwMode="auto">
        <a:xfrm flipH="1">
          <a:off x="4739528" y="4527722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1962</xdr:rowOff>
    </xdr:from>
    <xdr:to>
      <xdr:col>4</xdr:col>
      <xdr:colOff>2621168</xdr:colOff>
      <xdr:row>286</xdr:row>
      <xdr:rowOff>2271</xdr:rowOff>
    </xdr:to>
    <xdr:sp macro="" textlink="">
      <xdr:nvSpPr>
        <xdr:cNvPr id="2162" name="Text Box 12"/>
        <xdr:cNvSpPr txBox="1">
          <a:spLocks noChangeArrowheads="1"/>
        </xdr:cNvSpPr>
      </xdr:nvSpPr>
      <xdr:spPr bwMode="auto">
        <a:xfrm flipH="1">
          <a:off x="4739528" y="4527428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1813</xdr:rowOff>
    </xdr:from>
    <xdr:to>
      <xdr:col>4</xdr:col>
      <xdr:colOff>2621168</xdr:colOff>
      <xdr:row>286</xdr:row>
      <xdr:rowOff>14857</xdr:rowOff>
    </xdr:to>
    <xdr:sp macro="" textlink="">
      <xdr:nvSpPr>
        <xdr:cNvPr id="2163" name="Text Box 4"/>
        <xdr:cNvSpPr txBox="1">
          <a:spLocks noChangeArrowheads="1"/>
        </xdr:cNvSpPr>
      </xdr:nvSpPr>
      <xdr:spPr bwMode="auto">
        <a:xfrm flipH="1">
          <a:off x="4739528" y="4527413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2166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2167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2168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2169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2170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2171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2174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2175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2176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2177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2178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2179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285</xdr:row>
      <xdr:rowOff>166913</xdr:rowOff>
    </xdr:from>
    <xdr:to>
      <xdr:col>5</xdr:col>
      <xdr:colOff>0</xdr:colOff>
      <xdr:row>286</xdr:row>
      <xdr:rowOff>23020</xdr:rowOff>
    </xdr:to>
    <xdr:sp macro="" textlink="">
      <xdr:nvSpPr>
        <xdr:cNvPr id="2186" name="Text Box 4"/>
        <xdr:cNvSpPr txBox="1">
          <a:spLocks noChangeArrowheads="1"/>
        </xdr:cNvSpPr>
      </xdr:nvSpPr>
      <xdr:spPr bwMode="auto">
        <a:xfrm flipH="1">
          <a:off x="4743450" y="4526778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3866</xdr:rowOff>
    </xdr:from>
    <xdr:to>
      <xdr:col>5</xdr:col>
      <xdr:colOff>0</xdr:colOff>
      <xdr:row>286</xdr:row>
      <xdr:rowOff>5550</xdr:rowOff>
    </xdr:to>
    <xdr:sp macro="" textlink="">
      <xdr:nvSpPr>
        <xdr:cNvPr id="2187" name="Text Box 12"/>
        <xdr:cNvSpPr txBox="1">
          <a:spLocks noChangeArrowheads="1"/>
        </xdr:cNvSpPr>
      </xdr:nvSpPr>
      <xdr:spPr bwMode="auto">
        <a:xfrm flipH="1">
          <a:off x="4743450" y="4527619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4901</xdr:rowOff>
    </xdr:from>
    <xdr:to>
      <xdr:col>5</xdr:col>
      <xdr:colOff>0</xdr:colOff>
      <xdr:row>286</xdr:row>
      <xdr:rowOff>5203</xdr:rowOff>
    </xdr:to>
    <xdr:sp macro="" textlink="">
      <xdr:nvSpPr>
        <xdr:cNvPr id="2188" name="Text Box 14"/>
        <xdr:cNvSpPr txBox="1">
          <a:spLocks noChangeArrowheads="1"/>
        </xdr:cNvSpPr>
      </xdr:nvSpPr>
      <xdr:spPr bwMode="auto">
        <a:xfrm flipH="1">
          <a:off x="4743450" y="4527722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4901</xdr:rowOff>
    </xdr:from>
    <xdr:to>
      <xdr:col>5</xdr:col>
      <xdr:colOff>0</xdr:colOff>
      <xdr:row>286</xdr:row>
      <xdr:rowOff>5202</xdr:rowOff>
    </xdr:to>
    <xdr:sp macro="" textlink="">
      <xdr:nvSpPr>
        <xdr:cNvPr id="2189" name="Text Box 16"/>
        <xdr:cNvSpPr txBox="1">
          <a:spLocks noChangeArrowheads="1"/>
        </xdr:cNvSpPr>
      </xdr:nvSpPr>
      <xdr:spPr bwMode="auto">
        <a:xfrm flipH="1">
          <a:off x="4743450" y="4527722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1962</xdr:rowOff>
    </xdr:from>
    <xdr:to>
      <xdr:col>5</xdr:col>
      <xdr:colOff>0</xdr:colOff>
      <xdr:row>286</xdr:row>
      <xdr:rowOff>2271</xdr:rowOff>
    </xdr:to>
    <xdr:sp macro="" textlink="">
      <xdr:nvSpPr>
        <xdr:cNvPr id="2190" name="Text Box 12"/>
        <xdr:cNvSpPr txBox="1">
          <a:spLocks noChangeArrowheads="1"/>
        </xdr:cNvSpPr>
      </xdr:nvSpPr>
      <xdr:spPr bwMode="auto">
        <a:xfrm flipH="1">
          <a:off x="4743450" y="4527428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1813</xdr:rowOff>
    </xdr:from>
    <xdr:to>
      <xdr:col>5</xdr:col>
      <xdr:colOff>0</xdr:colOff>
      <xdr:row>286</xdr:row>
      <xdr:rowOff>14857</xdr:rowOff>
    </xdr:to>
    <xdr:sp macro="" textlink="">
      <xdr:nvSpPr>
        <xdr:cNvPr id="2191" name="Text Box 4"/>
        <xdr:cNvSpPr txBox="1">
          <a:spLocks noChangeArrowheads="1"/>
        </xdr:cNvSpPr>
      </xdr:nvSpPr>
      <xdr:spPr bwMode="auto">
        <a:xfrm flipH="1">
          <a:off x="4743450" y="4527413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2194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2195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2196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2197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2198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2199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2202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2203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2204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2205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2206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2207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2210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2211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2212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2213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2214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2215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2218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2219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2220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2221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2222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2223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285</xdr:row>
      <xdr:rowOff>166913</xdr:rowOff>
    </xdr:from>
    <xdr:to>
      <xdr:col>4</xdr:col>
      <xdr:colOff>2621168</xdr:colOff>
      <xdr:row>286</xdr:row>
      <xdr:rowOff>23020</xdr:rowOff>
    </xdr:to>
    <xdr:sp macro="" textlink="">
      <xdr:nvSpPr>
        <xdr:cNvPr id="2230" name="Text Box 4"/>
        <xdr:cNvSpPr txBox="1">
          <a:spLocks noChangeArrowheads="1"/>
        </xdr:cNvSpPr>
      </xdr:nvSpPr>
      <xdr:spPr bwMode="auto">
        <a:xfrm flipH="1">
          <a:off x="4739528" y="4526778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3866</xdr:rowOff>
    </xdr:from>
    <xdr:to>
      <xdr:col>4</xdr:col>
      <xdr:colOff>2621168</xdr:colOff>
      <xdr:row>286</xdr:row>
      <xdr:rowOff>5550</xdr:rowOff>
    </xdr:to>
    <xdr:sp macro="" textlink="">
      <xdr:nvSpPr>
        <xdr:cNvPr id="2231" name="Text Box 12"/>
        <xdr:cNvSpPr txBox="1">
          <a:spLocks noChangeArrowheads="1"/>
        </xdr:cNvSpPr>
      </xdr:nvSpPr>
      <xdr:spPr bwMode="auto">
        <a:xfrm flipH="1">
          <a:off x="4739528" y="4527619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2621168</xdr:colOff>
      <xdr:row>286</xdr:row>
      <xdr:rowOff>5203</xdr:rowOff>
    </xdr:to>
    <xdr:sp macro="" textlink="">
      <xdr:nvSpPr>
        <xdr:cNvPr id="2232" name="Text Box 14"/>
        <xdr:cNvSpPr txBox="1">
          <a:spLocks noChangeArrowheads="1"/>
        </xdr:cNvSpPr>
      </xdr:nvSpPr>
      <xdr:spPr bwMode="auto">
        <a:xfrm flipH="1">
          <a:off x="4739528" y="4527722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2621168</xdr:colOff>
      <xdr:row>286</xdr:row>
      <xdr:rowOff>5202</xdr:rowOff>
    </xdr:to>
    <xdr:sp macro="" textlink="">
      <xdr:nvSpPr>
        <xdr:cNvPr id="2233" name="Text Box 16"/>
        <xdr:cNvSpPr txBox="1">
          <a:spLocks noChangeArrowheads="1"/>
        </xdr:cNvSpPr>
      </xdr:nvSpPr>
      <xdr:spPr bwMode="auto">
        <a:xfrm flipH="1">
          <a:off x="4739528" y="4527722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1962</xdr:rowOff>
    </xdr:from>
    <xdr:to>
      <xdr:col>4</xdr:col>
      <xdr:colOff>2621168</xdr:colOff>
      <xdr:row>286</xdr:row>
      <xdr:rowOff>2271</xdr:rowOff>
    </xdr:to>
    <xdr:sp macro="" textlink="">
      <xdr:nvSpPr>
        <xdr:cNvPr id="2234" name="Text Box 12"/>
        <xdr:cNvSpPr txBox="1">
          <a:spLocks noChangeArrowheads="1"/>
        </xdr:cNvSpPr>
      </xdr:nvSpPr>
      <xdr:spPr bwMode="auto">
        <a:xfrm flipH="1">
          <a:off x="4739528" y="4527428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1813</xdr:rowOff>
    </xdr:from>
    <xdr:to>
      <xdr:col>4</xdr:col>
      <xdr:colOff>2621168</xdr:colOff>
      <xdr:row>286</xdr:row>
      <xdr:rowOff>14857</xdr:rowOff>
    </xdr:to>
    <xdr:sp macro="" textlink="">
      <xdr:nvSpPr>
        <xdr:cNvPr id="2235" name="Text Box 4"/>
        <xdr:cNvSpPr txBox="1">
          <a:spLocks noChangeArrowheads="1"/>
        </xdr:cNvSpPr>
      </xdr:nvSpPr>
      <xdr:spPr bwMode="auto">
        <a:xfrm flipH="1">
          <a:off x="4739528" y="4527413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2238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2239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2240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2241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2242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2243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2246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2247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2248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2249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2250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2251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285</xdr:row>
      <xdr:rowOff>166913</xdr:rowOff>
    </xdr:from>
    <xdr:to>
      <xdr:col>5</xdr:col>
      <xdr:colOff>0</xdr:colOff>
      <xdr:row>286</xdr:row>
      <xdr:rowOff>23020</xdr:rowOff>
    </xdr:to>
    <xdr:sp macro="" textlink="">
      <xdr:nvSpPr>
        <xdr:cNvPr id="2258" name="Text Box 4"/>
        <xdr:cNvSpPr txBox="1">
          <a:spLocks noChangeArrowheads="1"/>
        </xdr:cNvSpPr>
      </xdr:nvSpPr>
      <xdr:spPr bwMode="auto">
        <a:xfrm flipH="1">
          <a:off x="4743450" y="4526778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3866</xdr:rowOff>
    </xdr:from>
    <xdr:to>
      <xdr:col>5</xdr:col>
      <xdr:colOff>0</xdr:colOff>
      <xdr:row>286</xdr:row>
      <xdr:rowOff>5550</xdr:rowOff>
    </xdr:to>
    <xdr:sp macro="" textlink="">
      <xdr:nvSpPr>
        <xdr:cNvPr id="2259" name="Text Box 12"/>
        <xdr:cNvSpPr txBox="1">
          <a:spLocks noChangeArrowheads="1"/>
        </xdr:cNvSpPr>
      </xdr:nvSpPr>
      <xdr:spPr bwMode="auto">
        <a:xfrm flipH="1">
          <a:off x="4743450" y="4527619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4901</xdr:rowOff>
    </xdr:from>
    <xdr:to>
      <xdr:col>5</xdr:col>
      <xdr:colOff>0</xdr:colOff>
      <xdr:row>286</xdr:row>
      <xdr:rowOff>5203</xdr:rowOff>
    </xdr:to>
    <xdr:sp macro="" textlink="">
      <xdr:nvSpPr>
        <xdr:cNvPr id="2260" name="Text Box 14"/>
        <xdr:cNvSpPr txBox="1">
          <a:spLocks noChangeArrowheads="1"/>
        </xdr:cNvSpPr>
      </xdr:nvSpPr>
      <xdr:spPr bwMode="auto">
        <a:xfrm flipH="1">
          <a:off x="4743450" y="4527722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4901</xdr:rowOff>
    </xdr:from>
    <xdr:to>
      <xdr:col>5</xdr:col>
      <xdr:colOff>0</xdr:colOff>
      <xdr:row>286</xdr:row>
      <xdr:rowOff>5202</xdr:rowOff>
    </xdr:to>
    <xdr:sp macro="" textlink="">
      <xdr:nvSpPr>
        <xdr:cNvPr id="2261" name="Text Box 16"/>
        <xdr:cNvSpPr txBox="1">
          <a:spLocks noChangeArrowheads="1"/>
        </xdr:cNvSpPr>
      </xdr:nvSpPr>
      <xdr:spPr bwMode="auto">
        <a:xfrm flipH="1">
          <a:off x="4743450" y="4527722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1962</xdr:rowOff>
    </xdr:from>
    <xdr:to>
      <xdr:col>5</xdr:col>
      <xdr:colOff>0</xdr:colOff>
      <xdr:row>286</xdr:row>
      <xdr:rowOff>2271</xdr:rowOff>
    </xdr:to>
    <xdr:sp macro="" textlink="">
      <xdr:nvSpPr>
        <xdr:cNvPr id="2262" name="Text Box 12"/>
        <xdr:cNvSpPr txBox="1">
          <a:spLocks noChangeArrowheads="1"/>
        </xdr:cNvSpPr>
      </xdr:nvSpPr>
      <xdr:spPr bwMode="auto">
        <a:xfrm flipH="1">
          <a:off x="4743450" y="4527428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1813</xdr:rowOff>
    </xdr:from>
    <xdr:to>
      <xdr:col>5</xdr:col>
      <xdr:colOff>0</xdr:colOff>
      <xdr:row>286</xdr:row>
      <xdr:rowOff>14857</xdr:rowOff>
    </xdr:to>
    <xdr:sp macro="" textlink="">
      <xdr:nvSpPr>
        <xdr:cNvPr id="2263" name="Text Box 4"/>
        <xdr:cNvSpPr txBox="1">
          <a:spLocks noChangeArrowheads="1"/>
        </xdr:cNvSpPr>
      </xdr:nvSpPr>
      <xdr:spPr bwMode="auto">
        <a:xfrm flipH="1">
          <a:off x="4743450" y="4527413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2266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2267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2268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2269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2270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2271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2274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2275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2276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2277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2278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2279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285</xdr:row>
      <xdr:rowOff>166913</xdr:rowOff>
    </xdr:from>
    <xdr:to>
      <xdr:col>4</xdr:col>
      <xdr:colOff>2621168</xdr:colOff>
      <xdr:row>286</xdr:row>
      <xdr:rowOff>23020</xdr:rowOff>
    </xdr:to>
    <xdr:sp macro="" textlink="">
      <xdr:nvSpPr>
        <xdr:cNvPr id="2286" name="Text Box 4"/>
        <xdr:cNvSpPr txBox="1">
          <a:spLocks noChangeArrowheads="1"/>
        </xdr:cNvSpPr>
      </xdr:nvSpPr>
      <xdr:spPr bwMode="auto">
        <a:xfrm flipH="1">
          <a:off x="4739528" y="4526778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3866</xdr:rowOff>
    </xdr:from>
    <xdr:to>
      <xdr:col>4</xdr:col>
      <xdr:colOff>2621168</xdr:colOff>
      <xdr:row>286</xdr:row>
      <xdr:rowOff>5550</xdr:rowOff>
    </xdr:to>
    <xdr:sp macro="" textlink="">
      <xdr:nvSpPr>
        <xdr:cNvPr id="2287" name="Text Box 12"/>
        <xdr:cNvSpPr txBox="1">
          <a:spLocks noChangeArrowheads="1"/>
        </xdr:cNvSpPr>
      </xdr:nvSpPr>
      <xdr:spPr bwMode="auto">
        <a:xfrm flipH="1">
          <a:off x="4739528" y="4527619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2621168</xdr:colOff>
      <xdr:row>286</xdr:row>
      <xdr:rowOff>5203</xdr:rowOff>
    </xdr:to>
    <xdr:sp macro="" textlink="">
      <xdr:nvSpPr>
        <xdr:cNvPr id="2288" name="Text Box 14"/>
        <xdr:cNvSpPr txBox="1">
          <a:spLocks noChangeArrowheads="1"/>
        </xdr:cNvSpPr>
      </xdr:nvSpPr>
      <xdr:spPr bwMode="auto">
        <a:xfrm flipH="1">
          <a:off x="4739528" y="4527722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2621168</xdr:colOff>
      <xdr:row>286</xdr:row>
      <xdr:rowOff>5202</xdr:rowOff>
    </xdr:to>
    <xdr:sp macro="" textlink="">
      <xdr:nvSpPr>
        <xdr:cNvPr id="2289" name="Text Box 16"/>
        <xdr:cNvSpPr txBox="1">
          <a:spLocks noChangeArrowheads="1"/>
        </xdr:cNvSpPr>
      </xdr:nvSpPr>
      <xdr:spPr bwMode="auto">
        <a:xfrm flipH="1">
          <a:off x="4739528" y="4527722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1962</xdr:rowOff>
    </xdr:from>
    <xdr:to>
      <xdr:col>4</xdr:col>
      <xdr:colOff>2621168</xdr:colOff>
      <xdr:row>286</xdr:row>
      <xdr:rowOff>2271</xdr:rowOff>
    </xdr:to>
    <xdr:sp macro="" textlink="">
      <xdr:nvSpPr>
        <xdr:cNvPr id="2290" name="Text Box 12"/>
        <xdr:cNvSpPr txBox="1">
          <a:spLocks noChangeArrowheads="1"/>
        </xdr:cNvSpPr>
      </xdr:nvSpPr>
      <xdr:spPr bwMode="auto">
        <a:xfrm flipH="1">
          <a:off x="4739528" y="4527428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1813</xdr:rowOff>
    </xdr:from>
    <xdr:to>
      <xdr:col>4</xdr:col>
      <xdr:colOff>2621168</xdr:colOff>
      <xdr:row>286</xdr:row>
      <xdr:rowOff>14857</xdr:rowOff>
    </xdr:to>
    <xdr:sp macro="" textlink="">
      <xdr:nvSpPr>
        <xdr:cNvPr id="2291" name="Text Box 4"/>
        <xdr:cNvSpPr txBox="1">
          <a:spLocks noChangeArrowheads="1"/>
        </xdr:cNvSpPr>
      </xdr:nvSpPr>
      <xdr:spPr bwMode="auto">
        <a:xfrm flipH="1">
          <a:off x="4739528" y="4527413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2294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2295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2296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2297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2298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2299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2302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2303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2304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2305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2306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2307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285</xdr:row>
      <xdr:rowOff>166913</xdr:rowOff>
    </xdr:from>
    <xdr:to>
      <xdr:col>5</xdr:col>
      <xdr:colOff>0</xdr:colOff>
      <xdr:row>286</xdr:row>
      <xdr:rowOff>23020</xdr:rowOff>
    </xdr:to>
    <xdr:sp macro="" textlink="">
      <xdr:nvSpPr>
        <xdr:cNvPr id="2314" name="Text Box 4"/>
        <xdr:cNvSpPr txBox="1">
          <a:spLocks noChangeArrowheads="1"/>
        </xdr:cNvSpPr>
      </xdr:nvSpPr>
      <xdr:spPr bwMode="auto">
        <a:xfrm flipH="1">
          <a:off x="4743450" y="4526778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3866</xdr:rowOff>
    </xdr:from>
    <xdr:to>
      <xdr:col>5</xdr:col>
      <xdr:colOff>0</xdr:colOff>
      <xdr:row>286</xdr:row>
      <xdr:rowOff>5550</xdr:rowOff>
    </xdr:to>
    <xdr:sp macro="" textlink="">
      <xdr:nvSpPr>
        <xdr:cNvPr id="2315" name="Text Box 12"/>
        <xdr:cNvSpPr txBox="1">
          <a:spLocks noChangeArrowheads="1"/>
        </xdr:cNvSpPr>
      </xdr:nvSpPr>
      <xdr:spPr bwMode="auto">
        <a:xfrm flipH="1">
          <a:off x="4743450" y="4527619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4901</xdr:rowOff>
    </xdr:from>
    <xdr:to>
      <xdr:col>5</xdr:col>
      <xdr:colOff>0</xdr:colOff>
      <xdr:row>286</xdr:row>
      <xdr:rowOff>5203</xdr:rowOff>
    </xdr:to>
    <xdr:sp macro="" textlink="">
      <xdr:nvSpPr>
        <xdr:cNvPr id="2316" name="Text Box 14"/>
        <xdr:cNvSpPr txBox="1">
          <a:spLocks noChangeArrowheads="1"/>
        </xdr:cNvSpPr>
      </xdr:nvSpPr>
      <xdr:spPr bwMode="auto">
        <a:xfrm flipH="1">
          <a:off x="4743450" y="4527722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4901</xdr:rowOff>
    </xdr:from>
    <xdr:to>
      <xdr:col>5</xdr:col>
      <xdr:colOff>0</xdr:colOff>
      <xdr:row>286</xdr:row>
      <xdr:rowOff>5202</xdr:rowOff>
    </xdr:to>
    <xdr:sp macro="" textlink="">
      <xdr:nvSpPr>
        <xdr:cNvPr id="2317" name="Text Box 16"/>
        <xdr:cNvSpPr txBox="1">
          <a:spLocks noChangeArrowheads="1"/>
        </xdr:cNvSpPr>
      </xdr:nvSpPr>
      <xdr:spPr bwMode="auto">
        <a:xfrm flipH="1">
          <a:off x="4743450" y="4527722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1962</xdr:rowOff>
    </xdr:from>
    <xdr:to>
      <xdr:col>5</xdr:col>
      <xdr:colOff>0</xdr:colOff>
      <xdr:row>286</xdr:row>
      <xdr:rowOff>2271</xdr:rowOff>
    </xdr:to>
    <xdr:sp macro="" textlink="">
      <xdr:nvSpPr>
        <xdr:cNvPr id="2318" name="Text Box 12"/>
        <xdr:cNvSpPr txBox="1">
          <a:spLocks noChangeArrowheads="1"/>
        </xdr:cNvSpPr>
      </xdr:nvSpPr>
      <xdr:spPr bwMode="auto">
        <a:xfrm flipH="1">
          <a:off x="4743450" y="4527428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1813</xdr:rowOff>
    </xdr:from>
    <xdr:to>
      <xdr:col>5</xdr:col>
      <xdr:colOff>0</xdr:colOff>
      <xdr:row>286</xdr:row>
      <xdr:rowOff>14857</xdr:rowOff>
    </xdr:to>
    <xdr:sp macro="" textlink="">
      <xdr:nvSpPr>
        <xdr:cNvPr id="2319" name="Text Box 4"/>
        <xdr:cNvSpPr txBox="1">
          <a:spLocks noChangeArrowheads="1"/>
        </xdr:cNvSpPr>
      </xdr:nvSpPr>
      <xdr:spPr bwMode="auto">
        <a:xfrm flipH="1">
          <a:off x="4743450" y="4527413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2322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2323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2324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2325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2326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2327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9525</xdr:rowOff>
    </xdr:to>
    <xdr:sp macro="" textlink="">
      <xdr:nvSpPr>
        <xdr:cNvPr id="2330" name="Text Box 4"/>
        <xdr:cNvSpPr txBox="1">
          <a:spLocks noChangeArrowheads="1"/>
        </xdr:cNvSpPr>
      </xdr:nvSpPr>
      <xdr:spPr bwMode="auto">
        <a:xfrm flipH="1">
          <a:off x="4743450" y="403002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33129</xdr:rowOff>
    </xdr:to>
    <xdr:sp macro="" textlink="">
      <xdr:nvSpPr>
        <xdr:cNvPr id="2331" name="Text Box 12"/>
        <xdr:cNvSpPr txBox="1">
          <a:spLocks noChangeArrowheads="1"/>
        </xdr:cNvSpPr>
      </xdr:nvSpPr>
      <xdr:spPr bwMode="auto">
        <a:xfrm flipH="1">
          <a:off x="4743450" y="4031030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34377</xdr:rowOff>
    </xdr:to>
    <xdr:sp macro="" textlink="">
      <xdr:nvSpPr>
        <xdr:cNvPr id="2332" name="Text Box 14"/>
        <xdr:cNvSpPr txBox="1">
          <a:spLocks noChangeArrowheads="1"/>
        </xdr:cNvSpPr>
      </xdr:nvSpPr>
      <xdr:spPr bwMode="auto">
        <a:xfrm flipH="1">
          <a:off x="4743450" y="4031133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34376</xdr:rowOff>
    </xdr:to>
    <xdr:sp macro="" textlink="">
      <xdr:nvSpPr>
        <xdr:cNvPr id="2333" name="Text Box 16"/>
        <xdr:cNvSpPr txBox="1">
          <a:spLocks noChangeArrowheads="1"/>
        </xdr:cNvSpPr>
      </xdr:nvSpPr>
      <xdr:spPr bwMode="auto">
        <a:xfrm flipH="1">
          <a:off x="4743450" y="4031133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3063</xdr:rowOff>
    </xdr:to>
    <xdr:sp macro="" textlink="">
      <xdr:nvSpPr>
        <xdr:cNvPr id="2334" name="Text Box 12"/>
        <xdr:cNvSpPr txBox="1">
          <a:spLocks noChangeArrowheads="1"/>
        </xdr:cNvSpPr>
      </xdr:nvSpPr>
      <xdr:spPr bwMode="auto">
        <a:xfrm flipH="1">
          <a:off x="4743450" y="4029887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34736</xdr:rowOff>
    </xdr:to>
    <xdr:sp macro="" textlink="">
      <xdr:nvSpPr>
        <xdr:cNvPr id="2335" name="Text Box 4"/>
        <xdr:cNvSpPr txBox="1">
          <a:spLocks noChangeArrowheads="1"/>
        </xdr:cNvSpPr>
      </xdr:nvSpPr>
      <xdr:spPr bwMode="auto">
        <a:xfrm flipH="1">
          <a:off x="4743450" y="4030825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2338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2339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2340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2341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2342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2343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28575</xdr:colOff>
      <xdr:row>257</xdr:row>
      <xdr:rowOff>9525</xdr:rowOff>
    </xdr:to>
    <xdr:sp macro="" textlink="">
      <xdr:nvSpPr>
        <xdr:cNvPr id="2346" name="Text Box 4"/>
        <xdr:cNvSpPr txBox="1">
          <a:spLocks noChangeArrowheads="1"/>
        </xdr:cNvSpPr>
      </xdr:nvSpPr>
      <xdr:spPr bwMode="auto">
        <a:xfrm flipH="1">
          <a:off x="4743450" y="403002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2621168</xdr:colOff>
      <xdr:row>257</xdr:row>
      <xdr:rowOff>33129</xdr:rowOff>
    </xdr:to>
    <xdr:sp macro="" textlink="">
      <xdr:nvSpPr>
        <xdr:cNvPr id="2347" name="Text Box 12"/>
        <xdr:cNvSpPr txBox="1">
          <a:spLocks noChangeArrowheads="1"/>
        </xdr:cNvSpPr>
      </xdr:nvSpPr>
      <xdr:spPr bwMode="auto">
        <a:xfrm flipH="1">
          <a:off x="4739528" y="4031030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34377</xdr:rowOff>
    </xdr:to>
    <xdr:sp macro="" textlink="">
      <xdr:nvSpPr>
        <xdr:cNvPr id="2348" name="Text Box 14"/>
        <xdr:cNvSpPr txBox="1">
          <a:spLocks noChangeArrowheads="1"/>
        </xdr:cNvSpPr>
      </xdr:nvSpPr>
      <xdr:spPr bwMode="auto">
        <a:xfrm flipH="1">
          <a:off x="4739528" y="4031133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2621168</xdr:colOff>
      <xdr:row>257</xdr:row>
      <xdr:rowOff>34376</xdr:rowOff>
    </xdr:to>
    <xdr:sp macro="" textlink="">
      <xdr:nvSpPr>
        <xdr:cNvPr id="2349" name="Text Box 16"/>
        <xdr:cNvSpPr txBox="1">
          <a:spLocks noChangeArrowheads="1"/>
        </xdr:cNvSpPr>
      </xdr:nvSpPr>
      <xdr:spPr bwMode="auto">
        <a:xfrm flipH="1">
          <a:off x="4739528" y="4031133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2621168</xdr:colOff>
      <xdr:row>257</xdr:row>
      <xdr:rowOff>3063</xdr:rowOff>
    </xdr:to>
    <xdr:sp macro="" textlink="">
      <xdr:nvSpPr>
        <xdr:cNvPr id="2350" name="Text Box 12"/>
        <xdr:cNvSpPr txBox="1">
          <a:spLocks noChangeArrowheads="1"/>
        </xdr:cNvSpPr>
      </xdr:nvSpPr>
      <xdr:spPr bwMode="auto">
        <a:xfrm flipH="1">
          <a:off x="4739528" y="4029887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2621168</xdr:colOff>
      <xdr:row>257</xdr:row>
      <xdr:rowOff>34736</xdr:rowOff>
    </xdr:to>
    <xdr:sp macro="" textlink="">
      <xdr:nvSpPr>
        <xdr:cNvPr id="2351" name="Text Box 4"/>
        <xdr:cNvSpPr txBox="1">
          <a:spLocks noChangeArrowheads="1"/>
        </xdr:cNvSpPr>
      </xdr:nvSpPr>
      <xdr:spPr bwMode="auto">
        <a:xfrm flipH="1">
          <a:off x="4739528" y="4030825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285</xdr:row>
      <xdr:rowOff>166913</xdr:rowOff>
    </xdr:from>
    <xdr:to>
      <xdr:col>4</xdr:col>
      <xdr:colOff>2586878</xdr:colOff>
      <xdr:row>286</xdr:row>
      <xdr:rowOff>34746</xdr:rowOff>
    </xdr:to>
    <xdr:sp macro="" textlink="">
      <xdr:nvSpPr>
        <xdr:cNvPr id="2358" name="Text Box 4"/>
        <xdr:cNvSpPr txBox="1">
          <a:spLocks noChangeArrowheads="1"/>
        </xdr:cNvSpPr>
      </xdr:nvSpPr>
      <xdr:spPr bwMode="auto">
        <a:xfrm flipH="1">
          <a:off x="4739528" y="452677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3866</xdr:rowOff>
    </xdr:from>
    <xdr:to>
      <xdr:col>4</xdr:col>
      <xdr:colOff>2586878</xdr:colOff>
      <xdr:row>286</xdr:row>
      <xdr:rowOff>36591</xdr:rowOff>
    </xdr:to>
    <xdr:sp macro="" textlink="">
      <xdr:nvSpPr>
        <xdr:cNvPr id="2359" name="Text Box 12"/>
        <xdr:cNvSpPr txBox="1">
          <a:spLocks noChangeArrowheads="1"/>
        </xdr:cNvSpPr>
      </xdr:nvSpPr>
      <xdr:spPr bwMode="auto">
        <a:xfrm flipH="1">
          <a:off x="4739528" y="452761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39644</xdr:rowOff>
    </xdr:to>
    <xdr:sp macro="" textlink="">
      <xdr:nvSpPr>
        <xdr:cNvPr id="2360" name="Text Box 14"/>
        <xdr:cNvSpPr txBox="1">
          <a:spLocks noChangeArrowheads="1"/>
        </xdr:cNvSpPr>
      </xdr:nvSpPr>
      <xdr:spPr bwMode="auto">
        <a:xfrm flipH="1">
          <a:off x="4739528" y="452772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39643</xdr:rowOff>
    </xdr:to>
    <xdr:sp macro="" textlink="">
      <xdr:nvSpPr>
        <xdr:cNvPr id="2361" name="Text Box 16"/>
        <xdr:cNvSpPr txBox="1">
          <a:spLocks noChangeArrowheads="1"/>
        </xdr:cNvSpPr>
      </xdr:nvSpPr>
      <xdr:spPr bwMode="auto">
        <a:xfrm flipH="1">
          <a:off x="4739528" y="452772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1962</xdr:rowOff>
    </xdr:from>
    <xdr:to>
      <xdr:col>4</xdr:col>
      <xdr:colOff>2586878</xdr:colOff>
      <xdr:row>286</xdr:row>
      <xdr:rowOff>32124</xdr:rowOff>
    </xdr:to>
    <xdr:sp macro="" textlink="">
      <xdr:nvSpPr>
        <xdr:cNvPr id="2362" name="Text Box 12"/>
        <xdr:cNvSpPr txBox="1">
          <a:spLocks noChangeArrowheads="1"/>
        </xdr:cNvSpPr>
      </xdr:nvSpPr>
      <xdr:spPr bwMode="auto">
        <a:xfrm flipH="1">
          <a:off x="4739528" y="452742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1813</xdr:rowOff>
    </xdr:from>
    <xdr:to>
      <xdr:col>4</xdr:col>
      <xdr:colOff>2586878</xdr:colOff>
      <xdr:row>286</xdr:row>
      <xdr:rowOff>22477</xdr:rowOff>
    </xdr:to>
    <xdr:sp macro="" textlink="">
      <xdr:nvSpPr>
        <xdr:cNvPr id="2363" name="Text Box 4"/>
        <xdr:cNvSpPr txBox="1">
          <a:spLocks noChangeArrowheads="1"/>
        </xdr:cNvSpPr>
      </xdr:nvSpPr>
      <xdr:spPr bwMode="auto">
        <a:xfrm flipH="1">
          <a:off x="4739528" y="452741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2366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2367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2368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2369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2370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2371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2374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2375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2376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2377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2378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2379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285</xdr:row>
      <xdr:rowOff>166913</xdr:rowOff>
    </xdr:from>
    <xdr:to>
      <xdr:col>5</xdr:col>
      <xdr:colOff>0</xdr:colOff>
      <xdr:row>286</xdr:row>
      <xdr:rowOff>34746</xdr:rowOff>
    </xdr:to>
    <xdr:sp macro="" textlink="">
      <xdr:nvSpPr>
        <xdr:cNvPr id="2386" name="Text Box 4"/>
        <xdr:cNvSpPr txBox="1">
          <a:spLocks noChangeArrowheads="1"/>
        </xdr:cNvSpPr>
      </xdr:nvSpPr>
      <xdr:spPr bwMode="auto">
        <a:xfrm flipH="1">
          <a:off x="4743450" y="452677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3866</xdr:rowOff>
    </xdr:from>
    <xdr:to>
      <xdr:col>5</xdr:col>
      <xdr:colOff>0</xdr:colOff>
      <xdr:row>286</xdr:row>
      <xdr:rowOff>36591</xdr:rowOff>
    </xdr:to>
    <xdr:sp macro="" textlink="">
      <xdr:nvSpPr>
        <xdr:cNvPr id="2387" name="Text Box 12"/>
        <xdr:cNvSpPr txBox="1">
          <a:spLocks noChangeArrowheads="1"/>
        </xdr:cNvSpPr>
      </xdr:nvSpPr>
      <xdr:spPr bwMode="auto">
        <a:xfrm flipH="1">
          <a:off x="4743450" y="452761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4901</xdr:rowOff>
    </xdr:from>
    <xdr:to>
      <xdr:col>5</xdr:col>
      <xdr:colOff>0</xdr:colOff>
      <xdr:row>286</xdr:row>
      <xdr:rowOff>39644</xdr:rowOff>
    </xdr:to>
    <xdr:sp macro="" textlink="">
      <xdr:nvSpPr>
        <xdr:cNvPr id="2388" name="Text Box 14"/>
        <xdr:cNvSpPr txBox="1">
          <a:spLocks noChangeArrowheads="1"/>
        </xdr:cNvSpPr>
      </xdr:nvSpPr>
      <xdr:spPr bwMode="auto">
        <a:xfrm flipH="1">
          <a:off x="4743450" y="452772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4901</xdr:rowOff>
    </xdr:from>
    <xdr:to>
      <xdr:col>5</xdr:col>
      <xdr:colOff>0</xdr:colOff>
      <xdr:row>286</xdr:row>
      <xdr:rowOff>39643</xdr:rowOff>
    </xdr:to>
    <xdr:sp macro="" textlink="">
      <xdr:nvSpPr>
        <xdr:cNvPr id="2389" name="Text Box 16"/>
        <xdr:cNvSpPr txBox="1">
          <a:spLocks noChangeArrowheads="1"/>
        </xdr:cNvSpPr>
      </xdr:nvSpPr>
      <xdr:spPr bwMode="auto">
        <a:xfrm flipH="1">
          <a:off x="4743450" y="452772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1962</xdr:rowOff>
    </xdr:from>
    <xdr:to>
      <xdr:col>5</xdr:col>
      <xdr:colOff>0</xdr:colOff>
      <xdr:row>286</xdr:row>
      <xdr:rowOff>32124</xdr:rowOff>
    </xdr:to>
    <xdr:sp macro="" textlink="">
      <xdr:nvSpPr>
        <xdr:cNvPr id="2390" name="Text Box 12"/>
        <xdr:cNvSpPr txBox="1">
          <a:spLocks noChangeArrowheads="1"/>
        </xdr:cNvSpPr>
      </xdr:nvSpPr>
      <xdr:spPr bwMode="auto">
        <a:xfrm flipH="1">
          <a:off x="4743450" y="452742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1813</xdr:rowOff>
    </xdr:from>
    <xdr:to>
      <xdr:col>5</xdr:col>
      <xdr:colOff>0</xdr:colOff>
      <xdr:row>286</xdr:row>
      <xdr:rowOff>22477</xdr:rowOff>
    </xdr:to>
    <xdr:sp macro="" textlink="">
      <xdr:nvSpPr>
        <xdr:cNvPr id="2391" name="Text Box 4"/>
        <xdr:cNvSpPr txBox="1">
          <a:spLocks noChangeArrowheads="1"/>
        </xdr:cNvSpPr>
      </xdr:nvSpPr>
      <xdr:spPr bwMode="auto">
        <a:xfrm flipH="1">
          <a:off x="4743450" y="452741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1626</xdr:rowOff>
    </xdr:from>
    <xdr:to>
      <xdr:col>5</xdr:col>
      <xdr:colOff>0</xdr:colOff>
      <xdr:row>257</xdr:row>
      <xdr:rowOff>82082</xdr:rowOff>
    </xdr:to>
    <xdr:sp macro="" textlink="">
      <xdr:nvSpPr>
        <xdr:cNvPr id="2394" name="Text Box 4"/>
        <xdr:cNvSpPr txBox="1">
          <a:spLocks noChangeArrowheads="1"/>
        </xdr:cNvSpPr>
      </xdr:nvSpPr>
      <xdr:spPr bwMode="auto">
        <a:xfrm flipH="1">
          <a:off x="4743450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34573</xdr:rowOff>
    </xdr:to>
    <xdr:sp macro="" textlink="">
      <xdr:nvSpPr>
        <xdr:cNvPr id="2395" name="Text Box 12"/>
        <xdr:cNvSpPr txBox="1">
          <a:spLocks noChangeArrowheads="1"/>
        </xdr:cNvSpPr>
      </xdr:nvSpPr>
      <xdr:spPr bwMode="auto">
        <a:xfrm flipH="1">
          <a:off x="4743450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34226</xdr:rowOff>
    </xdr:to>
    <xdr:sp macro="" textlink="">
      <xdr:nvSpPr>
        <xdr:cNvPr id="2396" name="Text Box 14"/>
        <xdr:cNvSpPr txBox="1">
          <a:spLocks noChangeArrowheads="1"/>
        </xdr:cNvSpPr>
      </xdr:nvSpPr>
      <xdr:spPr bwMode="auto">
        <a:xfrm flipH="1">
          <a:off x="4743450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34225</xdr:rowOff>
    </xdr:to>
    <xdr:sp macro="" textlink="">
      <xdr:nvSpPr>
        <xdr:cNvPr id="2397" name="Text Box 16"/>
        <xdr:cNvSpPr txBox="1">
          <a:spLocks noChangeArrowheads="1"/>
        </xdr:cNvSpPr>
      </xdr:nvSpPr>
      <xdr:spPr bwMode="auto">
        <a:xfrm flipH="1">
          <a:off x="4743450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79589</xdr:rowOff>
    </xdr:to>
    <xdr:sp macro="" textlink="">
      <xdr:nvSpPr>
        <xdr:cNvPr id="2398" name="Text Box 12"/>
        <xdr:cNvSpPr txBox="1">
          <a:spLocks noChangeArrowheads="1"/>
        </xdr:cNvSpPr>
      </xdr:nvSpPr>
      <xdr:spPr bwMode="auto">
        <a:xfrm flipH="1">
          <a:off x="4743450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38972</xdr:rowOff>
    </xdr:to>
    <xdr:sp macro="" textlink="">
      <xdr:nvSpPr>
        <xdr:cNvPr id="2399" name="Text Box 4"/>
        <xdr:cNvSpPr txBox="1">
          <a:spLocks noChangeArrowheads="1"/>
        </xdr:cNvSpPr>
      </xdr:nvSpPr>
      <xdr:spPr bwMode="auto">
        <a:xfrm flipH="1">
          <a:off x="4743450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1626</xdr:rowOff>
    </xdr:from>
    <xdr:to>
      <xdr:col>5</xdr:col>
      <xdr:colOff>0</xdr:colOff>
      <xdr:row>257</xdr:row>
      <xdr:rowOff>82082</xdr:rowOff>
    </xdr:to>
    <xdr:sp macro="" textlink="">
      <xdr:nvSpPr>
        <xdr:cNvPr id="2402" name="Text Box 4"/>
        <xdr:cNvSpPr txBox="1">
          <a:spLocks noChangeArrowheads="1"/>
        </xdr:cNvSpPr>
      </xdr:nvSpPr>
      <xdr:spPr bwMode="auto">
        <a:xfrm flipH="1">
          <a:off x="4743450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34573</xdr:rowOff>
    </xdr:to>
    <xdr:sp macro="" textlink="">
      <xdr:nvSpPr>
        <xdr:cNvPr id="2403" name="Text Box 12"/>
        <xdr:cNvSpPr txBox="1">
          <a:spLocks noChangeArrowheads="1"/>
        </xdr:cNvSpPr>
      </xdr:nvSpPr>
      <xdr:spPr bwMode="auto">
        <a:xfrm flipH="1">
          <a:off x="4743450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34226</xdr:rowOff>
    </xdr:to>
    <xdr:sp macro="" textlink="">
      <xdr:nvSpPr>
        <xdr:cNvPr id="2404" name="Text Box 14"/>
        <xdr:cNvSpPr txBox="1">
          <a:spLocks noChangeArrowheads="1"/>
        </xdr:cNvSpPr>
      </xdr:nvSpPr>
      <xdr:spPr bwMode="auto">
        <a:xfrm flipH="1">
          <a:off x="4743450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34225</xdr:rowOff>
    </xdr:to>
    <xdr:sp macro="" textlink="">
      <xdr:nvSpPr>
        <xdr:cNvPr id="2405" name="Text Box 16"/>
        <xdr:cNvSpPr txBox="1">
          <a:spLocks noChangeArrowheads="1"/>
        </xdr:cNvSpPr>
      </xdr:nvSpPr>
      <xdr:spPr bwMode="auto">
        <a:xfrm flipH="1">
          <a:off x="4743450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79589</xdr:rowOff>
    </xdr:to>
    <xdr:sp macro="" textlink="">
      <xdr:nvSpPr>
        <xdr:cNvPr id="2406" name="Text Box 12"/>
        <xdr:cNvSpPr txBox="1">
          <a:spLocks noChangeArrowheads="1"/>
        </xdr:cNvSpPr>
      </xdr:nvSpPr>
      <xdr:spPr bwMode="auto">
        <a:xfrm flipH="1">
          <a:off x="4743450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38972</xdr:rowOff>
    </xdr:to>
    <xdr:sp macro="" textlink="">
      <xdr:nvSpPr>
        <xdr:cNvPr id="2407" name="Text Box 4"/>
        <xdr:cNvSpPr txBox="1">
          <a:spLocks noChangeArrowheads="1"/>
        </xdr:cNvSpPr>
      </xdr:nvSpPr>
      <xdr:spPr bwMode="auto">
        <a:xfrm flipH="1">
          <a:off x="4743450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285</xdr:row>
      <xdr:rowOff>166913</xdr:rowOff>
    </xdr:from>
    <xdr:to>
      <xdr:col>4</xdr:col>
      <xdr:colOff>2586878</xdr:colOff>
      <xdr:row>286</xdr:row>
      <xdr:rowOff>34746</xdr:rowOff>
    </xdr:to>
    <xdr:sp macro="" textlink="">
      <xdr:nvSpPr>
        <xdr:cNvPr id="2414" name="Text Box 4"/>
        <xdr:cNvSpPr txBox="1">
          <a:spLocks noChangeArrowheads="1"/>
        </xdr:cNvSpPr>
      </xdr:nvSpPr>
      <xdr:spPr bwMode="auto">
        <a:xfrm flipH="1">
          <a:off x="4739528" y="452677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3866</xdr:rowOff>
    </xdr:from>
    <xdr:to>
      <xdr:col>4</xdr:col>
      <xdr:colOff>2586878</xdr:colOff>
      <xdr:row>286</xdr:row>
      <xdr:rowOff>36591</xdr:rowOff>
    </xdr:to>
    <xdr:sp macro="" textlink="">
      <xdr:nvSpPr>
        <xdr:cNvPr id="2415" name="Text Box 12"/>
        <xdr:cNvSpPr txBox="1">
          <a:spLocks noChangeArrowheads="1"/>
        </xdr:cNvSpPr>
      </xdr:nvSpPr>
      <xdr:spPr bwMode="auto">
        <a:xfrm flipH="1">
          <a:off x="4739528" y="452761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39644</xdr:rowOff>
    </xdr:to>
    <xdr:sp macro="" textlink="">
      <xdr:nvSpPr>
        <xdr:cNvPr id="2416" name="Text Box 14"/>
        <xdr:cNvSpPr txBox="1">
          <a:spLocks noChangeArrowheads="1"/>
        </xdr:cNvSpPr>
      </xdr:nvSpPr>
      <xdr:spPr bwMode="auto">
        <a:xfrm flipH="1">
          <a:off x="4739528" y="452772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39643</xdr:rowOff>
    </xdr:to>
    <xdr:sp macro="" textlink="">
      <xdr:nvSpPr>
        <xdr:cNvPr id="2417" name="Text Box 16"/>
        <xdr:cNvSpPr txBox="1">
          <a:spLocks noChangeArrowheads="1"/>
        </xdr:cNvSpPr>
      </xdr:nvSpPr>
      <xdr:spPr bwMode="auto">
        <a:xfrm flipH="1">
          <a:off x="4739528" y="452772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1962</xdr:rowOff>
    </xdr:from>
    <xdr:to>
      <xdr:col>4</xdr:col>
      <xdr:colOff>2586878</xdr:colOff>
      <xdr:row>286</xdr:row>
      <xdr:rowOff>32124</xdr:rowOff>
    </xdr:to>
    <xdr:sp macro="" textlink="">
      <xdr:nvSpPr>
        <xdr:cNvPr id="2418" name="Text Box 12"/>
        <xdr:cNvSpPr txBox="1">
          <a:spLocks noChangeArrowheads="1"/>
        </xdr:cNvSpPr>
      </xdr:nvSpPr>
      <xdr:spPr bwMode="auto">
        <a:xfrm flipH="1">
          <a:off x="4739528" y="452742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1813</xdr:rowOff>
    </xdr:from>
    <xdr:to>
      <xdr:col>4</xdr:col>
      <xdr:colOff>2586878</xdr:colOff>
      <xdr:row>286</xdr:row>
      <xdr:rowOff>22477</xdr:rowOff>
    </xdr:to>
    <xdr:sp macro="" textlink="">
      <xdr:nvSpPr>
        <xdr:cNvPr id="2419" name="Text Box 4"/>
        <xdr:cNvSpPr txBox="1">
          <a:spLocks noChangeArrowheads="1"/>
        </xdr:cNvSpPr>
      </xdr:nvSpPr>
      <xdr:spPr bwMode="auto">
        <a:xfrm flipH="1">
          <a:off x="4739528" y="452741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2422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2423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2424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2425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2426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2427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2430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2431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2432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2433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2434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2435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285</xdr:row>
      <xdr:rowOff>166913</xdr:rowOff>
    </xdr:from>
    <xdr:to>
      <xdr:col>5</xdr:col>
      <xdr:colOff>0</xdr:colOff>
      <xdr:row>286</xdr:row>
      <xdr:rowOff>34746</xdr:rowOff>
    </xdr:to>
    <xdr:sp macro="" textlink="">
      <xdr:nvSpPr>
        <xdr:cNvPr id="2442" name="Text Box 4"/>
        <xdr:cNvSpPr txBox="1">
          <a:spLocks noChangeArrowheads="1"/>
        </xdr:cNvSpPr>
      </xdr:nvSpPr>
      <xdr:spPr bwMode="auto">
        <a:xfrm flipH="1">
          <a:off x="4743450" y="452677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3866</xdr:rowOff>
    </xdr:from>
    <xdr:to>
      <xdr:col>5</xdr:col>
      <xdr:colOff>0</xdr:colOff>
      <xdr:row>286</xdr:row>
      <xdr:rowOff>36591</xdr:rowOff>
    </xdr:to>
    <xdr:sp macro="" textlink="">
      <xdr:nvSpPr>
        <xdr:cNvPr id="2443" name="Text Box 12"/>
        <xdr:cNvSpPr txBox="1">
          <a:spLocks noChangeArrowheads="1"/>
        </xdr:cNvSpPr>
      </xdr:nvSpPr>
      <xdr:spPr bwMode="auto">
        <a:xfrm flipH="1">
          <a:off x="4743450" y="452761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4901</xdr:rowOff>
    </xdr:from>
    <xdr:to>
      <xdr:col>5</xdr:col>
      <xdr:colOff>0</xdr:colOff>
      <xdr:row>286</xdr:row>
      <xdr:rowOff>39644</xdr:rowOff>
    </xdr:to>
    <xdr:sp macro="" textlink="">
      <xdr:nvSpPr>
        <xdr:cNvPr id="2444" name="Text Box 14"/>
        <xdr:cNvSpPr txBox="1">
          <a:spLocks noChangeArrowheads="1"/>
        </xdr:cNvSpPr>
      </xdr:nvSpPr>
      <xdr:spPr bwMode="auto">
        <a:xfrm flipH="1">
          <a:off x="4743450" y="452772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4901</xdr:rowOff>
    </xdr:from>
    <xdr:to>
      <xdr:col>5</xdr:col>
      <xdr:colOff>0</xdr:colOff>
      <xdr:row>286</xdr:row>
      <xdr:rowOff>39643</xdr:rowOff>
    </xdr:to>
    <xdr:sp macro="" textlink="">
      <xdr:nvSpPr>
        <xdr:cNvPr id="2445" name="Text Box 16"/>
        <xdr:cNvSpPr txBox="1">
          <a:spLocks noChangeArrowheads="1"/>
        </xdr:cNvSpPr>
      </xdr:nvSpPr>
      <xdr:spPr bwMode="auto">
        <a:xfrm flipH="1">
          <a:off x="4743450" y="452772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1962</xdr:rowOff>
    </xdr:from>
    <xdr:to>
      <xdr:col>5</xdr:col>
      <xdr:colOff>0</xdr:colOff>
      <xdr:row>286</xdr:row>
      <xdr:rowOff>32124</xdr:rowOff>
    </xdr:to>
    <xdr:sp macro="" textlink="">
      <xdr:nvSpPr>
        <xdr:cNvPr id="2446" name="Text Box 12"/>
        <xdr:cNvSpPr txBox="1">
          <a:spLocks noChangeArrowheads="1"/>
        </xdr:cNvSpPr>
      </xdr:nvSpPr>
      <xdr:spPr bwMode="auto">
        <a:xfrm flipH="1">
          <a:off x="4743450" y="452742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286</xdr:row>
      <xdr:rowOff>1813</xdr:rowOff>
    </xdr:from>
    <xdr:to>
      <xdr:col>5</xdr:col>
      <xdr:colOff>0</xdr:colOff>
      <xdr:row>286</xdr:row>
      <xdr:rowOff>22477</xdr:rowOff>
    </xdr:to>
    <xdr:sp macro="" textlink="">
      <xdr:nvSpPr>
        <xdr:cNvPr id="2447" name="Text Box 4"/>
        <xdr:cNvSpPr txBox="1">
          <a:spLocks noChangeArrowheads="1"/>
        </xdr:cNvSpPr>
      </xdr:nvSpPr>
      <xdr:spPr bwMode="auto">
        <a:xfrm flipH="1">
          <a:off x="4743450" y="452741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1626</xdr:rowOff>
    </xdr:from>
    <xdr:to>
      <xdr:col>5</xdr:col>
      <xdr:colOff>0</xdr:colOff>
      <xdr:row>257</xdr:row>
      <xdr:rowOff>82082</xdr:rowOff>
    </xdr:to>
    <xdr:sp macro="" textlink="">
      <xdr:nvSpPr>
        <xdr:cNvPr id="2450" name="Text Box 4"/>
        <xdr:cNvSpPr txBox="1">
          <a:spLocks noChangeArrowheads="1"/>
        </xdr:cNvSpPr>
      </xdr:nvSpPr>
      <xdr:spPr bwMode="auto">
        <a:xfrm flipH="1">
          <a:off x="4743450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34573</xdr:rowOff>
    </xdr:to>
    <xdr:sp macro="" textlink="">
      <xdr:nvSpPr>
        <xdr:cNvPr id="2451" name="Text Box 12"/>
        <xdr:cNvSpPr txBox="1">
          <a:spLocks noChangeArrowheads="1"/>
        </xdr:cNvSpPr>
      </xdr:nvSpPr>
      <xdr:spPr bwMode="auto">
        <a:xfrm flipH="1">
          <a:off x="4743450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34226</xdr:rowOff>
    </xdr:to>
    <xdr:sp macro="" textlink="">
      <xdr:nvSpPr>
        <xdr:cNvPr id="2452" name="Text Box 14"/>
        <xdr:cNvSpPr txBox="1">
          <a:spLocks noChangeArrowheads="1"/>
        </xdr:cNvSpPr>
      </xdr:nvSpPr>
      <xdr:spPr bwMode="auto">
        <a:xfrm flipH="1">
          <a:off x="4743450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34225</xdr:rowOff>
    </xdr:to>
    <xdr:sp macro="" textlink="">
      <xdr:nvSpPr>
        <xdr:cNvPr id="2453" name="Text Box 16"/>
        <xdr:cNvSpPr txBox="1">
          <a:spLocks noChangeArrowheads="1"/>
        </xdr:cNvSpPr>
      </xdr:nvSpPr>
      <xdr:spPr bwMode="auto">
        <a:xfrm flipH="1">
          <a:off x="4743450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79589</xdr:rowOff>
    </xdr:to>
    <xdr:sp macro="" textlink="">
      <xdr:nvSpPr>
        <xdr:cNvPr id="2454" name="Text Box 12"/>
        <xdr:cNvSpPr txBox="1">
          <a:spLocks noChangeArrowheads="1"/>
        </xdr:cNvSpPr>
      </xdr:nvSpPr>
      <xdr:spPr bwMode="auto">
        <a:xfrm flipH="1">
          <a:off x="4743450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38972</xdr:rowOff>
    </xdr:to>
    <xdr:sp macro="" textlink="">
      <xdr:nvSpPr>
        <xdr:cNvPr id="2455" name="Text Box 4"/>
        <xdr:cNvSpPr txBox="1">
          <a:spLocks noChangeArrowheads="1"/>
        </xdr:cNvSpPr>
      </xdr:nvSpPr>
      <xdr:spPr bwMode="auto">
        <a:xfrm flipH="1">
          <a:off x="4743450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1626</xdr:rowOff>
    </xdr:from>
    <xdr:to>
      <xdr:col>5</xdr:col>
      <xdr:colOff>0</xdr:colOff>
      <xdr:row>257</xdr:row>
      <xdr:rowOff>82082</xdr:rowOff>
    </xdr:to>
    <xdr:sp macro="" textlink="">
      <xdr:nvSpPr>
        <xdr:cNvPr id="2458" name="Text Box 4"/>
        <xdr:cNvSpPr txBox="1">
          <a:spLocks noChangeArrowheads="1"/>
        </xdr:cNvSpPr>
      </xdr:nvSpPr>
      <xdr:spPr bwMode="auto">
        <a:xfrm flipH="1">
          <a:off x="4743450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10029</xdr:rowOff>
    </xdr:from>
    <xdr:to>
      <xdr:col>5</xdr:col>
      <xdr:colOff>0</xdr:colOff>
      <xdr:row>257</xdr:row>
      <xdr:rowOff>34573</xdr:rowOff>
    </xdr:to>
    <xdr:sp macro="" textlink="">
      <xdr:nvSpPr>
        <xdr:cNvPr id="2459" name="Text Box 12"/>
        <xdr:cNvSpPr txBox="1">
          <a:spLocks noChangeArrowheads="1"/>
        </xdr:cNvSpPr>
      </xdr:nvSpPr>
      <xdr:spPr bwMode="auto">
        <a:xfrm flipH="1">
          <a:off x="4743450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34226</xdr:rowOff>
    </xdr:to>
    <xdr:sp macro="" textlink="">
      <xdr:nvSpPr>
        <xdr:cNvPr id="2460" name="Text Box 14"/>
        <xdr:cNvSpPr txBox="1">
          <a:spLocks noChangeArrowheads="1"/>
        </xdr:cNvSpPr>
      </xdr:nvSpPr>
      <xdr:spPr bwMode="auto">
        <a:xfrm flipH="1">
          <a:off x="4743450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11064</xdr:rowOff>
    </xdr:from>
    <xdr:to>
      <xdr:col>5</xdr:col>
      <xdr:colOff>0</xdr:colOff>
      <xdr:row>257</xdr:row>
      <xdr:rowOff>34225</xdr:rowOff>
    </xdr:to>
    <xdr:sp macro="" textlink="">
      <xdr:nvSpPr>
        <xdr:cNvPr id="2461" name="Text Box 16"/>
        <xdr:cNvSpPr txBox="1">
          <a:spLocks noChangeArrowheads="1"/>
        </xdr:cNvSpPr>
      </xdr:nvSpPr>
      <xdr:spPr bwMode="auto">
        <a:xfrm flipH="1">
          <a:off x="4743450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170050</xdr:rowOff>
    </xdr:from>
    <xdr:to>
      <xdr:col>5</xdr:col>
      <xdr:colOff>0</xdr:colOff>
      <xdr:row>257</xdr:row>
      <xdr:rowOff>79589</xdr:rowOff>
    </xdr:to>
    <xdr:sp macro="" textlink="">
      <xdr:nvSpPr>
        <xdr:cNvPr id="2462" name="Text Box 12"/>
        <xdr:cNvSpPr txBox="1">
          <a:spLocks noChangeArrowheads="1"/>
        </xdr:cNvSpPr>
      </xdr:nvSpPr>
      <xdr:spPr bwMode="auto">
        <a:xfrm flipH="1">
          <a:off x="4743450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257</xdr:row>
      <xdr:rowOff>7976</xdr:rowOff>
    </xdr:from>
    <xdr:to>
      <xdr:col>5</xdr:col>
      <xdr:colOff>0</xdr:colOff>
      <xdr:row>257</xdr:row>
      <xdr:rowOff>38972</xdr:rowOff>
    </xdr:to>
    <xdr:sp macro="" textlink="">
      <xdr:nvSpPr>
        <xdr:cNvPr id="2463" name="Text Box 4"/>
        <xdr:cNvSpPr txBox="1">
          <a:spLocks noChangeArrowheads="1"/>
        </xdr:cNvSpPr>
      </xdr:nvSpPr>
      <xdr:spPr bwMode="auto">
        <a:xfrm flipH="1">
          <a:off x="4743450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2466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2467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2468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2469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2470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2471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1626</xdr:rowOff>
    </xdr:from>
    <xdr:to>
      <xdr:col>4</xdr:col>
      <xdr:colOff>2586878</xdr:colOff>
      <xdr:row>257</xdr:row>
      <xdr:rowOff>82082</xdr:rowOff>
    </xdr:to>
    <xdr:sp macro="" textlink="">
      <xdr:nvSpPr>
        <xdr:cNvPr id="2474" name="Text Box 4"/>
        <xdr:cNvSpPr txBox="1">
          <a:spLocks noChangeArrowheads="1"/>
        </xdr:cNvSpPr>
      </xdr:nvSpPr>
      <xdr:spPr bwMode="auto">
        <a:xfrm flipH="1">
          <a:off x="4739528" y="4030190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10029</xdr:rowOff>
    </xdr:from>
    <xdr:to>
      <xdr:col>4</xdr:col>
      <xdr:colOff>2586878</xdr:colOff>
      <xdr:row>257</xdr:row>
      <xdr:rowOff>34573</xdr:rowOff>
    </xdr:to>
    <xdr:sp macro="" textlink="">
      <xdr:nvSpPr>
        <xdr:cNvPr id="2475" name="Text Box 12"/>
        <xdr:cNvSpPr txBox="1">
          <a:spLocks noChangeArrowheads="1"/>
        </xdr:cNvSpPr>
      </xdr:nvSpPr>
      <xdr:spPr bwMode="auto">
        <a:xfrm flipH="1">
          <a:off x="4739528" y="4031030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34226</xdr:rowOff>
    </xdr:to>
    <xdr:sp macro="" textlink="">
      <xdr:nvSpPr>
        <xdr:cNvPr id="2476" name="Text Box 14"/>
        <xdr:cNvSpPr txBox="1">
          <a:spLocks noChangeArrowheads="1"/>
        </xdr:cNvSpPr>
      </xdr:nvSpPr>
      <xdr:spPr bwMode="auto">
        <a:xfrm flipH="1">
          <a:off x="4739528" y="4031133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11064</xdr:rowOff>
    </xdr:from>
    <xdr:to>
      <xdr:col>4</xdr:col>
      <xdr:colOff>2586878</xdr:colOff>
      <xdr:row>257</xdr:row>
      <xdr:rowOff>34225</xdr:rowOff>
    </xdr:to>
    <xdr:sp macro="" textlink="">
      <xdr:nvSpPr>
        <xdr:cNvPr id="2477" name="Text Box 16"/>
        <xdr:cNvSpPr txBox="1">
          <a:spLocks noChangeArrowheads="1"/>
        </xdr:cNvSpPr>
      </xdr:nvSpPr>
      <xdr:spPr bwMode="auto">
        <a:xfrm flipH="1">
          <a:off x="4739528" y="4031133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170050</xdr:rowOff>
    </xdr:from>
    <xdr:to>
      <xdr:col>4</xdr:col>
      <xdr:colOff>2586878</xdr:colOff>
      <xdr:row>257</xdr:row>
      <xdr:rowOff>79589</xdr:rowOff>
    </xdr:to>
    <xdr:sp macro="" textlink="">
      <xdr:nvSpPr>
        <xdr:cNvPr id="2478" name="Text Box 12"/>
        <xdr:cNvSpPr txBox="1">
          <a:spLocks noChangeArrowheads="1"/>
        </xdr:cNvSpPr>
      </xdr:nvSpPr>
      <xdr:spPr bwMode="auto">
        <a:xfrm flipH="1">
          <a:off x="4739528" y="402988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257</xdr:row>
      <xdr:rowOff>7976</xdr:rowOff>
    </xdr:from>
    <xdr:to>
      <xdr:col>4</xdr:col>
      <xdr:colOff>2586878</xdr:colOff>
      <xdr:row>257</xdr:row>
      <xdr:rowOff>38972</xdr:rowOff>
    </xdr:to>
    <xdr:sp macro="" textlink="">
      <xdr:nvSpPr>
        <xdr:cNvPr id="2479" name="Text Box 4"/>
        <xdr:cNvSpPr txBox="1">
          <a:spLocks noChangeArrowheads="1"/>
        </xdr:cNvSpPr>
      </xdr:nvSpPr>
      <xdr:spPr bwMode="auto">
        <a:xfrm flipH="1">
          <a:off x="4739528" y="4030825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285</xdr:row>
      <xdr:rowOff>166913</xdr:rowOff>
    </xdr:from>
    <xdr:to>
      <xdr:col>4</xdr:col>
      <xdr:colOff>2586878</xdr:colOff>
      <xdr:row>286</xdr:row>
      <xdr:rowOff>34746</xdr:rowOff>
    </xdr:to>
    <xdr:sp macro="" textlink="">
      <xdr:nvSpPr>
        <xdr:cNvPr id="2486" name="Text Box 4"/>
        <xdr:cNvSpPr txBox="1">
          <a:spLocks noChangeArrowheads="1"/>
        </xdr:cNvSpPr>
      </xdr:nvSpPr>
      <xdr:spPr bwMode="auto">
        <a:xfrm flipH="1">
          <a:off x="4739528" y="452677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3866</xdr:rowOff>
    </xdr:from>
    <xdr:to>
      <xdr:col>4</xdr:col>
      <xdr:colOff>2586878</xdr:colOff>
      <xdr:row>286</xdr:row>
      <xdr:rowOff>36591</xdr:rowOff>
    </xdr:to>
    <xdr:sp macro="" textlink="">
      <xdr:nvSpPr>
        <xdr:cNvPr id="2487" name="Text Box 12"/>
        <xdr:cNvSpPr txBox="1">
          <a:spLocks noChangeArrowheads="1"/>
        </xdr:cNvSpPr>
      </xdr:nvSpPr>
      <xdr:spPr bwMode="auto">
        <a:xfrm flipH="1">
          <a:off x="4739528" y="452761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39644</xdr:rowOff>
    </xdr:to>
    <xdr:sp macro="" textlink="">
      <xdr:nvSpPr>
        <xdr:cNvPr id="2488" name="Text Box 14"/>
        <xdr:cNvSpPr txBox="1">
          <a:spLocks noChangeArrowheads="1"/>
        </xdr:cNvSpPr>
      </xdr:nvSpPr>
      <xdr:spPr bwMode="auto">
        <a:xfrm flipH="1">
          <a:off x="4739528" y="452772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39643</xdr:rowOff>
    </xdr:to>
    <xdr:sp macro="" textlink="">
      <xdr:nvSpPr>
        <xdr:cNvPr id="2489" name="Text Box 16"/>
        <xdr:cNvSpPr txBox="1">
          <a:spLocks noChangeArrowheads="1"/>
        </xdr:cNvSpPr>
      </xdr:nvSpPr>
      <xdr:spPr bwMode="auto">
        <a:xfrm flipH="1">
          <a:off x="4739528" y="452772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1962</xdr:rowOff>
    </xdr:from>
    <xdr:to>
      <xdr:col>4</xdr:col>
      <xdr:colOff>2586878</xdr:colOff>
      <xdr:row>286</xdr:row>
      <xdr:rowOff>32124</xdr:rowOff>
    </xdr:to>
    <xdr:sp macro="" textlink="">
      <xdr:nvSpPr>
        <xdr:cNvPr id="2490" name="Text Box 12"/>
        <xdr:cNvSpPr txBox="1">
          <a:spLocks noChangeArrowheads="1"/>
        </xdr:cNvSpPr>
      </xdr:nvSpPr>
      <xdr:spPr bwMode="auto">
        <a:xfrm flipH="1">
          <a:off x="4739528" y="452742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1813</xdr:rowOff>
    </xdr:from>
    <xdr:to>
      <xdr:col>4</xdr:col>
      <xdr:colOff>2586878</xdr:colOff>
      <xdr:row>286</xdr:row>
      <xdr:rowOff>22477</xdr:rowOff>
    </xdr:to>
    <xdr:sp macro="" textlink="">
      <xdr:nvSpPr>
        <xdr:cNvPr id="2491" name="Text Box 4"/>
        <xdr:cNvSpPr txBox="1">
          <a:spLocks noChangeArrowheads="1"/>
        </xdr:cNvSpPr>
      </xdr:nvSpPr>
      <xdr:spPr bwMode="auto">
        <a:xfrm flipH="1">
          <a:off x="4739528" y="452741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494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495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496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497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498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499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02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03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04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05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06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07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10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11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12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13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14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15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18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19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20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21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22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23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285</xdr:row>
      <xdr:rowOff>166913</xdr:rowOff>
    </xdr:from>
    <xdr:to>
      <xdr:col>4</xdr:col>
      <xdr:colOff>2586878</xdr:colOff>
      <xdr:row>286</xdr:row>
      <xdr:rowOff>34746</xdr:rowOff>
    </xdr:to>
    <xdr:sp macro="" textlink="">
      <xdr:nvSpPr>
        <xdr:cNvPr id="2530" name="Text Box 4"/>
        <xdr:cNvSpPr txBox="1">
          <a:spLocks noChangeArrowheads="1"/>
        </xdr:cNvSpPr>
      </xdr:nvSpPr>
      <xdr:spPr bwMode="auto">
        <a:xfrm flipH="1">
          <a:off x="4739528" y="452677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3866</xdr:rowOff>
    </xdr:from>
    <xdr:to>
      <xdr:col>4</xdr:col>
      <xdr:colOff>2586878</xdr:colOff>
      <xdr:row>286</xdr:row>
      <xdr:rowOff>36591</xdr:rowOff>
    </xdr:to>
    <xdr:sp macro="" textlink="">
      <xdr:nvSpPr>
        <xdr:cNvPr id="2531" name="Text Box 12"/>
        <xdr:cNvSpPr txBox="1">
          <a:spLocks noChangeArrowheads="1"/>
        </xdr:cNvSpPr>
      </xdr:nvSpPr>
      <xdr:spPr bwMode="auto">
        <a:xfrm flipH="1">
          <a:off x="4739528" y="452761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39644</xdr:rowOff>
    </xdr:to>
    <xdr:sp macro="" textlink="">
      <xdr:nvSpPr>
        <xdr:cNvPr id="2532" name="Text Box 14"/>
        <xdr:cNvSpPr txBox="1">
          <a:spLocks noChangeArrowheads="1"/>
        </xdr:cNvSpPr>
      </xdr:nvSpPr>
      <xdr:spPr bwMode="auto">
        <a:xfrm flipH="1">
          <a:off x="4739528" y="452772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39643</xdr:rowOff>
    </xdr:to>
    <xdr:sp macro="" textlink="">
      <xdr:nvSpPr>
        <xdr:cNvPr id="2533" name="Text Box 16"/>
        <xdr:cNvSpPr txBox="1">
          <a:spLocks noChangeArrowheads="1"/>
        </xdr:cNvSpPr>
      </xdr:nvSpPr>
      <xdr:spPr bwMode="auto">
        <a:xfrm flipH="1">
          <a:off x="4739528" y="452772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1962</xdr:rowOff>
    </xdr:from>
    <xdr:to>
      <xdr:col>4</xdr:col>
      <xdr:colOff>2586878</xdr:colOff>
      <xdr:row>286</xdr:row>
      <xdr:rowOff>32124</xdr:rowOff>
    </xdr:to>
    <xdr:sp macro="" textlink="">
      <xdr:nvSpPr>
        <xdr:cNvPr id="2534" name="Text Box 12"/>
        <xdr:cNvSpPr txBox="1">
          <a:spLocks noChangeArrowheads="1"/>
        </xdr:cNvSpPr>
      </xdr:nvSpPr>
      <xdr:spPr bwMode="auto">
        <a:xfrm flipH="1">
          <a:off x="4739528" y="452742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1813</xdr:rowOff>
    </xdr:from>
    <xdr:to>
      <xdr:col>4</xdr:col>
      <xdr:colOff>2586878</xdr:colOff>
      <xdr:row>286</xdr:row>
      <xdr:rowOff>22477</xdr:rowOff>
    </xdr:to>
    <xdr:sp macro="" textlink="">
      <xdr:nvSpPr>
        <xdr:cNvPr id="2535" name="Text Box 4"/>
        <xdr:cNvSpPr txBox="1">
          <a:spLocks noChangeArrowheads="1"/>
        </xdr:cNvSpPr>
      </xdr:nvSpPr>
      <xdr:spPr bwMode="auto">
        <a:xfrm flipH="1">
          <a:off x="4739528" y="452741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38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39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40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41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42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43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46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47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48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49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50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51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54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55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56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57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58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59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62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63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64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65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66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67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285</xdr:row>
      <xdr:rowOff>166913</xdr:rowOff>
    </xdr:from>
    <xdr:to>
      <xdr:col>4</xdr:col>
      <xdr:colOff>2586878</xdr:colOff>
      <xdr:row>286</xdr:row>
      <xdr:rowOff>34746</xdr:rowOff>
    </xdr:to>
    <xdr:sp macro="" textlink="">
      <xdr:nvSpPr>
        <xdr:cNvPr id="2574" name="Text Box 4"/>
        <xdr:cNvSpPr txBox="1">
          <a:spLocks noChangeArrowheads="1"/>
        </xdr:cNvSpPr>
      </xdr:nvSpPr>
      <xdr:spPr bwMode="auto">
        <a:xfrm flipH="1">
          <a:off x="4739528" y="452677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3866</xdr:rowOff>
    </xdr:from>
    <xdr:to>
      <xdr:col>4</xdr:col>
      <xdr:colOff>2586878</xdr:colOff>
      <xdr:row>286</xdr:row>
      <xdr:rowOff>36591</xdr:rowOff>
    </xdr:to>
    <xdr:sp macro="" textlink="">
      <xdr:nvSpPr>
        <xdr:cNvPr id="2575" name="Text Box 12"/>
        <xdr:cNvSpPr txBox="1">
          <a:spLocks noChangeArrowheads="1"/>
        </xdr:cNvSpPr>
      </xdr:nvSpPr>
      <xdr:spPr bwMode="auto">
        <a:xfrm flipH="1">
          <a:off x="4739528" y="452761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39644</xdr:rowOff>
    </xdr:to>
    <xdr:sp macro="" textlink="">
      <xdr:nvSpPr>
        <xdr:cNvPr id="2576" name="Text Box 14"/>
        <xdr:cNvSpPr txBox="1">
          <a:spLocks noChangeArrowheads="1"/>
        </xdr:cNvSpPr>
      </xdr:nvSpPr>
      <xdr:spPr bwMode="auto">
        <a:xfrm flipH="1">
          <a:off x="4739528" y="452772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39643</xdr:rowOff>
    </xdr:to>
    <xdr:sp macro="" textlink="">
      <xdr:nvSpPr>
        <xdr:cNvPr id="2577" name="Text Box 16"/>
        <xdr:cNvSpPr txBox="1">
          <a:spLocks noChangeArrowheads="1"/>
        </xdr:cNvSpPr>
      </xdr:nvSpPr>
      <xdr:spPr bwMode="auto">
        <a:xfrm flipH="1">
          <a:off x="4739528" y="452772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1962</xdr:rowOff>
    </xdr:from>
    <xdr:to>
      <xdr:col>4</xdr:col>
      <xdr:colOff>2586878</xdr:colOff>
      <xdr:row>286</xdr:row>
      <xdr:rowOff>32124</xdr:rowOff>
    </xdr:to>
    <xdr:sp macro="" textlink="">
      <xdr:nvSpPr>
        <xdr:cNvPr id="2578" name="Text Box 12"/>
        <xdr:cNvSpPr txBox="1">
          <a:spLocks noChangeArrowheads="1"/>
        </xdr:cNvSpPr>
      </xdr:nvSpPr>
      <xdr:spPr bwMode="auto">
        <a:xfrm flipH="1">
          <a:off x="4739528" y="452742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1813</xdr:rowOff>
    </xdr:from>
    <xdr:to>
      <xdr:col>4</xdr:col>
      <xdr:colOff>2586878</xdr:colOff>
      <xdr:row>286</xdr:row>
      <xdr:rowOff>22477</xdr:rowOff>
    </xdr:to>
    <xdr:sp macro="" textlink="">
      <xdr:nvSpPr>
        <xdr:cNvPr id="2579" name="Text Box 4"/>
        <xdr:cNvSpPr txBox="1">
          <a:spLocks noChangeArrowheads="1"/>
        </xdr:cNvSpPr>
      </xdr:nvSpPr>
      <xdr:spPr bwMode="auto">
        <a:xfrm flipH="1">
          <a:off x="4739528" y="452741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82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83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84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85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86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87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90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91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92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93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94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95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98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599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00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01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02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03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06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07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08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09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10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11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285</xdr:row>
      <xdr:rowOff>166913</xdr:rowOff>
    </xdr:from>
    <xdr:to>
      <xdr:col>4</xdr:col>
      <xdr:colOff>2586878</xdr:colOff>
      <xdr:row>286</xdr:row>
      <xdr:rowOff>34746</xdr:rowOff>
    </xdr:to>
    <xdr:sp macro="" textlink="">
      <xdr:nvSpPr>
        <xdr:cNvPr id="2645" name="Text Box 4"/>
        <xdr:cNvSpPr txBox="1">
          <a:spLocks noChangeArrowheads="1"/>
        </xdr:cNvSpPr>
      </xdr:nvSpPr>
      <xdr:spPr bwMode="auto">
        <a:xfrm flipH="1">
          <a:off x="4739528" y="452677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3866</xdr:rowOff>
    </xdr:from>
    <xdr:to>
      <xdr:col>4</xdr:col>
      <xdr:colOff>2586878</xdr:colOff>
      <xdr:row>286</xdr:row>
      <xdr:rowOff>36591</xdr:rowOff>
    </xdr:to>
    <xdr:sp macro="" textlink="">
      <xdr:nvSpPr>
        <xdr:cNvPr id="2646" name="Text Box 12"/>
        <xdr:cNvSpPr txBox="1">
          <a:spLocks noChangeArrowheads="1"/>
        </xdr:cNvSpPr>
      </xdr:nvSpPr>
      <xdr:spPr bwMode="auto">
        <a:xfrm flipH="1">
          <a:off x="4739528" y="452761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39644</xdr:rowOff>
    </xdr:to>
    <xdr:sp macro="" textlink="">
      <xdr:nvSpPr>
        <xdr:cNvPr id="2647" name="Text Box 14"/>
        <xdr:cNvSpPr txBox="1">
          <a:spLocks noChangeArrowheads="1"/>
        </xdr:cNvSpPr>
      </xdr:nvSpPr>
      <xdr:spPr bwMode="auto">
        <a:xfrm flipH="1">
          <a:off x="4739528" y="452772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39643</xdr:rowOff>
    </xdr:to>
    <xdr:sp macro="" textlink="">
      <xdr:nvSpPr>
        <xdr:cNvPr id="2648" name="Text Box 16"/>
        <xdr:cNvSpPr txBox="1">
          <a:spLocks noChangeArrowheads="1"/>
        </xdr:cNvSpPr>
      </xdr:nvSpPr>
      <xdr:spPr bwMode="auto">
        <a:xfrm flipH="1">
          <a:off x="4739528" y="452772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1962</xdr:rowOff>
    </xdr:from>
    <xdr:to>
      <xdr:col>4</xdr:col>
      <xdr:colOff>2586878</xdr:colOff>
      <xdr:row>286</xdr:row>
      <xdr:rowOff>32124</xdr:rowOff>
    </xdr:to>
    <xdr:sp macro="" textlink="">
      <xdr:nvSpPr>
        <xdr:cNvPr id="2649" name="Text Box 12"/>
        <xdr:cNvSpPr txBox="1">
          <a:spLocks noChangeArrowheads="1"/>
        </xdr:cNvSpPr>
      </xdr:nvSpPr>
      <xdr:spPr bwMode="auto">
        <a:xfrm flipH="1">
          <a:off x="4739528" y="452742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1813</xdr:rowOff>
    </xdr:from>
    <xdr:to>
      <xdr:col>4</xdr:col>
      <xdr:colOff>2586878</xdr:colOff>
      <xdr:row>286</xdr:row>
      <xdr:rowOff>22477</xdr:rowOff>
    </xdr:to>
    <xdr:sp macro="" textlink="">
      <xdr:nvSpPr>
        <xdr:cNvPr id="2650" name="Text Box 4"/>
        <xdr:cNvSpPr txBox="1">
          <a:spLocks noChangeArrowheads="1"/>
        </xdr:cNvSpPr>
      </xdr:nvSpPr>
      <xdr:spPr bwMode="auto">
        <a:xfrm flipH="1">
          <a:off x="4739528" y="452741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285</xdr:row>
      <xdr:rowOff>166913</xdr:rowOff>
    </xdr:from>
    <xdr:to>
      <xdr:col>4</xdr:col>
      <xdr:colOff>2586878</xdr:colOff>
      <xdr:row>286</xdr:row>
      <xdr:rowOff>34746</xdr:rowOff>
    </xdr:to>
    <xdr:sp macro="" textlink="">
      <xdr:nvSpPr>
        <xdr:cNvPr id="2654" name="Text Box 4"/>
        <xdr:cNvSpPr txBox="1">
          <a:spLocks noChangeArrowheads="1"/>
        </xdr:cNvSpPr>
      </xdr:nvSpPr>
      <xdr:spPr bwMode="auto">
        <a:xfrm flipH="1">
          <a:off x="4739528" y="452677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3866</xdr:rowOff>
    </xdr:from>
    <xdr:to>
      <xdr:col>4</xdr:col>
      <xdr:colOff>2586878</xdr:colOff>
      <xdr:row>286</xdr:row>
      <xdr:rowOff>36591</xdr:rowOff>
    </xdr:to>
    <xdr:sp macro="" textlink="">
      <xdr:nvSpPr>
        <xdr:cNvPr id="2655" name="Text Box 12"/>
        <xdr:cNvSpPr txBox="1">
          <a:spLocks noChangeArrowheads="1"/>
        </xdr:cNvSpPr>
      </xdr:nvSpPr>
      <xdr:spPr bwMode="auto">
        <a:xfrm flipH="1">
          <a:off x="4739528" y="452761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39644</xdr:rowOff>
    </xdr:to>
    <xdr:sp macro="" textlink="">
      <xdr:nvSpPr>
        <xdr:cNvPr id="2656" name="Text Box 14"/>
        <xdr:cNvSpPr txBox="1">
          <a:spLocks noChangeArrowheads="1"/>
        </xdr:cNvSpPr>
      </xdr:nvSpPr>
      <xdr:spPr bwMode="auto">
        <a:xfrm flipH="1">
          <a:off x="4739528" y="452772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39643</xdr:rowOff>
    </xdr:to>
    <xdr:sp macro="" textlink="">
      <xdr:nvSpPr>
        <xdr:cNvPr id="2657" name="Text Box 16"/>
        <xdr:cNvSpPr txBox="1">
          <a:spLocks noChangeArrowheads="1"/>
        </xdr:cNvSpPr>
      </xdr:nvSpPr>
      <xdr:spPr bwMode="auto">
        <a:xfrm flipH="1">
          <a:off x="4739528" y="452772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1962</xdr:rowOff>
    </xdr:from>
    <xdr:to>
      <xdr:col>4</xdr:col>
      <xdr:colOff>2586878</xdr:colOff>
      <xdr:row>286</xdr:row>
      <xdr:rowOff>32124</xdr:rowOff>
    </xdr:to>
    <xdr:sp macro="" textlink="">
      <xdr:nvSpPr>
        <xdr:cNvPr id="2658" name="Text Box 12"/>
        <xdr:cNvSpPr txBox="1">
          <a:spLocks noChangeArrowheads="1"/>
        </xdr:cNvSpPr>
      </xdr:nvSpPr>
      <xdr:spPr bwMode="auto">
        <a:xfrm flipH="1">
          <a:off x="4739528" y="452742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1813</xdr:rowOff>
    </xdr:from>
    <xdr:to>
      <xdr:col>4</xdr:col>
      <xdr:colOff>2586878</xdr:colOff>
      <xdr:row>286</xdr:row>
      <xdr:rowOff>22477</xdr:rowOff>
    </xdr:to>
    <xdr:sp macro="" textlink="">
      <xdr:nvSpPr>
        <xdr:cNvPr id="2659" name="Text Box 4"/>
        <xdr:cNvSpPr txBox="1">
          <a:spLocks noChangeArrowheads="1"/>
        </xdr:cNvSpPr>
      </xdr:nvSpPr>
      <xdr:spPr bwMode="auto">
        <a:xfrm flipH="1">
          <a:off x="4739528" y="452741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285</xdr:row>
      <xdr:rowOff>166913</xdr:rowOff>
    </xdr:from>
    <xdr:to>
      <xdr:col>4</xdr:col>
      <xdr:colOff>2586878</xdr:colOff>
      <xdr:row>286</xdr:row>
      <xdr:rowOff>34746</xdr:rowOff>
    </xdr:to>
    <xdr:sp macro="" textlink="">
      <xdr:nvSpPr>
        <xdr:cNvPr id="2663" name="Text Box 4"/>
        <xdr:cNvSpPr txBox="1">
          <a:spLocks noChangeArrowheads="1"/>
        </xdr:cNvSpPr>
      </xdr:nvSpPr>
      <xdr:spPr bwMode="auto">
        <a:xfrm flipH="1">
          <a:off x="4739528" y="452677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3866</xdr:rowOff>
    </xdr:from>
    <xdr:to>
      <xdr:col>4</xdr:col>
      <xdr:colOff>2586878</xdr:colOff>
      <xdr:row>286</xdr:row>
      <xdr:rowOff>36591</xdr:rowOff>
    </xdr:to>
    <xdr:sp macro="" textlink="">
      <xdr:nvSpPr>
        <xdr:cNvPr id="2664" name="Text Box 12"/>
        <xdr:cNvSpPr txBox="1">
          <a:spLocks noChangeArrowheads="1"/>
        </xdr:cNvSpPr>
      </xdr:nvSpPr>
      <xdr:spPr bwMode="auto">
        <a:xfrm flipH="1">
          <a:off x="4739528" y="452761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39644</xdr:rowOff>
    </xdr:to>
    <xdr:sp macro="" textlink="">
      <xdr:nvSpPr>
        <xdr:cNvPr id="2665" name="Text Box 14"/>
        <xdr:cNvSpPr txBox="1">
          <a:spLocks noChangeArrowheads="1"/>
        </xdr:cNvSpPr>
      </xdr:nvSpPr>
      <xdr:spPr bwMode="auto">
        <a:xfrm flipH="1">
          <a:off x="4739528" y="452772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39643</xdr:rowOff>
    </xdr:to>
    <xdr:sp macro="" textlink="">
      <xdr:nvSpPr>
        <xdr:cNvPr id="2666" name="Text Box 16"/>
        <xdr:cNvSpPr txBox="1">
          <a:spLocks noChangeArrowheads="1"/>
        </xdr:cNvSpPr>
      </xdr:nvSpPr>
      <xdr:spPr bwMode="auto">
        <a:xfrm flipH="1">
          <a:off x="4739528" y="452772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1962</xdr:rowOff>
    </xdr:from>
    <xdr:to>
      <xdr:col>4</xdr:col>
      <xdr:colOff>2586878</xdr:colOff>
      <xdr:row>286</xdr:row>
      <xdr:rowOff>32124</xdr:rowOff>
    </xdr:to>
    <xdr:sp macro="" textlink="">
      <xdr:nvSpPr>
        <xdr:cNvPr id="2667" name="Text Box 12"/>
        <xdr:cNvSpPr txBox="1">
          <a:spLocks noChangeArrowheads="1"/>
        </xdr:cNvSpPr>
      </xdr:nvSpPr>
      <xdr:spPr bwMode="auto">
        <a:xfrm flipH="1">
          <a:off x="4739528" y="452742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1813</xdr:rowOff>
    </xdr:from>
    <xdr:to>
      <xdr:col>4</xdr:col>
      <xdr:colOff>2586878</xdr:colOff>
      <xdr:row>286</xdr:row>
      <xdr:rowOff>22477</xdr:rowOff>
    </xdr:to>
    <xdr:sp macro="" textlink="">
      <xdr:nvSpPr>
        <xdr:cNvPr id="2668" name="Text Box 4"/>
        <xdr:cNvSpPr txBox="1">
          <a:spLocks noChangeArrowheads="1"/>
        </xdr:cNvSpPr>
      </xdr:nvSpPr>
      <xdr:spPr bwMode="auto">
        <a:xfrm flipH="1">
          <a:off x="4739528" y="452741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71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72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73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74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75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76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79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80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81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82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83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84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87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88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89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90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91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92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95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96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97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98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699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00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03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04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05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06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07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08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11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12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13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14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15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16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19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20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21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22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23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24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27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28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29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30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31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32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35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36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37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38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39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40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43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44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45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46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47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48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51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52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53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54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55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56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59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60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61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62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63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64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285</xdr:row>
      <xdr:rowOff>166913</xdr:rowOff>
    </xdr:from>
    <xdr:to>
      <xdr:col>4</xdr:col>
      <xdr:colOff>2586878</xdr:colOff>
      <xdr:row>286</xdr:row>
      <xdr:rowOff>34746</xdr:rowOff>
    </xdr:to>
    <xdr:sp macro="" textlink="">
      <xdr:nvSpPr>
        <xdr:cNvPr id="2768" name="Text Box 4"/>
        <xdr:cNvSpPr txBox="1">
          <a:spLocks noChangeArrowheads="1"/>
        </xdr:cNvSpPr>
      </xdr:nvSpPr>
      <xdr:spPr bwMode="auto">
        <a:xfrm flipH="1">
          <a:off x="4739528" y="452677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3866</xdr:rowOff>
    </xdr:from>
    <xdr:to>
      <xdr:col>4</xdr:col>
      <xdr:colOff>2586878</xdr:colOff>
      <xdr:row>286</xdr:row>
      <xdr:rowOff>36591</xdr:rowOff>
    </xdr:to>
    <xdr:sp macro="" textlink="">
      <xdr:nvSpPr>
        <xdr:cNvPr id="2769" name="Text Box 12"/>
        <xdr:cNvSpPr txBox="1">
          <a:spLocks noChangeArrowheads="1"/>
        </xdr:cNvSpPr>
      </xdr:nvSpPr>
      <xdr:spPr bwMode="auto">
        <a:xfrm flipH="1">
          <a:off x="4739528" y="452761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39644</xdr:rowOff>
    </xdr:to>
    <xdr:sp macro="" textlink="">
      <xdr:nvSpPr>
        <xdr:cNvPr id="2770" name="Text Box 14"/>
        <xdr:cNvSpPr txBox="1">
          <a:spLocks noChangeArrowheads="1"/>
        </xdr:cNvSpPr>
      </xdr:nvSpPr>
      <xdr:spPr bwMode="auto">
        <a:xfrm flipH="1">
          <a:off x="4739528" y="452772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39643</xdr:rowOff>
    </xdr:to>
    <xdr:sp macro="" textlink="">
      <xdr:nvSpPr>
        <xdr:cNvPr id="2771" name="Text Box 16"/>
        <xdr:cNvSpPr txBox="1">
          <a:spLocks noChangeArrowheads="1"/>
        </xdr:cNvSpPr>
      </xdr:nvSpPr>
      <xdr:spPr bwMode="auto">
        <a:xfrm flipH="1">
          <a:off x="4739528" y="452772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1962</xdr:rowOff>
    </xdr:from>
    <xdr:to>
      <xdr:col>4</xdr:col>
      <xdr:colOff>2586878</xdr:colOff>
      <xdr:row>286</xdr:row>
      <xdr:rowOff>32124</xdr:rowOff>
    </xdr:to>
    <xdr:sp macro="" textlink="">
      <xdr:nvSpPr>
        <xdr:cNvPr id="2772" name="Text Box 12"/>
        <xdr:cNvSpPr txBox="1">
          <a:spLocks noChangeArrowheads="1"/>
        </xdr:cNvSpPr>
      </xdr:nvSpPr>
      <xdr:spPr bwMode="auto">
        <a:xfrm flipH="1">
          <a:off x="4739528" y="452742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1813</xdr:rowOff>
    </xdr:from>
    <xdr:to>
      <xdr:col>4</xdr:col>
      <xdr:colOff>2586878</xdr:colOff>
      <xdr:row>286</xdr:row>
      <xdr:rowOff>22477</xdr:rowOff>
    </xdr:to>
    <xdr:sp macro="" textlink="">
      <xdr:nvSpPr>
        <xdr:cNvPr id="2773" name="Text Box 4"/>
        <xdr:cNvSpPr txBox="1">
          <a:spLocks noChangeArrowheads="1"/>
        </xdr:cNvSpPr>
      </xdr:nvSpPr>
      <xdr:spPr bwMode="auto">
        <a:xfrm flipH="1">
          <a:off x="4739528" y="452741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285</xdr:row>
      <xdr:rowOff>166913</xdr:rowOff>
    </xdr:from>
    <xdr:to>
      <xdr:col>4</xdr:col>
      <xdr:colOff>2586878</xdr:colOff>
      <xdr:row>286</xdr:row>
      <xdr:rowOff>34746</xdr:rowOff>
    </xdr:to>
    <xdr:sp macro="" textlink="">
      <xdr:nvSpPr>
        <xdr:cNvPr id="2777" name="Text Box 4"/>
        <xdr:cNvSpPr txBox="1">
          <a:spLocks noChangeArrowheads="1"/>
        </xdr:cNvSpPr>
      </xdr:nvSpPr>
      <xdr:spPr bwMode="auto">
        <a:xfrm flipH="1">
          <a:off x="4739528" y="452677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3866</xdr:rowOff>
    </xdr:from>
    <xdr:to>
      <xdr:col>4</xdr:col>
      <xdr:colOff>2586878</xdr:colOff>
      <xdr:row>286</xdr:row>
      <xdr:rowOff>36591</xdr:rowOff>
    </xdr:to>
    <xdr:sp macro="" textlink="">
      <xdr:nvSpPr>
        <xdr:cNvPr id="2778" name="Text Box 12"/>
        <xdr:cNvSpPr txBox="1">
          <a:spLocks noChangeArrowheads="1"/>
        </xdr:cNvSpPr>
      </xdr:nvSpPr>
      <xdr:spPr bwMode="auto">
        <a:xfrm flipH="1">
          <a:off x="4739528" y="452761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39644</xdr:rowOff>
    </xdr:to>
    <xdr:sp macro="" textlink="">
      <xdr:nvSpPr>
        <xdr:cNvPr id="2779" name="Text Box 14"/>
        <xdr:cNvSpPr txBox="1">
          <a:spLocks noChangeArrowheads="1"/>
        </xdr:cNvSpPr>
      </xdr:nvSpPr>
      <xdr:spPr bwMode="auto">
        <a:xfrm flipH="1">
          <a:off x="4739528" y="452772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39643</xdr:rowOff>
    </xdr:to>
    <xdr:sp macro="" textlink="">
      <xdr:nvSpPr>
        <xdr:cNvPr id="2780" name="Text Box 16"/>
        <xdr:cNvSpPr txBox="1">
          <a:spLocks noChangeArrowheads="1"/>
        </xdr:cNvSpPr>
      </xdr:nvSpPr>
      <xdr:spPr bwMode="auto">
        <a:xfrm flipH="1">
          <a:off x="4739528" y="452772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1962</xdr:rowOff>
    </xdr:from>
    <xdr:to>
      <xdr:col>4</xdr:col>
      <xdr:colOff>2586878</xdr:colOff>
      <xdr:row>286</xdr:row>
      <xdr:rowOff>32124</xdr:rowOff>
    </xdr:to>
    <xdr:sp macro="" textlink="">
      <xdr:nvSpPr>
        <xdr:cNvPr id="2781" name="Text Box 12"/>
        <xdr:cNvSpPr txBox="1">
          <a:spLocks noChangeArrowheads="1"/>
        </xdr:cNvSpPr>
      </xdr:nvSpPr>
      <xdr:spPr bwMode="auto">
        <a:xfrm flipH="1">
          <a:off x="4739528" y="452742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1813</xdr:rowOff>
    </xdr:from>
    <xdr:to>
      <xdr:col>4</xdr:col>
      <xdr:colOff>2586878</xdr:colOff>
      <xdr:row>286</xdr:row>
      <xdr:rowOff>22477</xdr:rowOff>
    </xdr:to>
    <xdr:sp macro="" textlink="">
      <xdr:nvSpPr>
        <xdr:cNvPr id="2782" name="Text Box 4"/>
        <xdr:cNvSpPr txBox="1">
          <a:spLocks noChangeArrowheads="1"/>
        </xdr:cNvSpPr>
      </xdr:nvSpPr>
      <xdr:spPr bwMode="auto">
        <a:xfrm flipH="1">
          <a:off x="4739528" y="452741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285</xdr:row>
      <xdr:rowOff>166913</xdr:rowOff>
    </xdr:from>
    <xdr:to>
      <xdr:col>4</xdr:col>
      <xdr:colOff>2586878</xdr:colOff>
      <xdr:row>286</xdr:row>
      <xdr:rowOff>34746</xdr:rowOff>
    </xdr:to>
    <xdr:sp macro="" textlink="">
      <xdr:nvSpPr>
        <xdr:cNvPr id="2786" name="Text Box 4"/>
        <xdr:cNvSpPr txBox="1">
          <a:spLocks noChangeArrowheads="1"/>
        </xdr:cNvSpPr>
      </xdr:nvSpPr>
      <xdr:spPr bwMode="auto">
        <a:xfrm flipH="1">
          <a:off x="4739528" y="4526778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3866</xdr:rowOff>
    </xdr:from>
    <xdr:to>
      <xdr:col>4</xdr:col>
      <xdr:colOff>2586878</xdr:colOff>
      <xdr:row>286</xdr:row>
      <xdr:rowOff>36591</xdr:rowOff>
    </xdr:to>
    <xdr:sp macro="" textlink="">
      <xdr:nvSpPr>
        <xdr:cNvPr id="2787" name="Text Box 12"/>
        <xdr:cNvSpPr txBox="1">
          <a:spLocks noChangeArrowheads="1"/>
        </xdr:cNvSpPr>
      </xdr:nvSpPr>
      <xdr:spPr bwMode="auto">
        <a:xfrm flipH="1">
          <a:off x="4739528" y="4527619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39644</xdr:rowOff>
    </xdr:to>
    <xdr:sp macro="" textlink="">
      <xdr:nvSpPr>
        <xdr:cNvPr id="2788" name="Text Box 14"/>
        <xdr:cNvSpPr txBox="1">
          <a:spLocks noChangeArrowheads="1"/>
        </xdr:cNvSpPr>
      </xdr:nvSpPr>
      <xdr:spPr bwMode="auto">
        <a:xfrm flipH="1">
          <a:off x="4739528" y="452772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4901</xdr:rowOff>
    </xdr:from>
    <xdr:to>
      <xdr:col>4</xdr:col>
      <xdr:colOff>2586878</xdr:colOff>
      <xdr:row>286</xdr:row>
      <xdr:rowOff>39643</xdr:rowOff>
    </xdr:to>
    <xdr:sp macro="" textlink="">
      <xdr:nvSpPr>
        <xdr:cNvPr id="2789" name="Text Box 16"/>
        <xdr:cNvSpPr txBox="1">
          <a:spLocks noChangeArrowheads="1"/>
        </xdr:cNvSpPr>
      </xdr:nvSpPr>
      <xdr:spPr bwMode="auto">
        <a:xfrm flipH="1">
          <a:off x="4739528" y="452772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1962</xdr:rowOff>
    </xdr:from>
    <xdr:to>
      <xdr:col>4</xdr:col>
      <xdr:colOff>2586878</xdr:colOff>
      <xdr:row>286</xdr:row>
      <xdr:rowOff>32124</xdr:rowOff>
    </xdr:to>
    <xdr:sp macro="" textlink="">
      <xdr:nvSpPr>
        <xdr:cNvPr id="2790" name="Text Box 12"/>
        <xdr:cNvSpPr txBox="1">
          <a:spLocks noChangeArrowheads="1"/>
        </xdr:cNvSpPr>
      </xdr:nvSpPr>
      <xdr:spPr bwMode="auto">
        <a:xfrm flipH="1">
          <a:off x="4739528" y="452742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286</xdr:row>
      <xdr:rowOff>1813</xdr:rowOff>
    </xdr:from>
    <xdr:to>
      <xdr:col>4</xdr:col>
      <xdr:colOff>2586878</xdr:colOff>
      <xdr:row>286</xdr:row>
      <xdr:rowOff>22477</xdr:rowOff>
    </xdr:to>
    <xdr:sp macro="" textlink="">
      <xdr:nvSpPr>
        <xdr:cNvPr id="2791" name="Text Box 4"/>
        <xdr:cNvSpPr txBox="1">
          <a:spLocks noChangeArrowheads="1"/>
        </xdr:cNvSpPr>
      </xdr:nvSpPr>
      <xdr:spPr bwMode="auto">
        <a:xfrm flipH="1">
          <a:off x="4739528" y="452741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98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799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800" name="Text Box 1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801" name="Text Box 16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802" name="Text Box 12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250</xdr:row>
      <xdr:rowOff>0</xdr:rowOff>
    </xdr:from>
    <xdr:to>
      <xdr:col>4</xdr:col>
      <xdr:colOff>2586878</xdr:colOff>
      <xdr:row>250</xdr:row>
      <xdr:rowOff>0</xdr:rowOff>
    </xdr:to>
    <xdr:sp macro="" textlink="">
      <xdr:nvSpPr>
        <xdr:cNvPr id="2803" name="Text Box 4"/>
        <xdr:cNvSpPr txBox="1">
          <a:spLocks noChangeArrowheads="1"/>
        </xdr:cNvSpPr>
      </xdr:nvSpPr>
      <xdr:spPr bwMode="auto">
        <a:xfrm flipH="1">
          <a:off x="4739528" y="39100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39644</xdr:rowOff>
    </xdr:to>
    <xdr:sp macro="" textlink="">
      <xdr:nvSpPr>
        <xdr:cNvPr id="2804" name="Text Box 14"/>
        <xdr:cNvSpPr txBox="1">
          <a:spLocks noChangeArrowheads="1"/>
        </xdr:cNvSpPr>
      </xdr:nvSpPr>
      <xdr:spPr bwMode="auto">
        <a:xfrm flipH="1">
          <a:off x="4743450" y="4493432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4901</xdr:rowOff>
    </xdr:from>
    <xdr:to>
      <xdr:col>5</xdr:col>
      <xdr:colOff>0</xdr:colOff>
      <xdr:row>284</xdr:row>
      <xdr:rowOff>39643</xdr:rowOff>
    </xdr:to>
    <xdr:sp macro="" textlink="">
      <xdr:nvSpPr>
        <xdr:cNvPr id="2805" name="Text Box 16"/>
        <xdr:cNvSpPr txBox="1">
          <a:spLocks noChangeArrowheads="1"/>
        </xdr:cNvSpPr>
      </xdr:nvSpPr>
      <xdr:spPr bwMode="auto">
        <a:xfrm flipH="1">
          <a:off x="4743450" y="4493432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1962</xdr:rowOff>
    </xdr:from>
    <xdr:to>
      <xdr:col>5</xdr:col>
      <xdr:colOff>0</xdr:colOff>
      <xdr:row>284</xdr:row>
      <xdr:rowOff>32124</xdr:rowOff>
    </xdr:to>
    <xdr:sp macro="" textlink="">
      <xdr:nvSpPr>
        <xdr:cNvPr id="2806" name="Text Box 12"/>
        <xdr:cNvSpPr txBox="1">
          <a:spLocks noChangeArrowheads="1"/>
        </xdr:cNvSpPr>
      </xdr:nvSpPr>
      <xdr:spPr bwMode="auto">
        <a:xfrm flipH="1">
          <a:off x="4743450" y="4493138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284</xdr:row>
      <xdr:rowOff>1813</xdr:rowOff>
    </xdr:from>
    <xdr:to>
      <xdr:col>5</xdr:col>
      <xdr:colOff>0</xdr:colOff>
      <xdr:row>284</xdr:row>
      <xdr:rowOff>22477</xdr:rowOff>
    </xdr:to>
    <xdr:sp macro="" textlink="">
      <xdr:nvSpPr>
        <xdr:cNvPr id="2807" name="Text Box 4"/>
        <xdr:cNvSpPr txBox="1">
          <a:spLocks noChangeArrowheads="1"/>
        </xdr:cNvSpPr>
      </xdr:nvSpPr>
      <xdr:spPr bwMode="auto">
        <a:xfrm flipH="1">
          <a:off x="4743450" y="4493123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255</xdr:row>
      <xdr:rowOff>166913</xdr:rowOff>
    </xdr:from>
    <xdr:to>
      <xdr:col>4</xdr:col>
      <xdr:colOff>2621168</xdr:colOff>
      <xdr:row>256</xdr:row>
      <xdr:rowOff>23020</xdr:rowOff>
    </xdr:to>
    <xdr:sp macro="" textlink="">
      <xdr:nvSpPr>
        <xdr:cNvPr id="1804" name="Text Box 4"/>
        <xdr:cNvSpPr txBox="1">
          <a:spLocks noChangeArrowheads="1"/>
        </xdr:cNvSpPr>
      </xdr:nvSpPr>
      <xdr:spPr bwMode="auto">
        <a:xfrm flipH="1">
          <a:off x="4739528" y="17940563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3866</xdr:rowOff>
    </xdr:from>
    <xdr:to>
      <xdr:col>4</xdr:col>
      <xdr:colOff>2621168</xdr:colOff>
      <xdr:row>256</xdr:row>
      <xdr:rowOff>5550</xdr:rowOff>
    </xdr:to>
    <xdr:sp macro="" textlink="">
      <xdr:nvSpPr>
        <xdr:cNvPr id="1805" name="Text Box 12"/>
        <xdr:cNvSpPr txBox="1">
          <a:spLocks noChangeArrowheads="1"/>
        </xdr:cNvSpPr>
      </xdr:nvSpPr>
      <xdr:spPr bwMode="auto">
        <a:xfrm flipH="1">
          <a:off x="4739528" y="17948966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2621168</xdr:colOff>
      <xdr:row>256</xdr:row>
      <xdr:rowOff>5203</xdr:rowOff>
    </xdr:to>
    <xdr:sp macro="" textlink="">
      <xdr:nvSpPr>
        <xdr:cNvPr id="1812" name="Text Box 14"/>
        <xdr:cNvSpPr txBox="1">
          <a:spLocks noChangeArrowheads="1"/>
        </xdr:cNvSpPr>
      </xdr:nvSpPr>
      <xdr:spPr bwMode="auto">
        <a:xfrm flipH="1">
          <a:off x="4739528" y="17950001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2621168</xdr:colOff>
      <xdr:row>256</xdr:row>
      <xdr:rowOff>5202</xdr:rowOff>
    </xdr:to>
    <xdr:sp macro="" textlink="">
      <xdr:nvSpPr>
        <xdr:cNvPr id="1813" name="Text Box 16"/>
        <xdr:cNvSpPr txBox="1">
          <a:spLocks noChangeArrowheads="1"/>
        </xdr:cNvSpPr>
      </xdr:nvSpPr>
      <xdr:spPr bwMode="auto">
        <a:xfrm flipH="1">
          <a:off x="4739528" y="17950001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1962</xdr:rowOff>
    </xdr:from>
    <xdr:to>
      <xdr:col>4</xdr:col>
      <xdr:colOff>2621168</xdr:colOff>
      <xdr:row>256</xdr:row>
      <xdr:rowOff>2271</xdr:rowOff>
    </xdr:to>
    <xdr:sp macro="" textlink="">
      <xdr:nvSpPr>
        <xdr:cNvPr id="1820" name="Text Box 12"/>
        <xdr:cNvSpPr txBox="1">
          <a:spLocks noChangeArrowheads="1"/>
        </xdr:cNvSpPr>
      </xdr:nvSpPr>
      <xdr:spPr bwMode="auto">
        <a:xfrm flipH="1">
          <a:off x="4739528" y="17947062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1813</xdr:rowOff>
    </xdr:from>
    <xdr:to>
      <xdr:col>4</xdr:col>
      <xdr:colOff>2621168</xdr:colOff>
      <xdr:row>256</xdr:row>
      <xdr:rowOff>14857</xdr:rowOff>
    </xdr:to>
    <xdr:sp macro="" textlink="">
      <xdr:nvSpPr>
        <xdr:cNvPr id="1821" name="Text Box 4"/>
        <xdr:cNvSpPr txBox="1">
          <a:spLocks noChangeArrowheads="1"/>
        </xdr:cNvSpPr>
      </xdr:nvSpPr>
      <xdr:spPr bwMode="auto">
        <a:xfrm flipH="1">
          <a:off x="4739528" y="17946913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28575</xdr:colOff>
      <xdr:row>227</xdr:row>
      <xdr:rowOff>9525</xdr:rowOff>
    </xdr:to>
    <xdr:sp macro="" textlink="">
      <xdr:nvSpPr>
        <xdr:cNvPr id="1828" name="Text Box 4"/>
        <xdr:cNvSpPr txBox="1">
          <a:spLocks noChangeArrowheads="1"/>
        </xdr:cNvSpPr>
      </xdr:nvSpPr>
      <xdr:spPr bwMode="auto">
        <a:xfrm flipH="1">
          <a:off x="4972050" y="129730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2621168</xdr:colOff>
      <xdr:row>227</xdr:row>
      <xdr:rowOff>33129</xdr:rowOff>
    </xdr:to>
    <xdr:sp macro="" textlink="">
      <xdr:nvSpPr>
        <xdr:cNvPr id="1829" name="Text Box 12"/>
        <xdr:cNvSpPr txBox="1">
          <a:spLocks noChangeArrowheads="1"/>
        </xdr:cNvSpPr>
      </xdr:nvSpPr>
      <xdr:spPr bwMode="auto">
        <a:xfrm flipH="1">
          <a:off x="4739528" y="1298307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34377</xdr:rowOff>
    </xdr:to>
    <xdr:sp macro="" textlink="">
      <xdr:nvSpPr>
        <xdr:cNvPr id="1830" name="Text Box 14"/>
        <xdr:cNvSpPr txBox="1">
          <a:spLocks noChangeArrowheads="1"/>
        </xdr:cNvSpPr>
      </xdr:nvSpPr>
      <xdr:spPr bwMode="auto">
        <a:xfrm flipH="1">
          <a:off x="4739528" y="1298411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34376</xdr:rowOff>
    </xdr:to>
    <xdr:sp macro="" textlink="">
      <xdr:nvSpPr>
        <xdr:cNvPr id="1831" name="Text Box 16"/>
        <xdr:cNvSpPr txBox="1">
          <a:spLocks noChangeArrowheads="1"/>
        </xdr:cNvSpPr>
      </xdr:nvSpPr>
      <xdr:spPr bwMode="auto">
        <a:xfrm flipH="1">
          <a:off x="4739528" y="1298411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2621168</xdr:colOff>
      <xdr:row>227</xdr:row>
      <xdr:rowOff>3063</xdr:rowOff>
    </xdr:to>
    <xdr:sp macro="" textlink="">
      <xdr:nvSpPr>
        <xdr:cNvPr id="1832" name="Text Box 12"/>
        <xdr:cNvSpPr txBox="1">
          <a:spLocks noChangeArrowheads="1"/>
        </xdr:cNvSpPr>
      </xdr:nvSpPr>
      <xdr:spPr bwMode="auto">
        <a:xfrm flipH="1">
          <a:off x="4739528" y="1297165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2621168</xdr:colOff>
      <xdr:row>227</xdr:row>
      <xdr:rowOff>34736</xdr:rowOff>
    </xdr:to>
    <xdr:sp macro="" textlink="">
      <xdr:nvSpPr>
        <xdr:cNvPr id="1833" name="Text Box 4"/>
        <xdr:cNvSpPr txBox="1">
          <a:spLocks noChangeArrowheads="1"/>
        </xdr:cNvSpPr>
      </xdr:nvSpPr>
      <xdr:spPr bwMode="auto">
        <a:xfrm flipH="1">
          <a:off x="4739528" y="1298102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28575</xdr:colOff>
      <xdr:row>227</xdr:row>
      <xdr:rowOff>9525</xdr:rowOff>
    </xdr:to>
    <xdr:sp macro="" textlink="">
      <xdr:nvSpPr>
        <xdr:cNvPr id="1840" name="Text Box 4"/>
        <xdr:cNvSpPr txBox="1">
          <a:spLocks noChangeArrowheads="1"/>
        </xdr:cNvSpPr>
      </xdr:nvSpPr>
      <xdr:spPr bwMode="auto">
        <a:xfrm flipH="1">
          <a:off x="4972050" y="129730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2621168</xdr:colOff>
      <xdr:row>227</xdr:row>
      <xdr:rowOff>33129</xdr:rowOff>
    </xdr:to>
    <xdr:sp macro="" textlink="">
      <xdr:nvSpPr>
        <xdr:cNvPr id="1841" name="Text Box 12"/>
        <xdr:cNvSpPr txBox="1">
          <a:spLocks noChangeArrowheads="1"/>
        </xdr:cNvSpPr>
      </xdr:nvSpPr>
      <xdr:spPr bwMode="auto">
        <a:xfrm flipH="1">
          <a:off x="4739528" y="1298307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34377</xdr:rowOff>
    </xdr:to>
    <xdr:sp macro="" textlink="">
      <xdr:nvSpPr>
        <xdr:cNvPr id="1848" name="Text Box 14"/>
        <xdr:cNvSpPr txBox="1">
          <a:spLocks noChangeArrowheads="1"/>
        </xdr:cNvSpPr>
      </xdr:nvSpPr>
      <xdr:spPr bwMode="auto">
        <a:xfrm flipH="1">
          <a:off x="4739528" y="1298411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34376</xdr:rowOff>
    </xdr:to>
    <xdr:sp macro="" textlink="">
      <xdr:nvSpPr>
        <xdr:cNvPr id="1849" name="Text Box 16"/>
        <xdr:cNvSpPr txBox="1">
          <a:spLocks noChangeArrowheads="1"/>
        </xdr:cNvSpPr>
      </xdr:nvSpPr>
      <xdr:spPr bwMode="auto">
        <a:xfrm flipH="1">
          <a:off x="4739528" y="1298411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2621168</xdr:colOff>
      <xdr:row>227</xdr:row>
      <xdr:rowOff>3063</xdr:rowOff>
    </xdr:to>
    <xdr:sp macro="" textlink="">
      <xdr:nvSpPr>
        <xdr:cNvPr id="1856" name="Text Box 12"/>
        <xdr:cNvSpPr txBox="1">
          <a:spLocks noChangeArrowheads="1"/>
        </xdr:cNvSpPr>
      </xdr:nvSpPr>
      <xdr:spPr bwMode="auto">
        <a:xfrm flipH="1">
          <a:off x="4739528" y="1297165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2621168</xdr:colOff>
      <xdr:row>227</xdr:row>
      <xdr:rowOff>34736</xdr:rowOff>
    </xdr:to>
    <xdr:sp macro="" textlink="">
      <xdr:nvSpPr>
        <xdr:cNvPr id="1857" name="Text Box 4"/>
        <xdr:cNvSpPr txBox="1">
          <a:spLocks noChangeArrowheads="1"/>
        </xdr:cNvSpPr>
      </xdr:nvSpPr>
      <xdr:spPr bwMode="auto">
        <a:xfrm flipH="1">
          <a:off x="4739528" y="1298102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255</xdr:row>
      <xdr:rowOff>166913</xdr:rowOff>
    </xdr:from>
    <xdr:to>
      <xdr:col>5</xdr:col>
      <xdr:colOff>0</xdr:colOff>
      <xdr:row>256</xdr:row>
      <xdr:rowOff>23020</xdr:rowOff>
    </xdr:to>
    <xdr:sp macro="" textlink="">
      <xdr:nvSpPr>
        <xdr:cNvPr id="1864" name="Text Box 4"/>
        <xdr:cNvSpPr txBox="1">
          <a:spLocks noChangeArrowheads="1"/>
        </xdr:cNvSpPr>
      </xdr:nvSpPr>
      <xdr:spPr bwMode="auto">
        <a:xfrm flipH="1">
          <a:off x="4972050" y="17940563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3866</xdr:rowOff>
    </xdr:from>
    <xdr:to>
      <xdr:col>5</xdr:col>
      <xdr:colOff>0</xdr:colOff>
      <xdr:row>256</xdr:row>
      <xdr:rowOff>5550</xdr:rowOff>
    </xdr:to>
    <xdr:sp macro="" textlink="">
      <xdr:nvSpPr>
        <xdr:cNvPr id="1865" name="Text Box 12"/>
        <xdr:cNvSpPr txBox="1">
          <a:spLocks noChangeArrowheads="1"/>
        </xdr:cNvSpPr>
      </xdr:nvSpPr>
      <xdr:spPr bwMode="auto">
        <a:xfrm flipH="1">
          <a:off x="4972050" y="17948966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4901</xdr:rowOff>
    </xdr:from>
    <xdr:to>
      <xdr:col>5</xdr:col>
      <xdr:colOff>0</xdr:colOff>
      <xdr:row>256</xdr:row>
      <xdr:rowOff>5203</xdr:rowOff>
    </xdr:to>
    <xdr:sp macro="" textlink="">
      <xdr:nvSpPr>
        <xdr:cNvPr id="1872" name="Text Box 14"/>
        <xdr:cNvSpPr txBox="1">
          <a:spLocks noChangeArrowheads="1"/>
        </xdr:cNvSpPr>
      </xdr:nvSpPr>
      <xdr:spPr bwMode="auto">
        <a:xfrm flipH="1">
          <a:off x="4972050" y="17950001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4901</xdr:rowOff>
    </xdr:from>
    <xdr:to>
      <xdr:col>5</xdr:col>
      <xdr:colOff>0</xdr:colOff>
      <xdr:row>256</xdr:row>
      <xdr:rowOff>5202</xdr:rowOff>
    </xdr:to>
    <xdr:sp macro="" textlink="">
      <xdr:nvSpPr>
        <xdr:cNvPr id="1873" name="Text Box 16"/>
        <xdr:cNvSpPr txBox="1">
          <a:spLocks noChangeArrowheads="1"/>
        </xdr:cNvSpPr>
      </xdr:nvSpPr>
      <xdr:spPr bwMode="auto">
        <a:xfrm flipH="1">
          <a:off x="4972050" y="17950001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1962</xdr:rowOff>
    </xdr:from>
    <xdr:to>
      <xdr:col>5</xdr:col>
      <xdr:colOff>0</xdr:colOff>
      <xdr:row>256</xdr:row>
      <xdr:rowOff>2271</xdr:rowOff>
    </xdr:to>
    <xdr:sp macro="" textlink="">
      <xdr:nvSpPr>
        <xdr:cNvPr id="1874" name="Text Box 12"/>
        <xdr:cNvSpPr txBox="1">
          <a:spLocks noChangeArrowheads="1"/>
        </xdr:cNvSpPr>
      </xdr:nvSpPr>
      <xdr:spPr bwMode="auto">
        <a:xfrm flipH="1">
          <a:off x="4972050" y="17947062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1813</xdr:rowOff>
    </xdr:from>
    <xdr:to>
      <xdr:col>5</xdr:col>
      <xdr:colOff>0</xdr:colOff>
      <xdr:row>256</xdr:row>
      <xdr:rowOff>14857</xdr:rowOff>
    </xdr:to>
    <xdr:sp macro="" textlink="">
      <xdr:nvSpPr>
        <xdr:cNvPr id="1875" name="Text Box 4"/>
        <xdr:cNvSpPr txBox="1">
          <a:spLocks noChangeArrowheads="1"/>
        </xdr:cNvSpPr>
      </xdr:nvSpPr>
      <xdr:spPr bwMode="auto">
        <a:xfrm flipH="1">
          <a:off x="4972050" y="17946913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0</xdr:colOff>
      <xdr:row>227</xdr:row>
      <xdr:rowOff>9525</xdr:rowOff>
    </xdr:to>
    <xdr:sp macro="" textlink="">
      <xdr:nvSpPr>
        <xdr:cNvPr id="1876" name="Text Box 4"/>
        <xdr:cNvSpPr txBox="1">
          <a:spLocks noChangeArrowheads="1"/>
        </xdr:cNvSpPr>
      </xdr:nvSpPr>
      <xdr:spPr bwMode="auto">
        <a:xfrm flipH="1">
          <a:off x="4972050" y="129730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10029</xdr:rowOff>
    </xdr:from>
    <xdr:to>
      <xdr:col>5</xdr:col>
      <xdr:colOff>0</xdr:colOff>
      <xdr:row>227</xdr:row>
      <xdr:rowOff>33129</xdr:rowOff>
    </xdr:to>
    <xdr:sp macro="" textlink="">
      <xdr:nvSpPr>
        <xdr:cNvPr id="1877" name="Text Box 12"/>
        <xdr:cNvSpPr txBox="1">
          <a:spLocks noChangeArrowheads="1"/>
        </xdr:cNvSpPr>
      </xdr:nvSpPr>
      <xdr:spPr bwMode="auto">
        <a:xfrm flipH="1">
          <a:off x="4972050" y="1298307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34377</xdr:rowOff>
    </xdr:to>
    <xdr:sp macro="" textlink="">
      <xdr:nvSpPr>
        <xdr:cNvPr id="1884" name="Text Box 14"/>
        <xdr:cNvSpPr txBox="1">
          <a:spLocks noChangeArrowheads="1"/>
        </xdr:cNvSpPr>
      </xdr:nvSpPr>
      <xdr:spPr bwMode="auto">
        <a:xfrm flipH="1">
          <a:off x="4972050" y="1298411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34376</xdr:rowOff>
    </xdr:to>
    <xdr:sp macro="" textlink="">
      <xdr:nvSpPr>
        <xdr:cNvPr id="1885" name="Text Box 16"/>
        <xdr:cNvSpPr txBox="1">
          <a:spLocks noChangeArrowheads="1"/>
        </xdr:cNvSpPr>
      </xdr:nvSpPr>
      <xdr:spPr bwMode="auto">
        <a:xfrm flipH="1">
          <a:off x="4972050" y="1298411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226</xdr:row>
      <xdr:rowOff>170050</xdr:rowOff>
    </xdr:from>
    <xdr:to>
      <xdr:col>5</xdr:col>
      <xdr:colOff>0</xdr:colOff>
      <xdr:row>227</xdr:row>
      <xdr:rowOff>3063</xdr:rowOff>
    </xdr:to>
    <xdr:sp macro="" textlink="">
      <xdr:nvSpPr>
        <xdr:cNvPr id="1892" name="Text Box 12"/>
        <xdr:cNvSpPr txBox="1">
          <a:spLocks noChangeArrowheads="1"/>
        </xdr:cNvSpPr>
      </xdr:nvSpPr>
      <xdr:spPr bwMode="auto">
        <a:xfrm flipH="1">
          <a:off x="4972050" y="1297165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7976</xdr:rowOff>
    </xdr:from>
    <xdr:to>
      <xdr:col>5</xdr:col>
      <xdr:colOff>0</xdr:colOff>
      <xdr:row>227</xdr:row>
      <xdr:rowOff>34736</xdr:rowOff>
    </xdr:to>
    <xdr:sp macro="" textlink="">
      <xdr:nvSpPr>
        <xdr:cNvPr id="1893" name="Text Box 4"/>
        <xdr:cNvSpPr txBox="1">
          <a:spLocks noChangeArrowheads="1"/>
        </xdr:cNvSpPr>
      </xdr:nvSpPr>
      <xdr:spPr bwMode="auto">
        <a:xfrm flipH="1">
          <a:off x="4972050" y="1298102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0</xdr:colOff>
      <xdr:row>227</xdr:row>
      <xdr:rowOff>9525</xdr:rowOff>
    </xdr:to>
    <xdr:sp macro="" textlink="">
      <xdr:nvSpPr>
        <xdr:cNvPr id="1894" name="Text Box 4"/>
        <xdr:cNvSpPr txBox="1">
          <a:spLocks noChangeArrowheads="1"/>
        </xdr:cNvSpPr>
      </xdr:nvSpPr>
      <xdr:spPr bwMode="auto">
        <a:xfrm flipH="1">
          <a:off x="4972050" y="129730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10029</xdr:rowOff>
    </xdr:from>
    <xdr:to>
      <xdr:col>5</xdr:col>
      <xdr:colOff>0</xdr:colOff>
      <xdr:row>227</xdr:row>
      <xdr:rowOff>33129</xdr:rowOff>
    </xdr:to>
    <xdr:sp macro="" textlink="">
      <xdr:nvSpPr>
        <xdr:cNvPr id="1895" name="Text Box 12"/>
        <xdr:cNvSpPr txBox="1">
          <a:spLocks noChangeArrowheads="1"/>
        </xdr:cNvSpPr>
      </xdr:nvSpPr>
      <xdr:spPr bwMode="auto">
        <a:xfrm flipH="1">
          <a:off x="4972050" y="1298307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34377</xdr:rowOff>
    </xdr:to>
    <xdr:sp macro="" textlink="">
      <xdr:nvSpPr>
        <xdr:cNvPr id="1902" name="Text Box 14"/>
        <xdr:cNvSpPr txBox="1">
          <a:spLocks noChangeArrowheads="1"/>
        </xdr:cNvSpPr>
      </xdr:nvSpPr>
      <xdr:spPr bwMode="auto">
        <a:xfrm flipH="1">
          <a:off x="4972050" y="1298411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34376</xdr:rowOff>
    </xdr:to>
    <xdr:sp macro="" textlink="">
      <xdr:nvSpPr>
        <xdr:cNvPr id="1903" name="Text Box 16"/>
        <xdr:cNvSpPr txBox="1">
          <a:spLocks noChangeArrowheads="1"/>
        </xdr:cNvSpPr>
      </xdr:nvSpPr>
      <xdr:spPr bwMode="auto">
        <a:xfrm flipH="1">
          <a:off x="4972050" y="1298411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226</xdr:row>
      <xdr:rowOff>170050</xdr:rowOff>
    </xdr:from>
    <xdr:to>
      <xdr:col>5</xdr:col>
      <xdr:colOff>0</xdr:colOff>
      <xdr:row>227</xdr:row>
      <xdr:rowOff>3063</xdr:rowOff>
    </xdr:to>
    <xdr:sp macro="" textlink="">
      <xdr:nvSpPr>
        <xdr:cNvPr id="1910" name="Text Box 12"/>
        <xdr:cNvSpPr txBox="1">
          <a:spLocks noChangeArrowheads="1"/>
        </xdr:cNvSpPr>
      </xdr:nvSpPr>
      <xdr:spPr bwMode="auto">
        <a:xfrm flipH="1">
          <a:off x="4972050" y="1297165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7976</xdr:rowOff>
    </xdr:from>
    <xdr:to>
      <xdr:col>5</xdr:col>
      <xdr:colOff>0</xdr:colOff>
      <xdr:row>227</xdr:row>
      <xdr:rowOff>34736</xdr:rowOff>
    </xdr:to>
    <xdr:sp macro="" textlink="">
      <xdr:nvSpPr>
        <xdr:cNvPr id="1911" name="Text Box 4"/>
        <xdr:cNvSpPr txBox="1">
          <a:spLocks noChangeArrowheads="1"/>
        </xdr:cNvSpPr>
      </xdr:nvSpPr>
      <xdr:spPr bwMode="auto">
        <a:xfrm flipH="1">
          <a:off x="4972050" y="1298102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255</xdr:row>
      <xdr:rowOff>166913</xdr:rowOff>
    </xdr:from>
    <xdr:to>
      <xdr:col>4</xdr:col>
      <xdr:colOff>2621168</xdr:colOff>
      <xdr:row>256</xdr:row>
      <xdr:rowOff>23020</xdr:rowOff>
    </xdr:to>
    <xdr:sp macro="" textlink="">
      <xdr:nvSpPr>
        <xdr:cNvPr id="1912" name="Text Box 4"/>
        <xdr:cNvSpPr txBox="1">
          <a:spLocks noChangeArrowheads="1"/>
        </xdr:cNvSpPr>
      </xdr:nvSpPr>
      <xdr:spPr bwMode="auto">
        <a:xfrm flipH="1">
          <a:off x="4739528" y="17940563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3866</xdr:rowOff>
    </xdr:from>
    <xdr:to>
      <xdr:col>4</xdr:col>
      <xdr:colOff>2621168</xdr:colOff>
      <xdr:row>256</xdr:row>
      <xdr:rowOff>5550</xdr:rowOff>
    </xdr:to>
    <xdr:sp macro="" textlink="">
      <xdr:nvSpPr>
        <xdr:cNvPr id="1913" name="Text Box 12"/>
        <xdr:cNvSpPr txBox="1">
          <a:spLocks noChangeArrowheads="1"/>
        </xdr:cNvSpPr>
      </xdr:nvSpPr>
      <xdr:spPr bwMode="auto">
        <a:xfrm flipH="1">
          <a:off x="4739528" y="17948966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2621168</xdr:colOff>
      <xdr:row>256</xdr:row>
      <xdr:rowOff>5203</xdr:rowOff>
    </xdr:to>
    <xdr:sp macro="" textlink="">
      <xdr:nvSpPr>
        <xdr:cNvPr id="1914" name="Text Box 14"/>
        <xdr:cNvSpPr txBox="1">
          <a:spLocks noChangeArrowheads="1"/>
        </xdr:cNvSpPr>
      </xdr:nvSpPr>
      <xdr:spPr bwMode="auto">
        <a:xfrm flipH="1">
          <a:off x="4739528" y="17950001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2621168</xdr:colOff>
      <xdr:row>256</xdr:row>
      <xdr:rowOff>5202</xdr:rowOff>
    </xdr:to>
    <xdr:sp macro="" textlink="">
      <xdr:nvSpPr>
        <xdr:cNvPr id="1915" name="Text Box 16"/>
        <xdr:cNvSpPr txBox="1">
          <a:spLocks noChangeArrowheads="1"/>
        </xdr:cNvSpPr>
      </xdr:nvSpPr>
      <xdr:spPr bwMode="auto">
        <a:xfrm flipH="1">
          <a:off x="4739528" y="17950001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1962</xdr:rowOff>
    </xdr:from>
    <xdr:to>
      <xdr:col>4</xdr:col>
      <xdr:colOff>2621168</xdr:colOff>
      <xdr:row>256</xdr:row>
      <xdr:rowOff>2271</xdr:rowOff>
    </xdr:to>
    <xdr:sp macro="" textlink="">
      <xdr:nvSpPr>
        <xdr:cNvPr id="1916" name="Text Box 12"/>
        <xdr:cNvSpPr txBox="1">
          <a:spLocks noChangeArrowheads="1"/>
        </xdr:cNvSpPr>
      </xdr:nvSpPr>
      <xdr:spPr bwMode="auto">
        <a:xfrm flipH="1">
          <a:off x="4739528" y="17947062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1813</xdr:rowOff>
    </xdr:from>
    <xdr:to>
      <xdr:col>4</xdr:col>
      <xdr:colOff>2621168</xdr:colOff>
      <xdr:row>256</xdr:row>
      <xdr:rowOff>14857</xdr:rowOff>
    </xdr:to>
    <xdr:sp macro="" textlink="">
      <xdr:nvSpPr>
        <xdr:cNvPr id="1917" name="Text Box 4"/>
        <xdr:cNvSpPr txBox="1">
          <a:spLocks noChangeArrowheads="1"/>
        </xdr:cNvSpPr>
      </xdr:nvSpPr>
      <xdr:spPr bwMode="auto">
        <a:xfrm flipH="1">
          <a:off x="4739528" y="17946913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28575</xdr:colOff>
      <xdr:row>227</xdr:row>
      <xdr:rowOff>9525</xdr:rowOff>
    </xdr:to>
    <xdr:sp macro="" textlink="">
      <xdr:nvSpPr>
        <xdr:cNvPr id="1918" name="Text Box 4"/>
        <xdr:cNvSpPr txBox="1">
          <a:spLocks noChangeArrowheads="1"/>
        </xdr:cNvSpPr>
      </xdr:nvSpPr>
      <xdr:spPr bwMode="auto">
        <a:xfrm flipH="1">
          <a:off x="4972050" y="129730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2621168</xdr:colOff>
      <xdr:row>227</xdr:row>
      <xdr:rowOff>33129</xdr:rowOff>
    </xdr:to>
    <xdr:sp macro="" textlink="">
      <xdr:nvSpPr>
        <xdr:cNvPr id="1919" name="Text Box 12"/>
        <xdr:cNvSpPr txBox="1">
          <a:spLocks noChangeArrowheads="1"/>
        </xdr:cNvSpPr>
      </xdr:nvSpPr>
      <xdr:spPr bwMode="auto">
        <a:xfrm flipH="1">
          <a:off x="4739528" y="1298307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34377</xdr:rowOff>
    </xdr:to>
    <xdr:sp macro="" textlink="">
      <xdr:nvSpPr>
        <xdr:cNvPr id="1920" name="Text Box 14"/>
        <xdr:cNvSpPr txBox="1">
          <a:spLocks noChangeArrowheads="1"/>
        </xdr:cNvSpPr>
      </xdr:nvSpPr>
      <xdr:spPr bwMode="auto">
        <a:xfrm flipH="1">
          <a:off x="4739528" y="1298411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34376</xdr:rowOff>
    </xdr:to>
    <xdr:sp macro="" textlink="">
      <xdr:nvSpPr>
        <xdr:cNvPr id="1921" name="Text Box 16"/>
        <xdr:cNvSpPr txBox="1">
          <a:spLocks noChangeArrowheads="1"/>
        </xdr:cNvSpPr>
      </xdr:nvSpPr>
      <xdr:spPr bwMode="auto">
        <a:xfrm flipH="1">
          <a:off x="4739528" y="1298411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2621168</xdr:colOff>
      <xdr:row>227</xdr:row>
      <xdr:rowOff>3063</xdr:rowOff>
    </xdr:to>
    <xdr:sp macro="" textlink="">
      <xdr:nvSpPr>
        <xdr:cNvPr id="1922" name="Text Box 12"/>
        <xdr:cNvSpPr txBox="1">
          <a:spLocks noChangeArrowheads="1"/>
        </xdr:cNvSpPr>
      </xdr:nvSpPr>
      <xdr:spPr bwMode="auto">
        <a:xfrm flipH="1">
          <a:off x="4739528" y="1297165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2621168</xdr:colOff>
      <xdr:row>227</xdr:row>
      <xdr:rowOff>34736</xdr:rowOff>
    </xdr:to>
    <xdr:sp macro="" textlink="">
      <xdr:nvSpPr>
        <xdr:cNvPr id="1923" name="Text Box 4"/>
        <xdr:cNvSpPr txBox="1">
          <a:spLocks noChangeArrowheads="1"/>
        </xdr:cNvSpPr>
      </xdr:nvSpPr>
      <xdr:spPr bwMode="auto">
        <a:xfrm flipH="1">
          <a:off x="4739528" y="1298102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28575</xdr:colOff>
      <xdr:row>227</xdr:row>
      <xdr:rowOff>9525</xdr:rowOff>
    </xdr:to>
    <xdr:sp macro="" textlink="">
      <xdr:nvSpPr>
        <xdr:cNvPr id="1924" name="Text Box 4"/>
        <xdr:cNvSpPr txBox="1">
          <a:spLocks noChangeArrowheads="1"/>
        </xdr:cNvSpPr>
      </xdr:nvSpPr>
      <xdr:spPr bwMode="auto">
        <a:xfrm flipH="1">
          <a:off x="4972050" y="129730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2621168</xdr:colOff>
      <xdr:row>227</xdr:row>
      <xdr:rowOff>33129</xdr:rowOff>
    </xdr:to>
    <xdr:sp macro="" textlink="">
      <xdr:nvSpPr>
        <xdr:cNvPr id="1925" name="Text Box 12"/>
        <xdr:cNvSpPr txBox="1">
          <a:spLocks noChangeArrowheads="1"/>
        </xdr:cNvSpPr>
      </xdr:nvSpPr>
      <xdr:spPr bwMode="auto">
        <a:xfrm flipH="1">
          <a:off x="4739528" y="1298307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34377</xdr:rowOff>
    </xdr:to>
    <xdr:sp macro="" textlink="">
      <xdr:nvSpPr>
        <xdr:cNvPr id="1926" name="Text Box 14"/>
        <xdr:cNvSpPr txBox="1">
          <a:spLocks noChangeArrowheads="1"/>
        </xdr:cNvSpPr>
      </xdr:nvSpPr>
      <xdr:spPr bwMode="auto">
        <a:xfrm flipH="1">
          <a:off x="4739528" y="1298411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34376</xdr:rowOff>
    </xdr:to>
    <xdr:sp macro="" textlink="">
      <xdr:nvSpPr>
        <xdr:cNvPr id="1927" name="Text Box 16"/>
        <xdr:cNvSpPr txBox="1">
          <a:spLocks noChangeArrowheads="1"/>
        </xdr:cNvSpPr>
      </xdr:nvSpPr>
      <xdr:spPr bwMode="auto">
        <a:xfrm flipH="1">
          <a:off x="4739528" y="1298411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2621168</xdr:colOff>
      <xdr:row>227</xdr:row>
      <xdr:rowOff>3063</xdr:rowOff>
    </xdr:to>
    <xdr:sp macro="" textlink="">
      <xdr:nvSpPr>
        <xdr:cNvPr id="1928" name="Text Box 12"/>
        <xdr:cNvSpPr txBox="1">
          <a:spLocks noChangeArrowheads="1"/>
        </xdr:cNvSpPr>
      </xdr:nvSpPr>
      <xdr:spPr bwMode="auto">
        <a:xfrm flipH="1">
          <a:off x="4739528" y="1297165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2621168</xdr:colOff>
      <xdr:row>227</xdr:row>
      <xdr:rowOff>34736</xdr:rowOff>
    </xdr:to>
    <xdr:sp macro="" textlink="">
      <xdr:nvSpPr>
        <xdr:cNvPr id="1929" name="Text Box 4"/>
        <xdr:cNvSpPr txBox="1">
          <a:spLocks noChangeArrowheads="1"/>
        </xdr:cNvSpPr>
      </xdr:nvSpPr>
      <xdr:spPr bwMode="auto">
        <a:xfrm flipH="1">
          <a:off x="4739528" y="1298102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255</xdr:row>
      <xdr:rowOff>166913</xdr:rowOff>
    </xdr:from>
    <xdr:to>
      <xdr:col>5</xdr:col>
      <xdr:colOff>0</xdr:colOff>
      <xdr:row>256</xdr:row>
      <xdr:rowOff>23020</xdr:rowOff>
    </xdr:to>
    <xdr:sp macro="" textlink="">
      <xdr:nvSpPr>
        <xdr:cNvPr id="1930" name="Text Box 4"/>
        <xdr:cNvSpPr txBox="1">
          <a:spLocks noChangeArrowheads="1"/>
        </xdr:cNvSpPr>
      </xdr:nvSpPr>
      <xdr:spPr bwMode="auto">
        <a:xfrm flipH="1">
          <a:off x="4972050" y="17940563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3866</xdr:rowOff>
    </xdr:from>
    <xdr:to>
      <xdr:col>5</xdr:col>
      <xdr:colOff>0</xdr:colOff>
      <xdr:row>256</xdr:row>
      <xdr:rowOff>5550</xdr:rowOff>
    </xdr:to>
    <xdr:sp macro="" textlink="">
      <xdr:nvSpPr>
        <xdr:cNvPr id="1931" name="Text Box 12"/>
        <xdr:cNvSpPr txBox="1">
          <a:spLocks noChangeArrowheads="1"/>
        </xdr:cNvSpPr>
      </xdr:nvSpPr>
      <xdr:spPr bwMode="auto">
        <a:xfrm flipH="1">
          <a:off x="4972050" y="17948966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4901</xdr:rowOff>
    </xdr:from>
    <xdr:to>
      <xdr:col>5</xdr:col>
      <xdr:colOff>0</xdr:colOff>
      <xdr:row>256</xdr:row>
      <xdr:rowOff>5203</xdr:rowOff>
    </xdr:to>
    <xdr:sp macro="" textlink="">
      <xdr:nvSpPr>
        <xdr:cNvPr id="1932" name="Text Box 14"/>
        <xdr:cNvSpPr txBox="1">
          <a:spLocks noChangeArrowheads="1"/>
        </xdr:cNvSpPr>
      </xdr:nvSpPr>
      <xdr:spPr bwMode="auto">
        <a:xfrm flipH="1">
          <a:off x="4972050" y="17950001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4901</xdr:rowOff>
    </xdr:from>
    <xdr:to>
      <xdr:col>5</xdr:col>
      <xdr:colOff>0</xdr:colOff>
      <xdr:row>256</xdr:row>
      <xdr:rowOff>5202</xdr:rowOff>
    </xdr:to>
    <xdr:sp macro="" textlink="">
      <xdr:nvSpPr>
        <xdr:cNvPr id="1933" name="Text Box 16"/>
        <xdr:cNvSpPr txBox="1">
          <a:spLocks noChangeArrowheads="1"/>
        </xdr:cNvSpPr>
      </xdr:nvSpPr>
      <xdr:spPr bwMode="auto">
        <a:xfrm flipH="1">
          <a:off x="4972050" y="17950001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1962</xdr:rowOff>
    </xdr:from>
    <xdr:to>
      <xdr:col>5</xdr:col>
      <xdr:colOff>0</xdr:colOff>
      <xdr:row>256</xdr:row>
      <xdr:rowOff>2271</xdr:rowOff>
    </xdr:to>
    <xdr:sp macro="" textlink="">
      <xdr:nvSpPr>
        <xdr:cNvPr id="1934" name="Text Box 12"/>
        <xdr:cNvSpPr txBox="1">
          <a:spLocks noChangeArrowheads="1"/>
        </xdr:cNvSpPr>
      </xdr:nvSpPr>
      <xdr:spPr bwMode="auto">
        <a:xfrm flipH="1">
          <a:off x="4972050" y="17947062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1813</xdr:rowOff>
    </xdr:from>
    <xdr:to>
      <xdr:col>5</xdr:col>
      <xdr:colOff>0</xdr:colOff>
      <xdr:row>256</xdr:row>
      <xdr:rowOff>14857</xdr:rowOff>
    </xdr:to>
    <xdr:sp macro="" textlink="">
      <xdr:nvSpPr>
        <xdr:cNvPr id="1935" name="Text Box 4"/>
        <xdr:cNvSpPr txBox="1">
          <a:spLocks noChangeArrowheads="1"/>
        </xdr:cNvSpPr>
      </xdr:nvSpPr>
      <xdr:spPr bwMode="auto">
        <a:xfrm flipH="1">
          <a:off x="4972050" y="17946913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0</xdr:colOff>
      <xdr:row>227</xdr:row>
      <xdr:rowOff>9525</xdr:rowOff>
    </xdr:to>
    <xdr:sp macro="" textlink="">
      <xdr:nvSpPr>
        <xdr:cNvPr id="1936" name="Text Box 4"/>
        <xdr:cNvSpPr txBox="1">
          <a:spLocks noChangeArrowheads="1"/>
        </xdr:cNvSpPr>
      </xdr:nvSpPr>
      <xdr:spPr bwMode="auto">
        <a:xfrm flipH="1">
          <a:off x="4972050" y="129730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10029</xdr:rowOff>
    </xdr:from>
    <xdr:to>
      <xdr:col>5</xdr:col>
      <xdr:colOff>0</xdr:colOff>
      <xdr:row>227</xdr:row>
      <xdr:rowOff>33129</xdr:rowOff>
    </xdr:to>
    <xdr:sp macro="" textlink="">
      <xdr:nvSpPr>
        <xdr:cNvPr id="1937" name="Text Box 12"/>
        <xdr:cNvSpPr txBox="1">
          <a:spLocks noChangeArrowheads="1"/>
        </xdr:cNvSpPr>
      </xdr:nvSpPr>
      <xdr:spPr bwMode="auto">
        <a:xfrm flipH="1">
          <a:off x="4972050" y="1298307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34377</xdr:rowOff>
    </xdr:to>
    <xdr:sp macro="" textlink="">
      <xdr:nvSpPr>
        <xdr:cNvPr id="1938" name="Text Box 14"/>
        <xdr:cNvSpPr txBox="1">
          <a:spLocks noChangeArrowheads="1"/>
        </xdr:cNvSpPr>
      </xdr:nvSpPr>
      <xdr:spPr bwMode="auto">
        <a:xfrm flipH="1">
          <a:off x="4972050" y="1298411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34376</xdr:rowOff>
    </xdr:to>
    <xdr:sp macro="" textlink="">
      <xdr:nvSpPr>
        <xdr:cNvPr id="1939" name="Text Box 16"/>
        <xdr:cNvSpPr txBox="1">
          <a:spLocks noChangeArrowheads="1"/>
        </xdr:cNvSpPr>
      </xdr:nvSpPr>
      <xdr:spPr bwMode="auto">
        <a:xfrm flipH="1">
          <a:off x="4972050" y="1298411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226</xdr:row>
      <xdr:rowOff>170050</xdr:rowOff>
    </xdr:from>
    <xdr:to>
      <xdr:col>5</xdr:col>
      <xdr:colOff>0</xdr:colOff>
      <xdr:row>227</xdr:row>
      <xdr:rowOff>3063</xdr:rowOff>
    </xdr:to>
    <xdr:sp macro="" textlink="">
      <xdr:nvSpPr>
        <xdr:cNvPr id="1940" name="Text Box 12"/>
        <xdr:cNvSpPr txBox="1">
          <a:spLocks noChangeArrowheads="1"/>
        </xdr:cNvSpPr>
      </xdr:nvSpPr>
      <xdr:spPr bwMode="auto">
        <a:xfrm flipH="1">
          <a:off x="4972050" y="1297165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7976</xdr:rowOff>
    </xdr:from>
    <xdr:to>
      <xdr:col>5</xdr:col>
      <xdr:colOff>0</xdr:colOff>
      <xdr:row>227</xdr:row>
      <xdr:rowOff>34736</xdr:rowOff>
    </xdr:to>
    <xdr:sp macro="" textlink="">
      <xdr:nvSpPr>
        <xdr:cNvPr id="1941" name="Text Box 4"/>
        <xdr:cNvSpPr txBox="1">
          <a:spLocks noChangeArrowheads="1"/>
        </xdr:cNvSpPr>
      </xdr:nvSpPr>
      <xdr:spPr bwMode="auto">
        <a:xfrm flipH="1">
          <a:off x="4972050" y="1298102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0</xdr:colOff>
      <xdr:row>227</xdr:row>
      <xdr:rowOff>9525</xdr:rowOff>
    </xdr:to>
    <xdr:sp macro="" textlink="">
      <xdr:nvSpPr>
        <xdr:cNvPr id="1942" name="Text Box 4"/>
        <xdr:cNvSpPr txBox="1">
          <a:spLocks noChangeArrowheads="1"/>
        </xdr:cNvSpPr>
      </xdr:nvSpPr>
      <xdr:spPr bwMode="auto">
        <a:xfrm flipH="1">
          <a:off x="4972050" y="129730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10029</xdr:rowOff>
    </xdr:from>
    <xdr:to>
      <xdr:col>5</xdr:col>
      <xdr:colOff>0</xdr:colOff>
      <xdr:row>227</xdr:row>
      <xdr:rowOff>33129</xdr:rowOff>
    </xdr:to>
    <xdr:sp macro="" textlink="">
      <xdr:nvSpPr>
        <xdr:cNvPr id="1949" name="Text Box 12"/>
        <xdr:cNvSpPr txBox="1">
          <a:spLocks noChangeArrowheads="1"/>
        </xdr:cNvSpPr>
      </xdr:nvSpPr>
      <xdr:spPr bwMode="auto">
        <a:xfrm flipH="1">
          <a:off x="4972050" y="1298307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34377</xdr:rowOff>
    </xdr:to>
    <xdr:sp macro="" textlink="">
      <xdr:nvSpPr>
        <xdr:cNvPr id="1950" name="Text Box 14"/>
        <xdr:cNvSpPr txBox="1">
          <a:spLocks noChangeArrowheads="1"/>
        </xdr:cNvSpPr>
      </xdr:nvSpPr>
      <xdr:spPr bwMode="auto">
        <a:xfrm flipH="1">
          <a:off x="4972050" y="1298411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34376</xdr:rowOff>
    </xdr:to>
    <xdr:sp macro="" textlink="">
      <xdr:nvSpPr>
        <xdr:cNvPr id="1951" name="Text Box 16"/>
        <xdr:cNvSpPr txBox="1">
          <a:spLocks noChangeArrowheads="1"/>
        </xdr:cNvSpPr>
      </xdr:nvSpPr>
      <xdr:spPr bwMode="auto">
        <a:xfrm flipH="1">
          <a:off x="4972050" y="1298411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226</xdr:row>
      <xdr:rowOff>170050</xdr:rowOff>
    </xdr:from>
    <xdr:to>
      <xdr:col>5</xdr:col>
      <xdr:colOff>0</xdr:colOff>
      <xdr:row>227</xdr:row>
      <xdr:rowOff>3063</xdr:rowOff>
    </xdr:to>
    <xdr:sp macro="" textlink="">
      <xdr:nvSpPr>
        <xdr:cNvPr id="1958" name="Text Box 12"/>
        <xdr:cNvSpPr txBox="1">
          <a:spLocks noChangeArrowheads="1"/>
        </xdr:cNvSpPr>
      </xdr:nvSpPr>
      <xdr:spPr bwMode="auto">
        <a:xfrm flipH="1">
          <a:off x="4972050" y="1297165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7976</xdr:rowOff>
    </xdr:from>
    <xdr:to>
      <xdr:col>5</xdr:col>
      <xdr:colOff>0</xdr:colOff>
      <xdr:row>227</xdr:row>
      <xdr:rowOff>34736</xdr:rowOff>
    </xdr:to>
    <xdr:sp macro="" textlink="">
      <xdr:nvSpPr>
        <xdr:cNvPr id="1959" name="Text Box 4"/>
        <xdr:cNvSpPr txBox="1">
          <a:spLocks noChangeArrowheads="1"/>
        </xdr:cNvSpPr>
      </xdr:nvSpPr>
      <xdr:spPr bwMode="auto">
        <a:xfrm flipH="1">
          <a:off x="4972050" y="1298102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28575</xdr:colOff>
      <xdr:row>227</xdr:row>
      <xdr:rowOff>9525</xdr:rowOff>
    </xdr:to>
    <xdr:sp macro="" textlink="">
      <xdr:nvSpPr>
        <xdr:cNvPr id="1960" name="Text Box 4"/>
        <xdr:cNvSpPr txBox="1">
          <a:spLocks noChangeArrowheads="1"/>
        </xdr:cNvSpPr>
      </xdr:nvSpPr>
      <xdr:spPr bwMode="auto">
        <a:xfrm flipH="1">
          <a:off x="4972050" y="129730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2621168</xdr:colOff>
      <xdr:row>227</xdr:row>
      <xdr:rowOff>33129</xdr:rowOff>
    </xdr:to>
    <xdr:sp macro="" textlink="">
      <xdr:nvSpPr>
        <xdr:cNvPr id="1967" name="Text Box 12"/>
        <xdr:cNvSpPr txBox="1">
          <a:spLocks noChangeArrowheads="1"/>
        </xdr:cNvSpPr>
      </xdr:nvSpPr>
      <xdr:spPr bwMode="auto">
        <a:xfrm flipH="1">
          <a:off x="4739528" y="1298307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34377</xdr:rowOff>
    </xdr:to>
    <xdr:sp macro="" textlink="">
      <xdr:nvSpPr>
        <xdr:cNvPr id="1968" name="Text Box 14"/>
        <xdr:cNvSpPr txBox="1">
          <a:spLocks noChangeArrowheads="1"/>
        </xdr:cNvSpPr>
      </xdr:nvSpPr>
      <xdr:spPr bwMode="auto">
        <a:xfrm flipH="1">
          <a:off x="4739528" y="1298411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34376</xdr:rowOff>
    </xdr:to>
    <xdr:sp macro="" textlink="">
      <xdr:nvSpPr>
        <xdr:cNvPr id="1975" name="Text Box 16"/>
        <xdr:cNvSpPr txBox="1">
          <a:spLocks noChangeArrowheads="1"/>
        </xdr:cNvSpPr>
      </xdr:nvSpPr>
      <xdr:spPr bwMode="auto">
        <a:xfrm flipH="1">
          <a:off x="4739528" y="1298411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2621168</xdr:colOff>
      <xdr:row>227</xdr:row>
      <xdr:rowOff>3063</xdr:rowOff>
    </xdr:to>
    <xdr:sp macro="" textlink="">
      <xdr:nvSpPr>
        <xdr:cNvPr id="1976" name="Text Box 12"/>
        <xdr:cNvSpPr txBox="1">
          <a:spLocks noChangeArrowheads="1"/>
        </xdr:cNvSpPr>
      </xdr:nvSpPr>
      <xdr:spPr bwMode="auto">
        <a:xfrm flipH="1">
          <a:off x="4739528" y="1297165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2621168</xdr:colOff>
      <xdr:row>227</xdr:row>
      <xdr:rowOff>34736</xdr:rowOff>
    </xdr:to>
    <xdr:sp macro="" textlink="">
      <xdr:nvSpPr>
        <xdr:cNvPr id="1983" name="Text Box 4"/>
        <xdr:cNvSpPr txBox="1">
          <a:spLocks noChangeArrowheads="1"/>
        </xdr:cNvSpPr>
      </xdr:nvSpPr>
      <xdr:spPr bwMode="auto">
        <a:xfrm flipH="1">
          <a:off x="4739528" y="1298102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28575</xdr:colOff>
      <xdr:row>227</xdr:row>
      <xdr:rowOff>9525</xdr:rowOff>
    </xdr:to>
    <xdr:sp macro="" textlink="">
      <xdr:nvSpPr>
        <xdr:cNvPr id="1984" name="Text Box 4"/>
        <xdr:cNvSpPr txBox="1">
          <a:spLocks noChangeArrowheads="1"/>
        </xdr:cNvSpPr>
      </xdr:nvSpPr>
      <xdr:spPr bwMode="auto">
        <a:xfrm flipH="1">
          <a:off x="4972050" y="129730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2621168</xdr:colOff>
      <xdr:row>227</xdr:row>
      <xdr:rowOff>33129</xdr:rowOff>
    </xdr:to>
    <xdr:sp macro="" textlink="">
      <xdr:nvSpPr>
        <xdr:cNvPr id="1991" name="Text Box 12"/>
        <xdr:cNvSpPr txBox="1">
          <a:spLocks noChangeArrowheads="1"/>
        </xdr:cNvSpPr>
      </xdr:nvSpPr>
      <xdr:spPr bwMode="auto">
        <a:xfrm flipH="1">
          <a:off x="4739528" y="1298307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34377</xdr:rowOff>
    </xdr:to>
    <xdr:sp macro="" textlink="">
      <xdr:nvSpPr>
        <xdr:cNvPr id="1992" name="Text Box 14"/>
        <xdr:cNvSpPr txBox="1">
          <a:spLocks noChangeArrowheads="1"/>
        </xdr:cNvSpPr>
      </xdr:nvSpPr>
      <xdr:spPr bwMode="auto">
        <a:xfrm flipH="1">
          <a:off x="4739528" y="1298411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34376</xdr:rowOff>
    </xdr:to>
    <xdr:sp macro="" textlink="">
      <xdr:nvSpPr>
        <xdr:cNvPr id="1999" name="Text Box 16"/>
        <xdr:cNvSpPr txBox="1">
          <a:spLocks noChangeArrowheads="1"/>
        </xdr:cNvSpPr>
      </xdr:nvSpPr>
      <xdr:spPr bwMode="auto">
        <a:xfrm flipH="1">
          <a:off x="4739528" y="1298411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2621168</xdr:colOff>
      <xdr:row>227</xdr:row>
      <xdr:rowOff>3063</xdr:rowOff>
    </xdr:to>
    <xdr:sp macro="" textlink="">
      <xdr:nvSpPr>
        <xdr:cNvPr id="2000" name="Text Box 12"/>
        <xdr:cNvSpPr txBox="1">
          <a:spLocks noChangeArrowheads="1"/>
        </xdr:cNvSpPr>
      </xdr:nvSpPr>
      <xdr:spPr bwMode="auto">
        <a:xfrm flipH="1">
          <a:off x="4739528" y="1297165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2621168</xdr:colOff>
      <xdr:row>227</xdr:row>
      <xdr:rowOff>34736</xdr:rowOff>
    </xdr:to>
    <xdr:sp macro="" textlink="">
      <xdr:nvSpPr>
        <xdr:cNvPr id="2007" name="Text Box 4"/>
        <xdr:cNvSpPr txBox="1">
          <a:spLocks noChangeArrowheads="1"/>
        </xdr:cNvSpPr>
      </xdr:nvSpPr>
      <xdr:spPr bwMode="auto">
        <a:xfrm flipH="1">
          <a:off x="4739528" y="1298102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255</xdr:row>
      <xdr:rowOff>166913</xdr:rowOff>
    </xdr:from>
    <xdr:to>
      <xdr:col>4</xdr:col>
      <xdr:colOff>2621168</xdr:colOff>
      <xdr:row>256</xdr:row>
      <xdr:rowOff>23020</xdr:rowOff>
    </xdr:to>
    <xdr:sp macro="" textlink="">
      <xdr:nvSpPr>
        <xdr:cNvPr id="2008" name="Text Box 4"/>
        <xdr:cNvSpPr txBox="1">
          <a:spLocks noChangeArrowheads="1"/>
        </xdr:cNvSpPr>
      </xdr:nvSpPr>
      <xdr:spPr bwMode="auto">
        <a:xfrm flipH="1">
          <a:off x="4739528" y="17940563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3866</xdr:rowOff>
    </xdr:from>
    <xdr:to>
      <xdr:col>4</xdr:col>
      <xdr:colOff>2621168</xdr:colOff>
      <xdr:row>256</xdr:row>
      <xdr:rowOff>5550</xdr:rowOff>
    </xdr:to>
    <xdr:sp macro="" textlink="">
      <xdr:nvSpPr>
        <xdr:cNvPr id="2015" name="Text Box 12"/>
        <xdr:cNvSpPr txBox="1">
          <a:spLocks noChangeArrowheads="1"/>
        </xdr:cNvSpPr>
      </xdr:nvSpPr>
      <xdr:spPr bwMode="auto">
        <a:xfrm flipH="1">
          <a:off x="4739528" y="17948966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2621168</xdr:colOff>
      <xdr:row>256</xdr:row>
      <xdr:rowOff>5203</xdr:rowOff>
    </xdr:to>
    <xdr:sp macro="" textlink="">
      <xdr:nvSpPr>
        <xdr:cNvPr id="2016" name="Text Box 14"/>
        <xdr:cNvSpPr txBox="1">
          <a:spLocks noChangeArrowheads="1"/>
        </xdr:cNvSpPr>
      </xdr:nvSpPr>
      <xdr:spPr bwMode="auto">
        <a:xfrm flipH="1">
          <a:off x="4739528" y="17950001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2621168</xdr:colOff>
      <xdr:row>256</xdr:row>
      <xdr:rowOff>5202</xdr:rowOff>
    </xdr:to>
    <xdr:sp macro="" textlink="">
      <xdr:nvSpPr>
        <xdr:cNvPr id="2023" name="Text Box 16"/>
        <xdr:cNvSpPr txBox="1">
          <a:spLocks noChangeArrowheads="1"/>
        </xdr:cNvSpPr>
      </xdr:nvSpPr>
      <xdr:spPr bwMode="auto">
        <a:xfrm flipH="1">
          <a:off x="4739528" y="17950001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1962</xdr:rowOff>
    </xdr:from>
    <xdr:to>
      <xdr:col>4</xdr:col>
      <xdr:colOff>2621168</xdr:colOff>
      <xdr:row>256</xdr:row>
      <xdr:rowOff>2271</xdr:rowOff>
    </xdr:to>
    <xdr:sp macro="" textlink="">
      <xdr:nvSpPr>
        <xdr:cNvPr id="2024" name="Text Box 12"/>
        <xdr:cNvSpPr txBox="1">
          <a:spLocks noChangeArrowheads="1"/>
        </xdr:cNvSpPr>
      </xdr:nvSpPr>
      <xdr:spPr bwMode="auto">
        <a:xfrm flipH="1">
          <a:off x="4739528" y="17947062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1813</xdr:rowOff>
    </xdr:from>
    <xdr:to>
      <xdr:col>4</xdr:col>
      <xdr:colOff>2621168</xdr:colOff>
      <xdr:row>256</xdr:row>
      <xdr:rowOff>14857</xdr:rowOff>
    </xdr:to>
    <xdr:sp macro="" textlink="">
      <xdr:nvSpPr>
        <xdr:cNvPr id="2031" name="Text Box 4"/>
        <xdr:cNvSpPr txBox="1">
          <a:spLocks noChangeArrowheads="1"/>
        </xdr:cNvSpPr>
      </xdr:nvSpPr>
      <xdr:spPr bwMode="auto">
        <a:xfrm flipH="1">
          <a:off x="4739528" y="17946913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28575</xdr:colOff>
      <xdr:row>227</xdr:row>
      <xdr:rowOff>9525</xdr:rowOff>
    </xdr:to>
    <xdr:sp macro="" textlink="">
      <xdr:nvSpPr>
        <xdr:cNvPr id="2032" name="Text Box 4"/>
        <xdr:cNvSpPr txBox="1">
          <a:spLocks noChangeArrowheads="1"/>
        </xdr:cNvSpPr>
      </xdr:nvSpPr>
      <xdr:spPr bwMode="auto">
        <a:xfrm flipH="1">
          <a:off x="4972050" y="129730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2621168</xdr:colOff>
      <xdr:row>227</xdr:row>
      <xdr:rowOff>33129</xdr:rowOff>
    </xdr:to>
    <xdr:sp macro="" textlink="">
      <xdr:nvSpPr>
        <xdr:cNvPr id="2039" name="Text Box 12"/>
        <xdr:cNvSpPr txBox="1">
          <a:spLocks noChangeArrowheads="1"/>
        </xdr:cNvSpPr>
      </xdr:nvSpPr>
      <xdr:spPr bwMode="auto">
        <a:xfrm flipH="1">
          <a:off x="4739528" y="1298307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34377</xdr:rowOff>
    </xdr:to>
    <xdr:sp macro="" textlink="">
      <xdr:nvSpPr>
        <xdr:cNvPr id="2040" name="Text Box 14"/>
        <xdr:cNvSpPr txBox="1">
          <a:spLocks noChangeArrowheads="1"/>
        </xdr:cNvSpPr>
      </xdr:nvSpPr>
      <xdr:spPr bwMode="auto">
        <a:xfrm flipH="1">
          <a:off x="4739528" y="1298411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34376</xdr:rowOff>
    </xdr:to>
    <xdr:sp macro="" textlink="">
      <xdr:nvSpPr>
        <xdr:cNvPr id="2047" name="Text Box 16"/>
        <xdr:cNvSpPr txBox="1">
          <a:spLocks noChangeArrowheads="1"/>
        </xdr:cNvSpPr>
      </xdr:nvSpPr>
      <xdr:spPr bwMode="auto">
        <a:xfrm flipH="1">
          <a:off x="4739528" y="1298411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2621168</xdr:colOff>
      <xdr:row>227</xdr:row>
      <xdr:rowOff>3063</xdr:rowOff>
    </xdr:to>
    <xdr:sp macro="" textlink="">
      <xdr:nvSpPr>
        <xdr:cNvPr id="2048" name="Text Box 12"/>
        <xdr:cNvSpPr txBox="1">
          <a:spLocks noChangeArrowheads="1"/>
        </xdr:cNvSpPr>
      </xdr:nvSpPr>
      <xdr:spPr bwMode="auto">
        <a:xfrm flipH="1">
          <a:off x="4739528" y="1297165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2621168</xdr:colOff>
      <xdr:row>227</xdr:row>
      <xdr:rowOff>34736</xdr:rowOff>
    </xdr:to>
    <xdr:sp macro="" textlink="">
      <xdr:nvSpPr>
        <xdr:cNvPr id="2055" name="Text Box 4"/>
        <xdr:cNvSpPr txBox="1">
          <a:spLocks noChangeArrowheads="1"/>
        </xdr:cNvSpPr>
      </xdr:nvSpPr>
      <xdr:spPr bwMode="auto">
        <a:xfrm flipH="1">
          <a:off x="4739528" y="1298102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28575</xdr:colOff>
      <xdr:row>227</xdr:row>
      <xdr:rowOff>9525</xdr:rowOff>
    </xdr:to>
    <xdr:sp macro="" textlink="">
      <xdr:nvSpPr>
        <xdr:cNvPr id="2056" name="Text Box 4"/>
        <xdr:cNvSpPr txBox="1">
          <a:spLocks noChangeArrowheads="1"/>
        </xdr:cNvSpPr>
      </xdr:nvSpPr>
      <xdr:spPr bwMode="auto">
        <a:xfrm flipH="1">
          <a:off x="4972050" y="129730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2621168</xdr:colOff>
      <xdr:row>227</xdr:row>
      <xdr:rowOff>33129</xdr:rowOff>
    </xdr:to>
    <xdr:sp macro="" textlink="">
      <xdr:nvSpPr>
        <xdr:cNvPr id="2063" name="Text Box 12"/>
        <xdr:cNvSpPr txBox="1">
          <a:spLocks noChangeArrowheads="1"/>
        </xdr:cNvSpPr>
      </xdr:nvSpPr>
      <xdr:spPr bwMode="auto">
        <a:xfrm flipH="1">
          <a:off x="4739528" y="1298307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34377</xdr:rowOff>
    </xdr:to>
    <xdr:sp macro="" textlink="">
      <xdr:nvSpPr>
        <xdr:cNvPr id="2064" name="Text Box 14"/>
        <xdr:cNvSpPr txBox="1">
          <a:spLocks noChangeArrowheads="1"/>
        </xdr:cNvSpPr>
      </xdr:nvSpPr>
      <xdr:spPr bwMode="auto">
        <a:xfrm flipH="1">
          <a:off x="4739528" y="1298411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34376</xdr:rowOff>
    </xdr:to>
    <xdr:sp macro="" textlink="">
      <xdr:nvSpPr>
        <xdr:cNvPr id="2065" name="Text Box 16"/>
        <xdr:cNvSpPr txBox="1">
          <a:spLocks noChangeArrowheads="1"/>
        </xdr:cNvSpPr>
      </xdr:nvSpPr>
      <xdr:spPr bwMode="auto">
        <a:xfrm flipH="1">
          <a:off x="4739528" y="1298411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2621168</xdr:colOff>
      <xdr:row>227</xdr:row>
      <xdr:rowOff>3063</xdr:rowOff>
    </xdr:to>
    <xdr:sp macro="" textlink="">
      <xdr:nvSpPr>
        <xdr:cNvPr id="2072" name="Text Box 12"/>
        <xdr:cNvSpPr txBox="1">
          <a:spLocks noChangeArrowheads="1"/>
        </xdr:cNvSpPr>
      </xdr:nvSpPr>
      <xdr:spPr bwMode="auto">
        <a:xfrm flipH="1">
          <a:off x="4739528" y="1297165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2621168</xdr:colOff>
      <xdr:row>227</xdr:row>
      <xdr:rowOff>34736</xdr:rowOff>
    </xdr:to>
    <xdr:sp macro="" textlink="">
      <xdr:nvSpPr>
        <xdr:cNvPr id="2073" name="Text Box 4"/>
        <xdr:cNvSpPr txBox="1">
          <a:spLocks noChangeArrowheads="1"/>
        </xdr:cNvSpPr>
      </xdr:nvSpPr>
      <xdr:spPr bwMode="auto">
        <a:xfrm flipH="1">
          <a:off x="4739528" y="1298102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255</xdr:row>
      <xdr:rowOff>166913</xdr:rowOff>
    </xdr:from>
    <xdr:to>
      <xdr:col>5</xdr:col>
      <xdr:colOff>0</xdr:colOff>
      <xdr:row>256</xdr:row>
      <xdr:rowOff>23020</xdr:rowOff>
    </xdr:to>
    <xdr:sp macro="" textlink="">
      <xdr:nvSpPr>
        <xdr:cNvPr id="2074" name="Text Box 4"/>
        <xdr:cNvSpPr txBox="1">
          <a:spLocks noChangeArrowheads="1"/>
        </xdr:cNvSpPr>
      </xdr:nvSpPr>
      <xdr:spPr bwMode="auto">
        <a:xfrm flipH="1">
          <a:off x="4972050" y="17940563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3866</xdr:rowOff>
    </xdr:from>
    <xdr:to>
      <xdr:col>5</xdr:col>
      <xdr:colOff>0</xdr:colOff>
      <xdr:row>256</xdr:row>
      <xdr:rowOff>5550</xdr:rowOff>
    </xdr:to>
    <xdr:sp macro="" textlink="">
      <xdr:nvSpPr>
        <xdr:cNvPr id="2081" name="Text Box 12"/>
        <xdr:cNvSpPr txBox="1">
          <a:spLocks noChangeArrowheads="1"/>
        </xdr:cNvSpPr>
      </xdr:nvSpPr>
      <xdr:spPr bwMode="auto">
        <a:xfrm flipH="1">
          <a:off x="4972050" y="17948966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4901</xdr:rowOff>
    </xdr:from>
    <xdr:to>
      <xdr:col>5</xdr:col>
      <xdr:colOff>0</xdr:colOff>
      <xdr:row>256</xdr:row>
      <xdr:rowOff>5203</xdr:rowOff>
    </xdr:to>
    <xdr:sp macro="" textlink="">
      <xdr:nvSpPr>
        <xdr:cNvPr id="2082" name="Text Box 14"/>
        <xdr:cNvSpPr txBox="1">
          <a:spLocks noChangeArrowheads="1"/>
        </xdr:cNvSpPr>
      </xdr:nvSpPr>
      <xdr:spPr bwMode="auto">
        <a:xfrm flipH="1">
          <a:off x="4972050" y="17950001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4901</xdr:rowOff>
    </xdr:from>
    <xdr:to>
      <xdr:col>5</xdr:col>
      <xdr:colOff>0</xdr:colOff>
      <xdr:row>256</xdr:row>
      <xdr:rowOff>5202</xdr:rowOff>
    </xdr:to>
    <xdr:sp macro="" textlink="">
      <xdr:nvSpPr>
        <xdr:cNvPr id="2083" name="Text Box 16"/>
        <xdr:cNvSpPr txBox="1">
          <a:spLocks noChangeArrowheads="1"/>
        </xdr:cNvSpPr>
      </xdr:nvSpPr>
      <xdr:spPr bwMode="auto">
        <a:xfrm flipH="1">
          <a:off x="4972050" y="17950001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1962</xdr:rowOff>
    </xdr:from>
    <xdr:to>
      <xdr:col>5</xdr:col>
      <xdr:colOff>0</xdr:colOff>
      <xdr:row>256</xdr:row>
      <xdr:rowOff>2271</xdr:rowOff>
    </xdr:to>
    <xdr:sp macro="" textlink="">
      <xdr:nvSpPr>
        <xdr:cNvPr id="2090" name="Text Box 12"/>
        <xdr:cNvSpPr txBox="1">
          <a:spLocks noChangeArrowheads="1"/>
        </xdr:cNvSpPr>
      </xdr:nvSpPr>
      <xdr:spPr bwMode="auto">
        <a:xfrm flipH="1">
          <a:off x="4972050" y="17947062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1813</xdr:rowOff>
    </xdr:from>
    <xdr:to>
      <xdr:col>5</xdr:col>
      <xdr:colOff>0</xdr:colOff>
      <xdr:row>256</xdr:row>
      <xdr:rowOff>14857</xdr:rowOff>
    </xdr:to>
    <xdr:sp macro="" textlink="">
      <xdr:nvSpPr>
        <xdr:cNvPr id="2091" name="Text Box 4"/>
        <xdr:cNvSpPr txBox="1">
          <a:spLocks noChangeArrowheads="1"/>
        </xdr:cNvSpPr>
      </xdr:nvSpPr>
      <xdr:spPr bwMode="auto">
        <a:xfrm flipH="1">
          <a:off x="4972050" y="17946913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0</xdr:colOff>
      <xdr:row>227</xdr:row>
      <xdr:rowOff>9525</xdr:rowOff>
    </xdr:to>
    <xdr:sp macro="" textlink="">
      <xdr:nvSpPr>
        <xdr:cNvPr id="2092" name="Text Box 4"/>
        <xdr:cNvSpPr txBox="1">
          <a:spLocks noChangeArrowheads="1"/>
        </xdr:cNvSpPr>
      </xdr:nvSpPr>
      <xdr:spPr bwMode="auto">
        <a:xfrm flipH="1">
          <a:off x="4972050" y="129730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10029</xdr:rowOff>
    </xdr:from>
    <xdr:to>
      <xdr:col>5</xdr:col>
      <xdr:colOff>0</xdr:colOff>
      <xdr:row>227</xdr:row>
      <xdr:rowOff>33129</xdr:rowOff>
    </xdr:to>
    <xdr:sp macro="" textlink="">
      <xdr:nvSpPr>
        <xdr:cNvPr id="2093" name="Text Box 12"/>
        <xdr:cNvSpPr txBox="1">
          <a:spLocks noChangeArrowheads="1"/>
        </xdr:cNvSpPr>
      </xdr:nvSpPr>
      <xdr:spPr bwMode="auto">
        <a:xfrm flipH="1">
          <a:off x="4972050" y="1298307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34377</xdr:rowOff>
    </xdr:to>
    <xdr:sp macro="" textlink="">
      <xdr:nvSpPr>
        <xdr:cNvPr id="2094" name="Text Box 14"/>
        <xdr:cNvSpPr txBox="1">
          <a:spLocks noChangeArrowheads="1"/>
        </xdr:cNvSpPr>
      </xdr:nvSpPr>
      <xdr:spPr bwMode="auto">
        <a:xfrm flipH="1">
          <a:off x="4972050" y="1298411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34376</xdr:rowOff>
    </xdr:to>
    <xdr:sp macro="" textlink="">
      <xdr:nvSpPr>
        <xdr:cNvPr id="2095" name="Text Box 16"/>
        <xdr:cNvSpPr txBox="1">
          <a:spLocks noChangeArrowheads="1"/>
        </xdr:cNvSpPr>
      </xdr:nvSpPr>
      <xdr:spPr bwMode="auto">
        <a:xfrm flipH="1">
          <a:off x="4972050" y="1298411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226</xdr:row>
      <xdr:rowOff>170050</xdr:rowOff>
    </xdr:from>
    <xdr:to>
      <xdr:col>5</xdr:col>
      <xdr:colOff>0</xdr:colOff>
      <xdr:row>227</xdr:row>
      <xdr:rowOff>3063</xdr:rowOff>
    </xdr:to>
    <xdr:sp macro="" textlink="">
      <xdr:nvSpPr>
        <xdr:cNvPr id="2096" name="Text Box 12"/>
        <xdr:cNvSpPr txBox="1">
          <a:spLocks noChangeArrowheads="1"/>
        </xdr:cNvSpPr>
      </xdr:nvSpPr>
      <xdr:spPr bwMode="auto">
        <a:xfrm flipH="1">
          <a:off x="4972050" y="1297165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7976</xdr:rowOff>
    </xdr:from>
    <xdr:to>
      <xdr:col>5</xdr:col>
      <xdr:colOff>0</xdr:colOff>
      <xdr:row>227</xdr:row>
      <xdr:rowOff>34736</xdr:rowOff>
    </xdr:to>
    <xdr:sp macro="" textlink="">
      <xdr:nvSpPr>
        <xdr:cNvPr id="2097" name="Text Box 4"/>
        <xdr:cNvSpPr txBox="1">
          <a:spLocks noChangeArrowheads="1"/>
        </xdr:cNvSpPr>
      </xdr:nvSpPr>
      <xdr:spPr bwMode="auto">
        <a:xfrm flipH="1">
          <a:off x="4972050" y="1298102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0</xdr:colOff>
      <xdr:row>227</xdr:row>
      <xdr:rowOff>9525</xdr:rowOff>
    </xdr:to>
    <xdr:sp macro="" textlink="">
      <xdr:nvSpPr>
        <xdr:cNvPr id="2098" name="Text Box 4"/>
        <xdr:cNvSpPr txBox="1">
          <a:spLocks noChangeArrowheads="1"/>
        </xdr:cNvSpPr>
      </xdr:nvSpPr>
      <xdr:spPr bwMode="auto">
        <a:xfrm flipH="1">
          <a:off x="4972050" y="129730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10029</xdr:rowOff>
    </xdr:from>
    <xdr:to>
      <xdr:col>5</xdr:col>
      <xdr:colOff>0</xdr:colOff>
      <xdr:row>227</xdr:row>
      <xdr:rowOff>33129</xdr:rowOff>
    </xdr:to>
    <xdr:sp macro="" textlink="">
      <xdr:nvSpPr>
        <xdr:cNvPr id="2099" name="Text Box 12"/>
        <xdr:cNvSpPr txBox="1">
          <a:spLocks noChangeArrowheads="1"/>
        </xdr:cNvSpPr>
      </xdr:nvSpPr>
      <xdr:spPr bwMode="auto">
        <a:xfrm flipH="1">
          <a:off x="4972050" y="1298307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34377</xdr:rowOff>
    </xdr:to>
    <xdr:sp macro="" textlink="">
      <xdr:nvSpPr>
        <xdr:cNvPr id="2100" name="Text Box 14"/>
        <xdr:cNvSpPr txBox="1">
          <a:spLocks noChangeArrowheads="1"/>
        </xdr:cNvSpPr>
      </xdr:nvSpPr>
      <xdr:spPr bwMode="auto">
        <a:xfrm flipH="1">
          <a:off x="4972050" y="1298411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34376</xdr:rowOff>
    </xdr:to>
    <xdr:sp macro="" textlink="">
      <xdr:nvSpPr>
        <xdr:cNvPr id="2101" name="Text Box 16"/>
        <xdr:cNvSpPr txBox="1">
          <a:spLocks noChangeArrowheads="1"/>
        </xdr:cNvSpPr>
      </xdr:nvSpPr>
      <xdr:spPr bwMode="auto">
        <a:xfrm flipH="1">
          <a:off x="4972050" y="1298411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226</xdr:row>
      <xdr:rowOff>170050</xdr:rowOff>
    </xdr:from>
    <xdr:to>
      <xdr:col>5</xdr:col>
      <xdr:colOff>0</xdr:colOff>
      <xdr:row>227</xdr:row>
      <xdr:rowOff>3063</xdr:rowOff>
    </xdr:to>
    <xdr:sp macro="" textlink="">
      <xdr:nvSpPr>
        <xdr:cNvPr id="2108" name="Text Box 12"/>
        <xdr:cNvSpPr txBox="1">
          <a:spLocks noChangeArrowheads="1"/>
        </xdr:cNvSpPr>
      </xdr:nvSpPr>
      <xdr:spPr bwMode="auto">
        <a:xfrm flipH="1">
          <a:off x="4972050" y="1297165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7976</xdr:rowOff>
    </xdr:from>
    <xdr:to>
      <xdr:col>5</xdr:col>
      <xdr:colOff>0</xdr:colOff>
      <xdr:row>227</xdr:row>
      <xdr:rowOff>34736</xdr:rowOff>
    </xdr:to>
    <xdr:sp macro="" textlink="">
      <xdr:nvSpPr>
        <xdr:cNvPr id="2109" name="Text Box 4"/>
        <xdr:cNvSpPr txBox="1">
          <a:spLocks noChangeArrowheads="1"/>
        </xdr:cNvSpPr>
      </xdr:nvSpPr>
      <xdr:spPr bwMode="auto">
        <a:xfrm flipH="1">
          <a:off x="4972050" y="1298102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255</xdr:row>
      <xdr:rowOff>166913</xdr:rowOff>
    </xdr:from>
    <xdr:to>
      <xdr:col>4</xdr:col>
      <xdr:colOff>2621168</xdr:colOff>
      <xdr:row>256</xdr:row>
      <xdr:rowOff>23020</xdr:rowOff>
    </xdr:to>
    <xdr:sp macro="" textlink="">
      <xdr:nvSpPr>
        <xdr:cNvPr id="2116" name="Text Box 4"/>
        <xdr:cNvSpPr txBox="1">
          <a:spLocks noChangeArrowheads="1"/>
        </xdr:cNvSpPr>
      </xdr:nvSpPr>
      <xdr:spPr bwMode="auto">
        <a:xfrm flipH="1">
          <a:off x="4739528" y="17940563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3866</xdr:rowOff>
    </xdr:from>
    <xdr:to>
      <xdr:col>4</xdr:col>
      <xdr:colOff>2621168</xdr:colOff>
      <xdr:row>256</xdr:row>
      <xdr:rowOff>5550</xdr:rowOff>
    </xdr:to>
    <xdr:sp macro="" textlink="">
      <xdr:nvSpPr>
        <xdr:cNvPr id="2117" name="Text Box 12"/>
        <xdr:cNvSpPr txBox="1">
          <a:spLocks noChangeArrowheads="1"/>
        </xdr:cNvSpPr>
      </xdr:nvSpPr>
      <xdr:spPr bwMode="auto">
        <a:xfrm flipH="1">
          <a:off x="4739528" y="17948966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2621168</xdr:colOff>
      <xdr:row>256</xdr:row>
      <xdr:rowOff>5203</xdr:rowOff>
    </xdr:to>
    <xdr:sp macro="" textlink="">
      <xdr:nvSpPr>
        <xdr:cNvPr id="2124" name="Text Box 14"/>
        <xdr:cNvSpPr txBox="1">
          <a:spLocks noChangeArrowheads="1"/>
        </xdr:cNvSpPr>
      </xdr:nvSpPr>
      <xdr:spPr bwMode="auto">
        <a:xfrm flipH="1">
          <a:off x="4739528" y="17950001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2621168</xdr:colOff>
      <xdr:row>256</xdr:row>
      <xdr:rowOff>5202</xdr:rowOff>
    </xdr:to>
    <xdr:sp macro="" textlink="">
      <xdr:nvSpPr>
        <xdr:cNvPr id="2125" name="Text Box 16"/>
        <xdr:cNvSpPr txBox="1">
          <a:spLocks noChangeArrowheads="1"/>
        </xdr:cNvSpPr>
      </xdr:nvSpPr>
      <xdr:spPr bwMode="auto">
        <a:xfrm flipH="1">
          <a:off x="4739528" y="17950001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1962</xdr:rowOff>
    </xdr:from>
    <xdr:to>
      <xdr:col>4</xdr:col>
      <xdr:colOff>2621168</xdr:colOff>
      <xdr:row>256</xdr:row>
      <xdr:rowOff>2271</xdr:rowOff>
    </xdr:to>
    <xdr:sp macro="" textlink="">
      <xdr:nvSpPr>
        <xdr:cNvPr id="2126" name="Text Box 12"/>
        <xdr:cNvSpPr txBox="1">
          <a:spLocks noChangeArrowheads="1"/>
        </xdr:cNvSpPr>
      </xdr:nvSpPr>
      <xdr:spPr bwMode="auto">
        <a:xfrm flipH="1">
          <a:off x="4739528" y="17947062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1813</xdr:rowOff>
    </xdr:from>
    <xdr:to>
      <xdr:col>4</xdr:col>
      <xdr:colOff>2621168</xdr:colOff>
      <xdr:row>256</xdr:row>
      <xdr:rowOff>14857</xdr:rowOff>
    </xdr:to>
    <xdr:sp macro="" textlink="">
      <xdr:nvSpPr>
        <xdr:cNvPr id="2127" name="Text Box 4"/>
        <xdr:cNvSpPr txBox="1">
          <a:spLocks noChangeArrowheads="1"/>
        </xdr:cNvSpPr>
      </xdr:nvSpPr>
      <xdr:spPr bwMode="auto">
        <a:xfrm flipH="1">
          <a:off x="4739528" y="17946913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28575</xdr:colOff>
      <xdr:row>227</xdr:row>
      <xdr:rowOff>9525</xdr:rowOff>
    </xdr:to>
    <xdr:sp macro="" textlink="">
      <xdr:nvSpPr>
        <xdr:cNvPr id="2128" name="Text Box 4"/>
        <xdr:cNvSpPr txBox="1">
          <a:spLocks noChangeArrowheads="1"/>
        </xdr:cNvSpPr>
      </xdr:nvSpPr>
      <xdr:spPr bwMode="auto">
        <a:xfrm flipH="1">
          <a:off x="4972050" y="129730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2621168</xdr:colOff>
      <xdr:row>227</xdr:row>
      <xdr:rowOff>33129</xdr:rowOff>
    </xdr:to>
    <xdr:sp macro="" textlink="">
      <xdr:nvSpPr>
        <xdr:cNvPr id="2129" name="Text Box 12"/>
        <xdr:cNvSpPr txBox="1">
          <a:spLocks noChangeArrowheads="1"/>
        </xdr:cNvSpPr>
      </xdr:nvSpPr>
      <xdr:spPr bwMode="auto">
        <a:xfrm flipH="1">
          <a:off x="4739528" y="1298307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34377</xdr:rowOff>
    </xdr:to>
    <xdr:sp macro="" textlink="">
      <xdr:nvSpPr>
        <xdr:cNvPr id="2136" name="Text Box 14"/>
        <xdr:cNvSpPr txBox="1">
          <a:spLocks noChangeArrowheads="1"/>
        </xdr:cNvSpPr>
      </xdr:nvSpPr>
      <xdr:spPr bwMode="auto">
        <a:xfrm flipH="1">
          <a:off x="4739528" y="1298411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34376</xdr:rowOff>
    </xdr:to>
    <xdr:sp macro="" textlink="">
      <xdr:nvSpPr>
        <xdr:cNvPr id="2137" name="Text Box 16"/>
        <xdr:cNvSpPr txBox="1">
          <a:spLocks noChangeArrowheads="1"/>
        </xdr:cNvSpPr>
      </xdr:nvSpPr>
      <xdr:spPr bwMode="auto">
        <a:xfrm flipH="1">
          <a:off x="4739528" y="1298411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2621168</xdr:colOff>
      <xdr:row>227</xdr:row>
      <xdr:rowOff>3063</xdr:rowOff>
    </xdr:to>
    <xdr:sp macro="" textlink="">
      <xdr:nvSpPr>
        <xdr:cNvPr id="2144" name="Text Box 12"/>
        <xdr:cNvSpPr txBox="1">
          <a:spLocks noChangeArrowheads="1"/>
        </xdr:cNvSpPr>
      </xdr:nvSpPr>
      <xdr:spPr bwMode="auto">
        <a:xfrm flipH="1">
          <a:off x="4739528" y="1297165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2621168</xdr:colOff>
      <xdr:row>227</xdr:row>
      <xdr:rowOff>34736</xdr:rowOff>
    </xdr:to>
    <xdr:sp macro="" textlink="">
      <xdr:nvSpPr>
        <xdr:cNvPr id="2145" name="Text Box 4"/>
        <xdr:cNvSpPr txBox="1">
          <a:spLocks noChangeArrowheads="1"/>
        </xdr:cNvSpPr>
      </xdr:nvSpPr>
      <xdr:spPr bwMode="auto">
        <a:xfrm flipH="1">
          <a:off x="4739528" y="1298102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28575</xdr:colOff>
      <xdr:row>227</xdr:row>
      <xdr:rowOff>9525</xdr:rowOff>
    </xdr:to>
    <xdr:sp macro="" textlink="">
      <xdr:nvSpPr>
        <xdr:cNvPr id="2152" name="Text Box 4"/>
        <xdr:cNvSpPr txBox="1">
          <a:spLocks noChangeArrowheads="1"/>
        </xdr:cNvSpPr>
      </xdr:nvSpPr>
      <xdr:spPr bwMode="auto">
        <a:xfrm flipH="1">
          <a:off x="4972050" y="129730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2621168</xdr:colOff>
      <xdr:row>227</xdr:row>
      <xdr:rowOff>33129</xdr:rowOff>
    </xdr:to>
    <xdr:sp macro="" textlink="">
      <xdr:nvSpPr>
        <xdr:cNvPr id="2153" name="Text Box 12"/>
        <xdr:cNvSpPr txBox="1">
          <a:spLocks noChangeArrowheads="1"/>
        </xdr:cNvSpPr>
      </xdr:nvSpPr>
      <xdr:spPr bwMode="auto">
        <a:xfrm flipH="1">
          <a:off x="4739528" y="1298307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34377</xdr:rowOff>
    </xdr:to>
    <xdr:sp macro="" textlink="">
      <xdr:nvSpPr>
        <xdr:cNvPr id="2154" name="Text Box 14"/>
        <xdr:cNvSpPr txBox="1">
          <a:spLocks noChangeArrowheads="1"/>
        </xdr:cNvSpPr>
      </xdr:nvSpPr>
      <xdr:spPr bwMode="auto">
        <a:xfrm flipH="1">
          <a:off x="4739528" y="1298411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34376</xdr:rowOff>
    </xdr:to>
    <xdr:sp macro="" textlink="">
      <xdr:nvSpPr>
        <xdr:cNvPr id="2155" name="Text Box 16"/>
        <xdr:cNvSpPr txBox="1">
          <a:spLocks noChangeArrowheads="1"/>
        </xdr:cNvSpPr>
      </xdr:nvSpPr>
      <xdr:spPr bwMode="auto">
        <a:xfrm flipH="1">
          <a:off x="4739528" y="1298411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2621168</xdr:colOff>
      <xdr:row>227</xdr:row>
      <xdr:rowOff>3063</xdr:rowOff>
    </xdr:to>
    <xdr:sp macro="" textlink="">
      <xdr:nvSpPr>
        <xdr:cNvPr id="2156" name="Text Box 12"/>
        <xdr:cNvSpPr txBox="1">
          <a:spLocks noChangeArrowheads="1"/>
        </xdr:cNvSpPr>
      </xdr:nvSpPr>
      <xdr:spPr bwMode="auto">
        <a:xfrm flipH="1">
          <a:off x="4739528" y="1297165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2621168</xdr:colOff>
      <xdr:row>227</xdr:row>
      <xdr:rowOff>34736</xdr:rowOff>
    </xdr:to>
    <xdr:sp macro="" textlink="">
      <xdr:nvSpPr>
        <xdr:cNvPr id="2157" name="Text Box 4"/>
        <xdr:cNvSpPr txBox="1">
          <a:spLocks noChangeArrowheads="1"/>
        </xdr:cNvSpPr>
      </xdr:nvSpPr>
      <xdr:spPr bwMode="auto">
        <a:xfrm flipH="1">
          <a:off x="4739528" y="1298102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255</xdr:row>
      <xdr:rowOff>166913</xdr:rowOff>
    </xdr:from>
    <xdr:to>
      <xdr:col>5</xdr:col>
      <xdr:colOff>0</xdr:colOff>
      <xdr:row>256</xdr:row>
      <xdr:rowOff>23020</xdr:rowOff>
    </xdr:to>
    <xdr:sp macro="" textlink="">
      <xdr:nvSpPr>
        <xdr:cNvPr id="2164" name="Text Box 4"/>
        <xdr:cNvSpPr txBox="1">
          <a:spLocks noChangeArrowheads="1"/>
        </xdr:cNvSpPr>
      </xdr:nvSpPr>
      <xdr:spPr bwMode="auto">
        <a:xfrm flipH="1">
          <a:off x="4972050" y="17940563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3866</xdr:rowOff>
    </xdr:from>
    <xdr:to>
      <xdr:col>5</xdr:col>
      <xdr:colOff>0</xdr:colOff>
      <xdr:row>256</xdr:row>
      <xdr:rowOff>5550</xdr:rowOff>
    </xdr:to>
    <xdr:sp macro="" textlink="">
      <xdr:nvSpPr>
        <xdr:cNvPr id="2165" name="Text Box 12"/>
        <xdr:cNvSpPr txBox="1">
          <a:spLocks noChangeArrowheads="1"/>
        </xdr:cNvSpPr>
      </xdr:nvSpPr>
      <xdr:spPr bwMode="auto">
        <a:xfrm flipH="1">
          <a:off x="4972050" y="17948966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4901</xdr:rowOff>
    </xdr:from>
    <xdr:to>
      <xdr:col>5</xdr:col>
      <xdr:colOff>0</xdr:colOff>
      <xdr:row>256</xdr:row>
      <xdr:rowOff>5203</xdr:rowOff>
    </xdr:to>
    <xdr:sp macro="" textlink="">
      <xdr:nvSpPr>
        <xdr:cNvPr id="2172" name="Text Box 14"/>
        <xdr:cNvSpPr txBox="1">
          <a:spLocks noChangeArrowheads="1"/>
        </xdr:cNvSpPr>
      </xdr:nvSpPr>
      <xdr:spPr bwMode="auto">
        <a:xfrm flipH="1">
          <a:off x="4972050" y="17950001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4901</xdr:rowOff>
    </xdr:from>
    <xdr:to>
      <xdr:col>5</xdr:col>
      <xdr:colOff>0</xdr:colOff>
      <xdr:row>256</xdr:row>
      <xdr:rowOff>5202</xdr:rowOff>
    </xdr:to>
    <xdr:sp macro="" textlink="">
      <xdr:nvSpPr>
        <xdr:cNvPr id="2173" name="Text Box 16"/>
        <xdr:cNvSpPr txBox="1">
          <a:spLocks noChangeArrowheads="1"/>
        </xdr:cNvSpPr>
      </xdr:nvSpPr>
      <xdr:spPr bwMode="auto">
        <a:xfrm flipH="1">
          <a:off x="4972050" y="17950001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1962</xdr:rowOff>
    </xdr:from>
    <xdr:to>
      <xdr:col>5</xdr:col>
      <xdr:colOff>0</xdr:colOff>
      <xdr:row>256</xdr:row>
      <xdr:rowOff>2271</xdr:rowOff>
    </xdr:to>
    <xdr:sp macro="" textlink="">
      <xdr:nvSpPr>
        <xdr:cNvPr id="2180" name="Text Box 12"/>
        <xdr:cNvSpPr txBox="1">
          <a:spLocks noChangeArrowheads="1"/>
        </xdr:cNvSpPr>
      </xdr:nvSpPr>
      <xdr:spPr bwMode="auto">
        <a:xfrm flipH="1">
          <a:off x="4972050" y="17947062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1813</xdr:rowOff>
    </xdr:from>
    <xdr:to>
      <xdr:col>5</xdr:col>
      <xdr:colOff>0</xdr:colOff>
      <xdr:row>256</xdr:row>
      <xdr:rowOff>14857</xdr:rowOff>
    </xdr:to>
    <xdr:sp macro="" textlink="">
      <xdr:nvSpPr>
        <xdr:cNvPr id="2181" name="Text Box 4"/>
        <xdr:cNvSpPr txBox="1">
          <a:spLocks noChangeArrowheads="1"/>
        </xdr:cNvSpPr>
      </xdr:nvSpPr>
      <xdr:spPr bwMode="auto">
        <a:xfrm flipH="1">
          <a:off x="4972050" y="17946913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0</xdr:colOff>
      <xdr:row>227</xdr:row>
      <xdr:rowOff>9525</xdr:rowOff>
    </xdr:to>
    <xdr:sp macro="" textlink="">
      <xdr:nvSpPr>
        <xdr:cNvPr id="2182" name="Text Box 4"/>
        <xdr:cNvSpPr txBox="1">
          <a:spLocks noChangeArrowheads="1"/>
        </xdr:cNvSpPr>
      </xdr:nvSpPr>
      <xdr:spPr bwMode="auto">
        <a:xfrm flipH="1">
          <a:off x="4972050" y="129730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10029</xdr:rowOff>
    </xdr:from>
    <xdr:to>
      <xdr:col>5</xdr:col>
      <xdr:colOff>0</xdr:colOff>
      <xdr:row>227</xdr:row>
      <xdr:rowOff>33129</xdr:rowOff>
    </xdr:to>
    <xdr:sp macro="" textlink="">
      <xdr:nvSpPr>
        <xdr:cNvPr id="2183" name="Text Box 12"/>
        <xdr:cNvSpPr txBox="1">
          <a:spLocks noChangeArrowheads="1"/>
        </xdr:cNvSpPr>
      </xdr:nvSpPr>
      <xdr:spPr bwMode="auto">
        <a:xfrm flipH="1">
          <a:off x="4972050" y="1298307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34377</xdr:rowOff>
    </xdr:to>
    <xdr:sp macro="" textlink="">
      <xdr:nvSpPr>
        <xdr:cNvPr id="2184" name="Text Box 14"/>
        <xdr:cNvSpPr txBox="1">
          <a:spLocks noChangeArrowheads="1"/>
        </xdr:cNvSpPr>
      </xdr:nvSpPr>
      <xdr:spPr bwMode="auto">
        <a:xfrm flipH="1">
          <a:off x="4972050" y="1298411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34376</xdr:rowOff>
    </xdr:to>
    <xdr:sp macro="" textlink="">
      <xdr:nvSpPr>
        <xdr:cNvPr id="2185" name="Text Box 16"/>
        <xdr:cNvSpPr txBox="1">
          <a:spLocks noChangeArrowheads="1"/>
        </xdr:cNvSpPr>
      </xdr:nvSpPr>
      <xdr:spPr bwMode="auto">
        <a:xfrm flipH="1">
          <a:off x="4972050" y="1298411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226</xdr:row>
      <xdr:rowOff>170050</xdr:rowOff>
    </xdr:from>
    <xdr:to>
      <xdr:col>5</xdr:col>
      <xdr:colOff>0</xdr:colOff>
      <xdr:row>227</xdr:row>
      <xdr:rowOff>3063</xdr:rowOff>
    </xdr:to>
    <xdr:sp macro="" textlink="">
      <xdr:nvSpPr>
        <xdr:cNvPr id="2192" name="Text Box 12"/>
        <xdr:cNvSpPr txBox="1">
          <a:spLocks noChangeArrowheads="1"/>
        </xdr:cNvSpPr>
      </xdr:nvSpPr>
      <xdr:spPr bwMode="auto">
        <a:xfrm flipH="1">
          <a:off x="4972050" y="1297165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7976</xdr:rowOff>
    </xdr:from>
    <xdr:to>
      <xdr:col>5</xdr:col>
      <xdr:colOff>0</xdr:colOff>
      <xdr:row>227</xdr:row>
      <xdr:rowOff>34736</xdr:rowOff>
    </xdr:to>
    <xdr:sp macro="" textlink="">
      <xdr:nvSpPr>
        <xdr:cNvPr id="2193" name="Text Box 4"/>
        <xdr:cNvSpPr txBox="1">
          <a:spLocks noChangeArrowheads="1"/>
        </xdr:cNvSpPr>
      </xdr:nvSpPr>
      <xdr:spPr bwMode="auto">
        <a:xfrm flipH="1">
          <a:off x="4972050" y="1298102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0</xdr:colOff>
      <xdr:row>227</xdr:row>
      <xdr:rowOff>9525</xdr:rowOff>
    </xdr:to>
    <xdr:sp macro="" textlink="">
      <xdr:nvSpPr>
        <xdr:cNvPr id="2200" name="Text Box 4"/>
        <xdr:cNvSpPr txBox="1">
          <a:spLocks noChangeArrowheads="1"/>
        </xdr:cNvSpPr>
      </xdr:nvSpPr>
      <xdr:spPr bwMode="auto">
        <a:xfrm flipH="1">
          <a:off x="4972050" y="129730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10029</xdr:rowOff>
    </xdr:from>
    <xdr:to>
      <xdr:col>5</xdr:col>
      <xdr:colOff>0</xdr:colOff>
      <xdr:row>227</xdr:row>
      <xdr:rowOff>33129</xdr:rowOff>
    </xdr:to>
    <xdr:sp macro="" textlink="">
      <xdr:nvSpPr>
        <xdr:cNvPr id="2201" name="Text Box 12"/>
        <xdr:cNvSpPr txBox="1">
          <a:spLocks noChangeArrowheads="1"/>
        </xdr:cNvSpPr>
      </xdr:nvSpPr>
      <xdr:spPr bwMode="auto">
        <a:xfrm flipH="1">
          <a:off x="4972050" y="1298307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34377</xdr:rowOff>
    </xdr:to>
    <xdr:sp macro="" textlink="">
      <xdr:nvSpPr>
        <xdr:cNvPr id="2208" name="Text Box 14"/>
        <xdr:cNvSpPr txBox="1">
          <a:spLocks noChangeArrowheads="1"/>
        </xdr:cNvSpPr>
      </xdr:nvSpPr>
      <xdr:spPr bwMode="auto">
        <a:xfrm flipH="1">
          <a:off x="4972050" y="1298411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34376</xdr:rowOff>
    </xdr:to>
    <xdr:sp macro="" textlink="">
      <xdr:nvSpPr>
        <xdr:cNvPr id="2209" name="Text Box 16"/>
        <xdr:cNvSpPr txBox="1">
          <a:spLocks noChangeArrowheads="1"/>
        </xdr:cNvSpPr>
      </xdr:nvSpPr>
      <xdr:spPr bwMode="auto">
        <a:xfrm flipH="1">
          <a:off x="4972050" y="1298411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226</xdr:row>
      <xdr:rowOff>170050</xdr:rowOff>
    </xdr:from>
    <xdr:to>
      <xdr:col>5</xdr:col>
      <xdr:colOff>0</xdr:colOff>
      <xdr:row>227</xdr:row>
      <xdr:rowOff>3063</xdr:rowOff>
    </xdr:to>
    <xdr:sp macro="" textlink="">
      <xdr:nvSpPr>
        <xdr:cNvPr id="2216" name="Text Box 12"/>
        <xdr:cNvSpPr txBox="1">
          <a:spLocks noChangeArrowheads="1"/>
        </xdr:cNvSpPr>
      </xdr:nvSpPr>
      <xdr:spPr bwMode="auto">
        <a:xfrm flipH="1">
          <a:off x="4972050" y="1297165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7976</xdr:rowOff>
    </xdr:from>
    <xdr:to>
      <xdr:col>5</xdr:col>
      <xdr:colOff>0</xdr:colOff>
      <xdr:row>227</xdr:row>
      <xdr:rowOff>34736</xdr:rowOff>
    </xdr:to>
    <xdr:sp macro="" textlink="">
      <xdr:nvSpPr>
        <xdr:cNvPr id="2217" name="Text Box 4"/>
        <xdr:cNvSpPr txBox="1">
          <a:spLocks noChangeArrowheads="1"/>
        </xdr:cNvSpPr>
      </xdr:nvSpPr>
      <xdr:spPr bwMode="auto">
        <a:xfrm flipH="1">
          <a:off x="4972050" y="1298102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28575</xdr:colOff>
      <xdr:row>227</xdr:row>
      <xdr:rowOff>9525</xdr:rowOff>
    </xdr:to>
    <xdr:sp macro="" textlink="">
      <xdr:nvSpPr>
        <xdr:cNvPr id="2224" name="Text Box 4"/>
        <xdr:cNvSpPr txBox="1">
          <a:spLocks noChangeArrowheads="1"/>
        </xdr:cNvSpPr>
      </xdr:nvSpPr>
      <xdr:spPr bwMode="auto">
        <a:xfrm flipH="1">
          <a:off x="4972050" y="129730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2621168</xdr:colOff>
      <xdr:row>227</xdr:row>
      <xdr:rowOff>33129</xdr:rowOff>
    </xdr:to>
    <xdr:sp macro="" textlink="">
      <xdr:nvSpPr>
        <xdr:cNvPr id="2225" name="Text Box 12"/>
        <xdr:cNvSpPr txBox="1">
          <a:spLocks noChangeArrowheads="1"/>
        </xdr:cNvSpPr>
      </xdr:nvSpPr>
      <xdr:spPr bwMode="auto">
        <a:xfrm flipH="1">
          <a:off x="4739528" y="1298307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34377</xdr:rowOff>
    </xdr:to>
    <xdr:sp macro="" textlink="">
      <xdr:nvSpPr>
        <xdr:cNvPr id="2226" name="Text Box 14"/>
        <xdr:cNvSpPr txBox="1">
          <a:spLocks noChangeArrowheads="1"/>
        </xdr:cNvSpPr>
      </xdr:nvSpPr>
      <xdr:spPr bwMode="auto">
        <a:xfrm flipH="1">
          <a:off x="4739528" y="1298411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34376</xdr:rowOff>
    </xdr:to>
    <xdr:sp macro="" textlink="">
      <xdr:nvSpPr>
        <xdr:cNvPr id="2227" name="Text Box 16"/>
        <xdr:cNvSpPr txBox="1">
          <a:spLocks noChangeArrowheads="1"/>
        </xdr:cNvSpPr>
      </xdr:nvSpPr>
      <xdr:spPr bwMode="auto">
        <a:xfrm flipH="1">
          <a:off x="4739528" y="1298411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2621168</xdr:colOff>
      <xdr:row>227</xdr:row>
      <xdr:rowOff>3063</xdr:rowOff>
    </xdr:to>
    <xdr:sp macro="" textlink="">
      <xdr:nvSpPr>
        <xdr:cNvPr id="2228" name="Text Box 12"/>
        <xdr:cNvSpPr txBox="1">
          <a:spLocks noChangeArrowheads="1"/>
        </xdr:cNvSpPr>
      </xdr:nvSpPr>
      <xdr:spPr bwMode="auto">
        <a:xfrm flipH="1">
          <a:off x="4739528" y="1297165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2621168</xdr:colOff>
      <xdr:row>227</xdr:row>
      <xdr:rowOff>34736</xdr:rowOff>
    </xdr:to>
    <xdr:sp macro="" textlink="">
      <xdr:nvSpPr>
        <xdr:cNvPr id="2229" name="Text Box 4"/>
        <xdr:cNvSpPr txBox="1">
          <a:spLocks noChangeArrowheads="1"/>
        </xdr:cNvSpPr>
      </xdr:nvSpPr>
      <xdr:spPr bwMode="auto">
        <a:xfrm flipH="1">
          <a:off x="4739528" y="1298102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28575</xdr:colOff>
      <xdr:row>227</xdr:row>
      <xdr:rowOff>9525</xdr:rowOff>
    </xdr:to>
    <xdr:sp macro="" textlink="">
      <xdr:nvSpPr>
        <xdr:cNvPr id="2236" name="Text Box 4"/>
        <xdr:cNvSpPr txBox="1">
          <a:spLocks noChangeArrowheads="1"/>
        </xdr:cNvSpPr>
      </xdr:nvSpPr>
      <xdr:spPr bwMode="auto">
        <a:xfrm flipH="1">
          <a:off x="4972050" y="129730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2621168</xdr:colOff>
      <xdr:row>227</xdr:row>
      <xdr:rowOff>33129</xdr:rowOff>
    </xdr:to>
    <xdr:sp macro="" textlink="">
      <xdr:nvSpPr>
        <xdr:cNvPr id="2237" name="Text Box 12"/>
        <xdr:cNvSpPr txBox="1">
          <a:spLocks noChangeArrowheads="1"/>
        </xdr:cNvSpPr>
      </xdr:nvSpPr>
      <xdr:spPr bwMode="auto">
        <a:xfrm flipH="1">
          <a:off x="4739528" y="1298307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34377</xdr:rowOff>
    </xdr:to>
    <xdr:sp macro="" textlink="">
      <xdr:nvSpPr>
        <xdr:cNvPr id="2244" name="Text Box 14"/>
        <xdr:cNvSpPr txBox="1">
          <a:spLocks noChangeArrowheads="1"/>
        </xdr:cNvSpPr>
      </xdr:nvSpPr>
      <xdr:spPr bwMode="auto">
        <a:xfrm flipH="1">
          <a:off x="4739528" y="1298411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2621168</xdr:colOff>
      <xdr:row>227</xdr:row>
      <xdr:rowOff>34376</xdr:rowOff>
    </xdr:to>
    <xdr:sp macro="" textlink="">
      <xdr:nvSpPr>
        <xdr:cNvPr id="2245" name="Text Box 16"/>
        <xdr:cNvSpPr txBox="1">
          <a:spLocks noChangeArrowheads="1"/>
        </xdr:cNvSpPr>
      </xdr:nvSpPr>
      <xdr:spPr bwMode="auto">
        <a:xfrm flipH="1">
          <a:off x="4739528" y="1298411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2621168</xdr:colOff>
      <xdr:row>227</xdr:row>
      <xdr:rowOff>3063</xdr:rowOff>
    </xdr:to>
    <xdr:sp macro="" textlink="">
      <xdr:nvSpPr>
        <xdr:cNvPr id="2252" name="Text Box 12"/>
        <xdr:cNvSpPr txBox="1">
          <a:spLocks noChangeArrowheads="1"/>
        </xdr:cNvSpPr>
      </xdr:nvSpPr>
      <xdr:spPr bwMode="auto">
        <a:xfrm flipH="1">
          <a:off x="4739528" y="1297165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2621168</xdr:colOff>
      <xdr:row>227</xdr:row>
      <xdr:rowOff>34736</xdr:rowOff>
    </xdr:to>
    <xdr:sp macro="" textlink="">
      <xdr:nvSpPr>
        <xdr:cNvPr id="2253" name="Text Box 4"/>
        <xdr:cNvSpPr txBox="1">
          <a:spLocks noChangeArrowheads="1"/>
        </xdr:cNvSpPr>
      </xdr:nvSpPr>
      <xdr:spPr bwMode="auto">
        <a:xfrm flipH="1">
          <a:off x="4739528" y="1298102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255</xdr:row>
      <xdr:rowOff>166913</xdr:rowOff>
    </xdr:from>
    <xdr:to>
      <xdr:col>4</xdr:col>
      <xdr:colOff>2586878</xdr:colOff>
      <xdr:row>256</xdr:row>
      <xdr:rowOff>34746</xdr:rowOff>
    </xdr:to>
    <xdr:sp macro="" textlink="">
      <xdr:nvSpPr>
        <xdr:cNvPr id="2254" name="Text Box 4"/>
        <xdr:cNvSpPr txBox="1">
          <a:spLocks noChangeArrowheads="1"/>
        </xdr:cNvSpPr>
      </xdr:nvSpPr>
      <xdr:spPr bwMode="auto">
        <a:xfrm flipH="1">
          <a:off x="4739528" y="1794056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3866</xdr:rowOff>
    </xdr:from>
    <xdr:to>
      <xdr:col>4</xdr:col>
      <xdr:colOff>2586878</xdr:colOff>
      <xdr:row>256</xdr:row>
      <xdr:rowOff>36591</xdr:rowOff>
    </xdr:to>
    <xdr:sp macro="" textlink="">
      <xdr:nvSpPr>
        <xdr:cNvPr id="2255" name="Text Box 12"/>
        <xdr:cNvSpPr txBox="1">
          <a:spLocks noChangeArrowheads="1"/>
        </xdr:cNvSpPr>
      </xdr:nvSpPr>
      <xdr:spPr bwMode="auto">
        <a:xfrm flipH="1">
          <a:off x="4739528" y="1794896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39644</xdr:rowOff>
    </xdr:to>
    <xdr:sp macro="" textlink="">
      <xdr:nvSpPr>
        <xdr:cNvPr id="2256" name="Text Box 14"/>
        <xdr:cNvSpPr txBox="1">
          <a:spLocks noChangeArrowheads="1"/>
        </xdr:cNvSpPr>
      </xdr:nvSpPr>
      <xdr:spPr bwMode="auto">
        <a:xfrm flipH="1">
          <a:off x="4739528" y="1795000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39643</xdr:rowOff>
    </xdr:to>
    <xdr:sp macro="" textlink="">
      <xdr:nvSpPr>
        <xdr:cNvPr id="2257" name="Text Box 16"/>
        <xdr:cNvSpPr txBox="1">
          <a:spLocks noChangeArrowheads="1"/>
        </xdr:cNvSpPr>
      </xdr:nvSpPr>
      <xdr:spPr bwMode="auto">
        <a:xfrm flipH="1">
          <a:off x="4739528" y="1795000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1962</xdr:rowOff>
    </xdr:from>
    <xdr:to>
      <xdr:col>4</xdr:col>
      <xdr:colOff>2586878</xdr:colOff>
      <xdr:row>256</xdr:row>
      <xdr:rowOff>32124</xdr:rowOff>
    </xdr:to>
    <xdr:sp macro="" textlink="">
      <xdr:nvSpPr>
        <xdr:cNvPr id="2264" name="Text Box 12"/>
        <xdr:cNvSpPr txBox="1">
          <a:spLocks noChangeArrowheads="1"/>
        </xdr:cNvSpPr>
      </xdr:nvSpPr>
      <xdr:spPr bwMode="auto">
        <a:xfrm flipH="1">
          <a:off x="4739528" y="1794706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1813</xdr:rowOff>
    </xdr:from>
    <xdr:to>
      <xdr:col>4</xdr:col>
      <xdr:colOff>2586878</xdr:colOff>
      <xdr:row>256</xdr:row>
      <xdr:rowOff>22477</xdr:rowOff>
    </xdr:to>
    <xdr:sp macro="" textlink="">
      <xdr:nvSpPr>
        <xdr:cNvPr id="2265" name="Text Box 4"/>
        <xdr:cNvSpPr txBox="1">
          <a:spLocks noChangeArrowheads="1"/>
        </xdr:cNvSpPr>
      </xdr:nvSpPr>
      <xdr:spPr bwMode="auto">
        <a:xfrm flipH="1">
          <a:off x="4739528" y="1794691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1626</xdr:rowOff>
    </xdr:from>
    <xdr:to>
      <xdr:col>4</xdr:col>
      <xdr:colOff>2586878</xdr:colOff>
      <xdr:row>227</xdr:row>
      <xdr:rowOff>82082</xdr:rowOff>
    </xdr:to>
    <xdr:sp macro="" textlink="">
      <xdr:nvSpPr>
        <xdr:cNvPr id="2272" name="Text Box 4"/>
        <xdr:cNvSpPr txBox="1">
          <a:spLocks noChangeArrowheads="1"/>
        </xdr:cNvSpPr>
      </xdr:nvSpPr>
      <xdr:spPr bwMode="auto">
        <a:xfrm flipH="1">
          <a:off x="4739528" y="1297467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2586878</xdr:colOff>
      <xdr:row>227</xdr:row>
      <xdr:rowOff>34573</xdr:rowOff>
    </xdr:to>
    <xdr:sp macro="" textlink="">
      <xdr:nvSpPr>
        <xdr:cNvPr id="2273" name="Text Box 12"/>
        <xdr:cNvSpPr txBox="1">
          <a:spLocks noChangeArrowheads="1"/>
        </xdr:cNvSpPr>
      </xdr:nvSpPr>
      <xdr:spPr bwMode="auto">
        <a:xfrm flipH="1">
          <a:off x="4739528" y="1298307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2586878</xdr:colOff>
      <xdr:row>227</xdr:row>
      <xdr:rowOff>34226</xdr:rowOff>
    </xdr:to>
    <xdr:sp macro="" textlink="">
      <xdr:nvSpPr>
        <xdr:cNvPr id="2280" name="Text Box 14"/>
        <xdr:cNvSpPr txBox="1">
          <a:spLocks noChangeArrowheads="1"/>
        </xdr:cNvSpPr>
      </xdr:nvSpPr>
      <xdr:spPr bwMode="auto">
        <a:xfrm flipH="1">
          <a:off x="4739528" y="1298411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2586878</xdr:colOff>
      <xdr:row>227</xdr:row>
      <xdr:rowOff>34225</xdr:rowOff>
    </xdr:to>
    <xdr:sp macro="" textlink="">
      <xdr:nvSpPr>
        <xdr:cNvPr id="2281" name="Text Box 16"/>
        <xdr:cNvSpPr txBox="1">
          <a:spLocks noChangeArrowheads="1"/>
        </xdr:cNvSpPr>
      </xdr:nvSpPr>
      <xdr:spPr bwMode="auto">
        <a:xfrm flipH="1">
          <a:off x="4739528" y="1298411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2586878</xdr:colOff>
      <xdr:row>227</xdr:row>
      <xdr:rowOff>79589</xdr:rowOff>
    </xdr:to>
    <xdr:sp macro="" textlink="">
      <xdr:nvSpPr>
        <xdr:cNvPr id="2282" name="Text Box 12"/>
        <xdr:cNvSpPr txBox="1">
          <a:spLocks noChangeArrowheads="1"/>
        </xdr:cNvSpPr>
      </xdr:nvSpPr>
      <xdr:spPr bwMode="auto">
        <a:xfrm flipH="1">
          <a:off x="4739528" y="129716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2586878</xdr:colOff>
      <xdr:row>227</xdr:row>
      <xdr:rowOff>38972</xdr:rowOff>
    </xdr:to>
    <xdr:sp macro="" textlink="">
      <xdr:nvSpPr>
        <xdr:cNvPr id="2283" name="Text Box 4"/>
        <xdr:cNvSpPr txBox="1">
          <a:spLocks noChangeArrowheads="1"/>
        </xdr:cNvSpPr>
      </xdr:nvSpPr>
      <xdr:spPr bwMode="auto">
        <a:xfrm flipH="1">
          <a:off x="4739528" y="1298102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1626</xdr:rowOff>
    </xdr:from>
    <xdr:to>
      <xdr:col>4</xdr:col>
      <xdr:colOff>2586878</xdr:colOff>
      <xdr:row>227</xdr:row>
      <xdr:rowOff>82082</xdr:rowOff>
    </xdr:to>
    <xdr:sp macro="" textlink="">
      <xdr:nvSpPr>
        <xdr:cNvPr id="2284" name="Text Box 4"/>
        <xdr:cNvSpPr txBox="1">
          <a:spLocks noChangeArrowheads="1"/>
        </xdr:cNvSpPr>
      </xdr:nvSpPr>
      <xdr:spPr bwMode="auto">
        <a:xfrm flipH="1">
          <a:off x="4739528" y="1297467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2586878</xdr:colOff>
      <xdr:row>227</xdr:row>
      <xdr:rowOff>34573</xdr:rowOff>
    </xdr:to>
    <xdr:sp macro="" textlink="">
      <xdr:nvSpPr>
        <xdr:cNvPr id="2285" name="Text Box 12"/>
        <xdr:cNvSpPr txBox="1">
          <a:spLocks noChangeArrowheads="1"/>
        </xdr:cNvSpPr>
      </xdr:nvSpPr>
      <xdr:spPr bwMode="auto">
        <a:xfrm flipH="1">
          <a:off x="4739528" y="1298307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2586878</xdr:colOff>
      <xdr:row>227</xdr:row>
      <xdr:rowOff>34226</xdr:rowOff>
    </xdr:to>
    <xdr:sp macro="" textlink="">
      <xdr:nvSpPr>
        <xdr:cNvPr id="2292" name="Text Box 14"/>
        <xdr:cNvSpPr txBox="1">
          <a:spLocks noChangeArrowheads="1"/>
        </xdr:cNvSpPr>
      </xdr:nvSpPr>
      <xdr:spPr bwMode="auto">
        <a:xfrm flipH="1">
          <a:off x="4739528" y="1298411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2586878</xdr:colOff>
      <xdr:row>227</xdr:row>
      <xdr:rowOff>34225</xdr:rowOff>
    </xdr:to>
    <xdr:sp macro="" textlink="">
      <xdr:nvSpPr>
        <xdr:cNvPr id="2293" name="Text Box 16"/>
        <xdr:cNvSpPr txBox="1">
          <a:spLocks noChangeArrowheads="1"/>
        </xdr:cNvSpPr>
      </xdr:nvSpPr>
      <xdr:spPr bwMode="auto">
        <a:xfrm flipH="1">
          <a:off x="4739528" y="1298411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2586878</xdr:colOff>
      <xdr:row>227</xdr:row>
      <xdr:rowOff>79589</xdr:rowOff>
    </xdr:to>
    <xdr:sp macro="" textlink="">
      <xdr:nvSpPr>
        <xdr:cNvPr id="2300" name="Text Box 12"/>
        <xdr:cNvSpPr txBox="1">
          <a:spLocks noChangeArrowheads="1"/>
        </xdr:cNvSpPr>
      </xdr:nvSpPr>
      <xdr:spPr bwMode="auto">
        <a:xfrm flipH="1">
          <a:off x="4739528" y="129716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2586878</xdr:colOff>
      <xdr:row>227</xdr:row>
      <xdr:rowOff>38972</xdr:rowOff>
    </xdr:to>
    <xdr:sp macro="" textlink="">
      <xdr:nvSpPr>
        <xdr:cNvPr id="2301" name="Text Box 4"/>
        <xdr:cNvSpPr txBox="1">
          <a:spLocks noChangeArrowheads="1"/>
        </xdr:cNvSpPr>
      </xdr:nvSpPr>
      <xdr:spPr bwMode="auto">
        <a:xfrm flipH="1">
          <a:off x="4739528" y="1298102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255</xdr:row>
      <xdr:rowOff>166913</xdr:rowOff>
    </xdr:from>
    <xdr:to>
      <xdr:col>5</xdr:col>
      <xdr:colOff>0</xdr:colOff>
      <xdr:row>256</xdr:row>
      <xdr:rowOff>34746</xdr:rowOff>
    </xdr:to>
    <xdr:sp macro="" textlink="">
      <xdr:nvSpPr>
        <xdr:cNvPr id="2308" name="Text Box 4"/>
        <xdr:cNvSpPr txBox="1">
          <a:spLocks noChangeArrowheads="1"/>
        </xdr:cNvSpPr>
      </xdr:nvSpPr>
      <xdr:spPr bwMode="auto">
        <a:xfrm flipH="1">
          <a:off x="4972050" y="1794056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3866</xdr:rowOff>
    </xdr:from>
    <xdr:to>
      <xdr:col>5</xdr:col>
      <xdr:colOff>0</xdr:colOff>
      <xdr:row>256</xdr:row>
      <xdr:rowOff>36591</xdr:rowOff>
    </xdr:to>
    <xdr:sp macro="" textlink="">
      <xdr:nvSpPr>
        <xdr:cNvPr id="2309" name="Text Box 12"/>
        <xdr:cNvSpPr txBox="1">
          <a:spLocks noChangeArrowheads="1"/>
        </xdr:cNvSpPr>
      </xdr:nvSpPr>
      <xdr:spPr bwMode="auto">
        <a:xfrm flipH="1">
          <a:off x="4972050" y="1794896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4901</xdr:rowOff>
    </xdr:from>
    <xdr:to>
      <xdr:col>5</xdr:col>
      <xdr:colOff>0</xdr:colOff>
      <xdr:row>256</xdr:row>
      <xdr:rowOff>39644</xdr:rowOff>
    </xdr:to>
    <xdr:sp macro="" textlink="">
      <xdr:nvSpPr>
        <xdr:cNvPr id="2310" name="Text Box 14"/>
        <xdr:cNvSpPr txBox="1">
          <a:spLocks noChangeArrowheads="1"/>
        </xdr:cNvSpPr>
      </xdr:nvSpPr>
      <xdr:spPr bwMode="auto">
        <a:xfrm flipH="1">
          <a:off x="4972050" y="1795000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4901</xdr:rowOff>
    </xdr:from>
    <xdr:to>
      <xdr:col>5</xdr:col>
      <xdr:colOff>0</xdr:colOff>
      <xdr:row>256</xdr:row>
      <xdr:rowOff>39643</xdr:rowOff>
    </xdr:to>
    <xdr:sp macro="" textlink="">
      <xdr:nvSpPr>
        <xdr:cNvPr id="2311" name="Text Box 16"/>
        <xdr:cNvSpPr txBox="1">
          <a:spLocks noChangeArrowheads="1"/>
        </xdr:cNvSpPr>
      </xdr:nvSpPr>
      <xdr:spPr bwMode="auto">
        <a:xfrm flipH="1">
          <a:off x="4972050" y="1795000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1962</xdr:rowOff>
    </xdr:from>
    <xdr:to>
      <xdr:col>5</xdr:col>
      <xdr:colOff>0</xdr:colOff>
      <xdr:row>256</xdr:row>
      <xdr:rowOff>32124</xdr:rowOff>
    </xdr:to>
    <xdr:sp macro="" textlink="">
      <xdr:nvSpPr>
        <xdr:cNvPr id="2312" name="Text Box 12"/>
        <xdr:cNvSpPr txBox="1">
          <a:spLocks noChangeArrowheads="1"/>
        </xdr:cNvSpPr>
      </xdr:nvSpPr>
      <xdr:spPr bwMode="auto">
        <a:xfrm flipH="1">
          <a:off x="4972050" y="1794706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1813</xdr:rowOff>
    </xdr:from>
    <xdr:to>
      <xdr:col>5</xdr:col>
      <xdr:colOff>0</xdr:colOff>
      <xdr:row>256</xdr:row>
      <xdr:rowOff>22477</xdr:rowOff>
    </xdr:to>
    <xdr:sp macro="" textlink="">
      <xdr:nvSpPr>
        <xdr:cNvPr id="2313" name="Text Box 4"/>
        <xdr:cNvSpPr txBox="1">
          <a:spLocks noChangeArrowheads="1"/>
        </xdr:cNvSpPr>
      </xdr:nvSpPr>
      <xdr:spPr bwMode="auto">
        <a:xfrm flipH="1">
          <a:off x="4972050" y="1794691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1626</xdr:rowOff>
    </xdr:from>
    <xdr:to>
      <xdr:col>5</xdr:col>
      <xdr:colOff>0</xdr:colOff>
      <xdr:row>227</xdr:row>
      <xdr:rowOff>82082</xdr:rowOff>
    </xdr:to>
    <xdr:sp macro="" textlink="">
      <xdr:nvSpPr>
        <xdr:cNvPr id="2320" name="Text Box 4"/>
        <xdr:cNvSpPr txBox="1">
          <a:spLocks noChangeArrowheads="1"/>
        </xdr:cNvSpPr>
      </xdr:nvSpPr>
      <xdr:spPr bwMode="auto">
        <a:xfrm flipH="1">
          <a:off x="4972050" y="1297467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10029</xdr:rowOff>
    </xdr:from>
    <xdr:to>
      <xdr:col>5</xdr:col>
      <xdr:colOff>0</xdr:colOff>
      <xdr:row>227</xdr:row>
      <xdr:rowOff>34573</xdr:rowOff>
    </xdr:to>
    <xdr:sp macro="" textlink="">
      <xdr:nvSpPr>
        <xdr:cNvPr id="2321" name="Text Box 12"/>
        <xdr:cNvSpPr txBox="1">
          <a:spLocks noChangeArrowheads="1"/>
        </xdr:cNvSpPr>
      </xdr:nvSpPr>
      <xdr:spPr bwMode="auto">
        <a:xfrm flipH="1">
          <a:off x="4972050" y="1298307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34226</xdr:rowOff>
    </xdr:to>
    <xdr:sp macro="" textlink="">
      <xdr:nvSpPr>
        <xdr:cNvPr id="2328" name="Text Box 14"/>
        <xdr:cNvSpPr txBox="1">
          <a:spLocks noChangeArrowheads="1"/>
        </xdr:cNvSpPr>
      </xdr:nvSpPr>
      <xdr:spPr bwMode="auto">
        <a:xfrm flipH="1">
          <a:off x="4972050" y="1298411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34225</xdr:rowOff>
    </xdr:to>
    <xdr:sp macro="" textlink="">
      <xdr:nvSpPr>
        <xdr:cNvPr id="2329" name="Text Box 16"/>
        <xdr:cNvSpPr txBox="1">
          <a:spLocks noChangeArrowheads="1"/>
        </xdr:cNvSpPr>
      </xdr:nvSpPr>
      <xdr:spPr bwMode="auto">
        <a:xfrm flipH="1">
          <a:off x="4972050" y="1298411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226</xdr:row>
      <xdr:rowOff>170050</xdr:rowOff>
    </xdr:from>
    <xdr:to>
      <xdr:col>5</xdr:col>
      <xdr:colOff>0</xdr:colOff>
      <xdr:row>227</xdr:row>
      <xdr:rowOff>79589</xdr:rowOff>
    </xdr:to>
    <xdr:sp macro="" textlink="">
      <xdr:nvSpPr>
        <xdr:cNvPr id="2336" name="Text Box 12"/>
        <xdr:cNvSpPr txBox="1">
          <a:spLocks noChangeArrowheads="1"/>
        </xdr:cNvSpPr>
      </xdr:nvSpPr>
      <xdr:spPr bwMode="auto">
        <a:xfrm flipH="1">
          <a:off x="4972050" y="129716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7976</xdr:rowOff>
    </xdr:from>
    <xdr:to>
      <xdr:col>5</xdr:col>
      <xdr:colOff>0</xdr:colOff>
      <xdr:row>227</xdr:row>
      <xdr:rowOff>38972</xdr:rowOff>
    </xdr:to>
    <xdr:sp macro="" textlink="">
      <xdr:nvSpPr>
        <xdr:cNvPr id="2337" name="Text Box 4"/>
        <xdr:cNvSpPr txBox="1">
          <a:spLocks noChangeArrowheads="1"/>
        </xdr:cNvSpPr>
      </xdr:nvSpPr>
      <xdr:spPr bwMode="auto">
        <a:xfrm flipH="1">
          <a:off x="4972050" y="1298102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1626</xdr:rowOff>
    </xdr:from>
    <xdr:to>
      <xdr:col>5</xdr:col>
      <xdr:colOff>0</xdr:colOff>
      <xdr:row>227</xdr:row>
      <xdr:rowOff>82082</xdr:rowOff>
    </xdr:to>
    <xdr:sp macro="" textlink="">
      <xdr:nvSpPr>
        <xdr:cNvPr id="2344" name="Text Box 4"/>
        <xdr:cNvSpPr txBox="1">
          <a:spLocks noChangeArrowheads="1"/>
        </xdr:cNvSpPr>
      </xdr:nvSpPr>
      <xdr:spPr bwMode="auto">
        <a:xfrm flipH="1">
          <a:off x="4972050" y="1297467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10029</xdr:rowOff>
    </xdr:from>
    <xdr:to>
      <xdr:col>5</xdr:col>
      <xdr:colOff>0</xdr:colOff>
      <xdr:row>227</xdr:row>
      <xdr:rowOff>34573</xdr:rowOff>
    </xdr:to>
    <xdr:sp macro="" textlink="">
      <xdr:nvSpPr>
        <xdr:cNvPr id="2345" name="Text Box 12"/>
        <xdr:cNvSpPr txBox="1">
          <a:spLocks noChangeArrowheads="1"/>
        </xdr:cNvSpPr>
      </xdr:nvSpPr>
      <xdr:spPr bwMode="auto">
        <a:xfrm flipH="1">
          <a:off x="4972050" y="1298307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34226</xdr:rowOff>
    </xdr:to>
    <xdr:sp macro="" textlink="">
      <xdr:nvSpPr>
        <xdr:cNvPr id="2352" name="Text Box 14"/>
        <xdr:cNvSpPr txBox="1">
          <a:spLocks noChangeArrowheads="1"/>
        </xdr:cNvSpPr>
      </xdr:nvSpPr>
      <xdr:spPr bwMode="auto">
        <a:xfrm flipH="1">
          <a:off x="4972050" y="1298411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34225</xdr:rowOff>
    </xdr:to>
    <xdr:sp macro="" textlink="">
      <xdr:nvSpPr>
        <xdr:cNvPr id="2353" name="Text Box 16"/>
        <xdr:cNvSpPr txBox="1">
          <a:spLocks noChangeArrowheads="1"/>
        </xdr:cNvSpPr>
      </xdr:nvSpPr>
      <xdr:spPr bwMode="auto">
        <a:xfrm flipH="1">
          <a:off x="4972050" y="1298411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226</xdr:row>
      <xdr:rowOff>170050</xdr:rowOff>
    </xdr:from>
    <xdr:to>
      <xdr:col>5</xdr:col>
      <xdr:colOff>0</xdr:colOff>
      <xdr:row>227</xdr:row>
      <xdr:rowOff>79589</xdr:rowOff>
    </xdr:to>
    <xdr:sp macro="" textlink="">
      <xdr:nvSpPr>
        <xdr:cNvPr id="2354" name="Text Box 12"/>
        <xdr:cNvSpPr txBox="1">
          <a:spLocks noChangeArrowheads="1"/>
        </xdr:cNvSpPr>
      </xdr:nvSpPr>
      <xdr:spPr bwMode="auto">
        <a:xfrm flipH="1">
          <a:off x="4972050" y="129716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7976</xdr:rowOff>
    </xdr:from>
    <xdr:to>
      <xdr:col>5</xdr:col>
      <xdr:colOff>0</xdr:colOff>
      <xdr:row>227</xdr:row>
      <xdr:rowOff>38972</xdr:rowOff>
    </xdr:to>
    <xdr:sp macro="" textlink="">
      <xdr:nvSpPr>
        <xdr:cNvPr id="2355" name="Text Box 4"/>
        <xdr:cNvSpPr txBox="1">
          <a:spLocks noChangeArrowheads="1"/>
        </xdr:cNvSpPr>
      </xdr:nvSpPr>
      <xdr:spPr bwMode="auto">
        <a:xfrm flipH="1">
          <a:off x="4972050" y="1298102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255</xdr:row>
      <xdr:rowOff>166913</xdr:rowOff>
    </xdr:from>
    <xdr:to>
      <xdr:col>4</xdr:col>
      <xdr:colOff>2586878</xdr:colOff>
      <xdr:row>256</xdr:row>
      <xdr:rowOff>34746</xdr:rowOff>
    </xdr:to>
    <xdr:sp macro="" textlink="">
      <xdr:nvSpPr>
        <xdr:cNvPr id="2356" name="Text Box 4"/>
        <xdr:cNvSpPr txBox="1">
          <a:spLocks noChangeArrowheads="1"/>
        </xdr:cNvSpPr>
      </xdr:nvSpPr>
      <xdr:spPr bwMode="auto">
        <a:xfrm flipH="1">
          <a:off x="4739528" y="1794056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3866</xdr:rowOff>
    </xdr:from>
    <xdr:to>
      <xdr:col>4</xdr:col>
      <xdr:colOff>2586878</xdr:colOff>
      <xdr:row>256</xdr:row>
      <xdr:rowOff>36591</xdr:rowOff>
    </xdr:to>
    <xdr:sp macro="" textlink="">
      <xdr:nvSpPr>
        <xdr:cNvPr id="2357" name="Text Box 12"/>
        <xdr:cNvSpPr txBox="1">
          <a:spLocks noChangeArrowheads="1"/>
        </xdr:cNvSpPr>
      </xdr:nvSpPr>
      <xdr:spPr bwMode="auto">
        <a:xfrm flipH="1">
          <a:off x="4739528" y="1794896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39644</xdr:rowOff>
    </xdr:to>
    <xdr:sp macro="" textlink="">
      <xdr:nvSpPr>
        <xdr:cNvPr id="2364" name="Text Box 14"/>
        <xdr:cNvSpPr txBox="1">
          <a:spLocks noChangeArrowheads="1"/>
        </xdr:cNvSpPr>
      </xdr:nvSpPr>
      <xdr:spPr bwMode="auto">
        <a:xfrm flipH="1">
          <a:off x="4739528" y="1795000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39643</xdr:rowOff>
    </xdr:to>
    <xdr:sp macro="" textlink="">
      <xdr:nvSpPr>
        <xdr:cNvPr id="2365" name="Text Box 16"/>
        <xdr:cNvSpPr txBox="1">
          <a:spLocks noChangeArrowheads="1"/>
        </xdr:cNvSpPr>
      </xdr:nvSpPr>
      <xdr:spPr bwMode="auto">
        <a:xfrm flipH="1">
          <a:off x="4739528" y="1795000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1962</xdr:rowOff>
    </xdr:from>
    <xdr:to>
      <xdr:col>4</xdr:col>
      <xdr:colOff>2586878</xdr:colOff>
      <xdr:row>256</xdr:row>
      <xdr:rowOff>32124</xdr:rowOff>
    </xdr:to>
    <xdr:sp macro="" textlink="">
      <xdr:nvSpPr>
        <xdr:cNvPr id="2372" name="Text Box 12"/>
        <xdr:cNvSpPr txBox="1">
          <a:spLocks noChangeArrowheads="1"/>
        </xdr:cNvSpPr>
      </xdr:nvSpPr>
      <xdr:spPr bwMode="auto">
        <a:xfrm flipH="1">
          <a:off x="4739528" y="1794706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1813</xdr:rowOff>
    </xdr:from>
    <xdr:to>
      <xdr:col>4</xdr:col>
      <xdr:colOff>2586878</xdr:colOff>
      <xdr:row>256</xdr:row>
      <xdr:rowOff>22477</xdr:rowOff>
    </xdr:to>
    <xdr:sp macro="" textlink="">
      <xdr:nvSpPr>
        <xdr:cNvPr id="2373" name="Text Box 4"/>
        <xdr:cNvSpPr txBox="1">
          <a:spLocks noChangeArrowheads="1"/>
        </xdr:cNvSpPr>
      </xdr:nvSpPr>
      <xdr:spPr bwMode="auto">
        <a:xfrm flipH="1">
          <a:off x="4739528" y="1794691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1626</xdr:rowOff>
    </xdr:from>
    <xdr:to>
      <xdr:col>4</xdr:col>
      <xdr:colOff>2586878</xdr:colOff>
      <xdr:row>227</xdr:row>
      <xdr:rowOff>82082</xdr:rowOff>
    </xdr:to>
    <xdr:sp macro="" textlink="">
      <xdr:nvSpPr>
        <xdr:cNvPr id="2380" name="Text Box 4"/>
        <xdr:cNvSpPr txBox="1">
          <a:spLocks noChangeArrowheads="1"/>
        </xdr:cNvSpPr>
      </xdr:nvSpPr>
      <xdr:spPr bwMode="auto">
        <a:xfrm flipH="1">
          <a:off x="4739528" y="1297467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2586878</xdr:colOff>
      <xdr:row>227</xdr:row>
      <xdr:rowOff>34573</xdr:rowOff>
    </xdr:to>
    <xdr:sp macro="" textlink="">
      <xdr:nvSpPr>
        <xdr:cNvPr id="2381" name="Text Box 12"/>
        <xdr:cNvSpPr txBox="1">
          <a:spLocks noChangeArrowheads="1"/>
        </xdr:cNvSpPr>
      </xdr:nvSpPr>
      <xdr:spPr bwMode="auto">
        <a:xfrm flipH="1">
          <a:off x="4739528" y="1298307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2586878</xdr:colOff>
      <xdr:row>227</xdr:row>
      <xdr:rowOff>34226</xdr:rowOff>
    </xdr:to>
    <xdr:sp macro="" textlink="">
      <xdr:nvSpPr>
        <xdr:cNvPr id="2382" name="Text Box 14"/>
        <xdr:cNvSpPr txBox="1">
          <a:spLocks noChangeArrowheads="1"/>
        </xdr:cNvSpPr>
      </xdr:nvSpPr>
      <xdr:spPr bwMode="auto">
        <a:xfrm flipH="1">
          <a:off x="4739528" y="1298411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2586878</xdr:colOff>
      <xdr:row>227</xdr:row>
      <xdr:rowOff>34225</xdr:rowOff>
    </xdr:to>
    <xdr:sp macro="" textlink="">
      <xdr:nvSpPr>
        <xdr:cNvPr id="2383" name="Text Box 16"/>
        <xdr:cNvSpPr txBox="1">
          <a:spLocks noChangeArrowheads="1"/>
        </xdr:cNvSpPr>
      </xdr:nvSpPr>
      <xdr:spPr bwMode="auto">
        <a:xfrm flipH="1">
          <a:off x="4739528" y="1298411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2586878</xdr:colOff>
      <xdr:row>227</xdr:row>
      <xdr:rowOff>79589</xdr:rowOff>
    </xdr:to>
    <xdr:sp macro="" textlink="">
      <xdr:nvSpPr>
        <xdr:cNvPr id="2384" name="Text Box 12"/>
        <xdr:cNvSpPr txBox="1">
          <a:spLocks noChangeArrowheads="1"/>
        </xdr:cNvSpPr>
      </xdr:nvSpPr>
      <xdr:spPr bwMode="auto">
        <a:xfrm flipH="1">
          <a:off x="4739528" y="129716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2586878</xdr:colOff>
      <xdr:row>227</xdr:row>
      <xdr:rowOff>38972</xdr:rowOff>
    </xdr:to>
    <xdr:sp macro="" textlink="">
      <xdr:nvSpPr>
        <xdr:cNvPr id="2385" name="Text Box 4"/>
        <xdr:cNvSpPr txBox="1">
          <a:spLocks noChangeArrowheads="1"/>
        </xdr:cNvSpPr>
      </xdr:nvSpPr>
      <xdr:spPr bwMode="auto">
        <a:xfrm flipH="1">
          <a:off x="4739528" y="1298102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1626</xdr:rowOff>
    </xdr:from>
    <xdr:to>
      <xdr:col>4</xdr:col>
      <xdr:colOff>2586878</xdr:colOff>
      <xdr:row>227</xdr:row>
      <xdr:rowOff>82082</xdr:rowOff>
    </xdr:to>
    <xdr:sp macro="" textlink="">
      <xdr:nvSpPr>
        <xdr:cNvPr id="2392" name="Text Box 4"/>
        <xdr:cNvSpPr txBox="1">
          <a:spLocks noChangeArrowheads="1"/>
        </xdr:cNvSpPr>
      </xdr:nvSpPr>
      <xdr:spPr bwMode="auto">
        <a:xfrm flipH="1">
          <a:off x="4739528" y="1297467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2586878</xdr:colOff>
      <xdr:row>227</xdr:row>
      <xdr:rowOff>34573</xdr:rowOff>
    </xdr:to>
    <xdr:sp macro="" textlink="">
      <xdr:nvSpPr>
        <xdr:cNvPr id="2393" name="Text Box 12"/>
        <xdr:cNvSpPr txBox="1">
          <a:spLocks noChangeArrowheads="1"/>
        </xdr:cNvSpPr>
      </xdr:nvSpPr>
      <xdr:spPr bwMode="auto">
        <a:xfrm flipH="1">
          <a:off x="4739528" y="1298307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2586878</xdr:colOff>
      <xdr:row>227</xdr:row>
      <xdr:rowOff>34226</xdr:rowOff>
    </xdr:to>
    <xdr:sp macro="" textlink="">
      <xdr:nvSpPr>
        <xdr:cNvPr id="2400" name="Text Box 14"/>
        <xdr:cNvSpPr txBox="1">
          <a:spLocks noChangeArrowheads="1"/>
        </xdr:cNvSpPr>
      </xdr:nvSpPr>
      <xdr:spPr bwMode="auto">
        <a:xfrm flipH="1">
          <a:off x="4739528" y="1298411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2586878</xdr:colOff>
      <xdr:row>227</xdr:row>
      <xdr:rowOff>34225</xdr:rowOff>
    </xdr:to>
    <xdr:sp macro="" textlink="">
      <xdr:nvSpPr>
        <xdr:cNvPr id="2401" name="Text Box 16"/>
        <xdr:cNvSpPr txBox="1">
          <a:spLocks noChangeArrowheads="1"/>
        </xdr:cNvSpPr>
      </xdr:nvSpPr>
      <xdr:spPr bwMode="auto">
        <a:xfrm flipH="1">
          <a:off x="4739528" y="1298411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2586878</xdr:colOff>
      <xdr:row>227</xdr:row>
      <xdr:rowOff>79589</xdr:rowOff>
    </xdr:to>
    <xdr:sp macro="" textlink="">
      <xdr:nvSpPr>
        <xdr:cNvPr id="2408" name="Text Box 12"/>
        <xdr:cNvSpPr txBox="1">
          <a:spLocks noChangeArrowheads="1"/>
        </xdr:cNvSpPr>
      </xdr:nvSpPr>
      <xdr:spPr bwMode="auto">
        <a:xfrm flipH="1">
          <a:off x="4739528" y="129716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2586878</xdr:colOff>
      <xdr:row>227</xdr:row>
      <xdr:rowOff>38972</xdr:rowOff>
    </xdr:to>
    <xdr:sp macro="" textlink="">
      <xdr:nvSpPr>
        <xdr:cNvPr id="2409" name="Text Box 4"/>
        <xdr:cNvSpPr txBox="1">
          <a:spLocks noChangeArrowheads="1"/>
        </xdr:cNvSpPr>
      </xdr:nvSpPr>
      <xdr:spPr bwMode="auto">
        <a:xfrm flipH="1">
          <a:off x="4739528" y="1298102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255</xdr:row>
      <xdr:rowOff>166913</xdr:rowOff>
    </xdr:from>
    <xdr:to>
      <xdr:col>5</xdr:col>
      <xdr:colOff>0</xdr:colOff>
      <xdr:row>256</xdr:row>
      <xdr:rowOff>34746</xdr:rowOff>
    </xdr:to>
    <xdr:sp macro="" textlink="">
      <xdr:nvSpPr>
        <xdr:cNvPr id="2410" name="Text Box 4"/>
        <xdr:cNvSpPr txBox="1">
          <a:spLocks noChangeArrowheads="1"/>
        </xdr:cNvSpPr>
      </xdr:nvSpPr>
      <xdr:spPr bwMode="auto">
        <a:xfrm flipH="1">
          <a:off x="4972050" y="1794056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3866</xdr:rowOff>
    </xdr:from>
    <xdr:to>
      <xdr:col>5</xdr:col>
      <xdr:colOff>0</xdr:colOff>
      <xdr:row>256</xdr:row>
      <xdr:rowOff>36591</xdr:rowOff>
    </xdr:to>
    <xdr:sp macro="" textlink="">
      <xdr:nvSpPr>
        <xdr:cNvPr id="2411" name="Text Box 12"/>
        <xdr:cNvSpPr txBox="1">
          <a:spLocks noChangeArrowheads="1"/>
        </xdr:cNvSpPr>
      </xdr:nvSpPr>
      <xdr:spPr bwMode="auto">
        <a:xfrm flipH="1">
          <a:off x="4972050" y="1794896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4901</xdr:rowOff>
    </xdr:from>
    <xdr:to>
      <xdr:col>5</xdr:col>
      <xdr:colOff>0</xdr:colOff>
      <xdr:row>256</xdr:row>
      <xdr:rowOff>39644</xdr:rowOff>
    </xdr:to>
    <xdr:sp macro="" textlink="">
      <xdr:nvSpPr>
        <xdr:cNvPr id="2412" name="Text Box 14"/>
        <xdr:cNvSpPr txBox="1">
          <a:spLocks noChangeArrowheads="1"/>
        </xdr:cNvSpPr>
      </xdr:nvSpPr>
      <xdr:spPr bwMode="auto">
        <a:xfrm flipH="1">
          <a:off x="4972050" y="1795000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4901</xdr:rowOff>
    </xdr:from>
    <xdr:to>
      <xdr:col>5</xdr:col>
      <xdr:colOff>0</xdr:colOff>
      <xdr:row>256</xdr:row>
      <xdr:rowOff>39643</xdr:rowOff>
    </xdr:to>
    <xdr:sp macro="" textlink="">
      <xdr:nvSpPr>
        <xdr:cNvPr id="2413" name="Text Box 16"/>
        <xdr:cNvSpPr txBox="1">
          <a:spLocks noChangeArrowheads="1"/>
        </xdr:cNvSpPr>
      </xdr:nvSpPr>
      <xdr:spPr bwMode="auto">
        <a:xfrm flipH="1">
          <a:off x="4972050" y="1795000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1962</xdr:rowOff>
    </xdr:from>
    <xdr:to>
      <xdr:col>5</xdr:col>
      <xdr:colOff>0</xdr:colOff>
      <xdr:row>256</xdr:row>
      <xdr:rowOff>32124</xdr:rowOff>
    </xdr:to>
    <xdr:sp macro="" textlink="">
      <xdr:nvSpPr>
        <xdr:cNvPr id="2420" name="Text Box 12"/>
        <xdr:cNvSpPr txBox="1">
          <a:spLocks noChangeArrowheads="1"/>
        </xdr:cNvSpPr>
      </xdr:nvSpPr>
      <xdr:spPr bwMode="auto">
        <a:xfrm flipH="1">
          <a:off x="4972050" y="1794706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256</xdr:row>
      <xdr:rowOff>1813</xdr:rowOff>
    </xdr:from>
    <xdr:to>
      <xdr:col>5</xdr:col>
      <xdr:colOff>0</xdr:colOff>
      <xdr:row>256</xdr:row>
      <xdr:rowOff>22477</xdr:rowOff>
    </xdr:to>
    <xdr:sp macro="" textlink="">
      <xdr:nvSpPr>
        <xdr:cNvPr id="2421" name="Text Box 4"/>
        <xdr:cNvSpPr txBox="1">
          <a:spLocks noChangeArrowheads="1"/>
        </xdr:cNvSpPr>
      </xdr:nvSpPr>
      <xdr:spPr bwMode="auto">
        <a:xfrm flipH="1">
          <a:off x="4972050" y="1794691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1626</xdr:rowOff>
    </xdr:from>
    <xdr:to>
      <xdr:col>5</xdr:col>
      <xdr:colOff>0</xdr:colOff>
      <xdr:row>227</xdr:row>
      <xdr:rowOff>82082</xdr:rowOff>
    </xdr:to>
    <xdr:sp macro="" textlink="">
      <xdr:nvSpPr>
        <xdr:cNvPr id="2428" name="Text Box 4"/>
        <xdr:cNvSpPr txBox="1">
          <a:spLocks noChangeArrowheads="1"/>
        </xdr:cNvSpPr>
      </xdr:nvSpPr>
      <xdr:spPr bwMode="auto">
        <a:xfrm flipH="1">
          <a:off x="4972050" y="1297467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10029</xdr:rowOff>
    </xdr:from>
    <xdr:to>
      <xdr:col>5</xdr:col>
      <xdr:colOff>0</xdr:colOff>
      <xdr:row>227</xdr:row>
      <xdr:rowOff>34573</xdr:rowOff>
    </xdr:to>
    <xdr:sp macro="" textlink="">
      <xdr:nvSpPr>
        <xdr:cNvPr id="2429" name="Text Box 12"/>
        <xdr:cNvSpPr txBox="1">
          <a:spLocks noChangeArrowheads="1"/>
        </xdr:cNvSpPr>
      </xdr:nvSpPr>
      <xdr:spPr bwMode="auto">
        <a:xfrm flipH="1">
          <a:off x="4972050" y="1298307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34226</xdr:rowOff>
    </xdr:to>
    <xdr:sp macro="" textlink="">
      <xdr:nvSpPr>
        <xdr:cNvPr id="2436" name="Text Box 14"/>
        <xdr:cNvSpPr txBox="1">
          <a:spLocks noChangeArrowheads="1"/>
        </xdr:cNvSpPr>
      </xdr:nvSpPr>
      <xdr:spPr bwMode="auto">
        <a:xfrm flipH="1">
          <a:off x="4972050" y="1298411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34225</xdr:rowOff>
    </xdr:to>
    <xdr:sp macro="" textlink="">
      <xdr:nvSpPr>
        <xdr:cNvPr id="2437" name="Text Box 16"/>
        <xdr:cNvSpPr txBox="1">
          <a:spLocks noChangeArrowheads="1"/>
        </xdr:cNvSpPr>
      </xdr:nvSpPr>
      <xdr:spPr bwMode="auto">
        <a:xfrm flipH="1">
          <a:off x="4972050" y="1298411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226</xdr:row>
      <xdr:rowOff>170050</xdr:rowOff>
    </xdr:from>
    <xdr:to>
      <xdr:col>5</xdr:col>
      <xdr:colOff>0</xdr:colOff>
      <xdr:row>227</xdr:row>
      <xdr:rowOff>79589</xdr:rowOff>
    </xdr:to>
    <xdr:sp macro="" textlink="">
      <xdr:nvSpPr>
        <xdr:cNvPr id="2438" name="Text Box 12"/>
        <xdr:cNvSpPr txBox="1">
          <a:spLocks noChangeArrowheads="1"/>
        </xdr:cNvSpPr>
      </xdr:nvSpPr>
      <xdr:spPr bwMode="auto">
        <a:xfrm flipH="1">
          <a:off x="4972050" y="129716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7976</xdr:rowOff>
    </xdr:from>
    <xdr:to>
      <xdr:col>5</xdr:col>
      <xdr:colOff>0</xdr:colOff>
      <xdr:row>227</xdr:row>
      <xdr:rowOff>38972</xdr:rowOff>
    </xdr:to>
    <xdr:sp macro="" textlink="">
      <xdr:nvSpPr>
        <xdr:cNvPr id="2439" name="Text Box 4"/>
        <xdr:cNvSpPr txBox="1">
          <a:spLocks noChangeArrowheads="1"/>
        </xdr:cNvSpPr>
      </xdr:nvSpPr>
      <xdr:spPr bwMode="auto">
        <a:xfrm flipH="1">
          <a:off x="4972050" y="1298102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1626</xdr:rowOff>
    </xdr:from>
    <xdr:to>
      <xdr:col>5</xdr:col>
      <xdr:colOff>0</xdr:colOff>
      <xdr:row>227</xdr:row>
      <xdr:rowOff>82082</xdr:rowOff>
    </xdr:to>
    <xdr:sp macro="" textlink="">
      <xdr:nvSpPr>
        <xdr:cNvPr id="2440" name="Text Box 4"/>
        <xdr:cNvSpPr txBox="1">
          <a:spLocks noChangeArrowheads="1"/>
        </xdr:cNvSpPr>
      </xdr:nvSpPr>
      <xdr:spPr bwMode="auto">
        <a:xfrm flipH="1">
          <a:off x="4972050" y="1297467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10029</xdr:rowOff>
    </xdr:from>
    <xdr:to>
      <xdr:col>5</xdr:col>
      <xdr:colOff>0</xdr:colOff>
      <xdr:row>227</xdr:row>
      <xdr:rowOff>34573</xdr:rowOff>
    </xdr:to>
    <xdr:sp macro="" textlink="">
      <xdr:nvSpPr>
        <xdr:cNvPr id="2441" name="Text Box 12"/>
        <xdr:cNvSpPr txBox="1">
          <a:spLocks noChangeArrowheads="1"/>
        </xdr:cNvSpPr>
      </xdr:nvSpPr>
      <xdr:spPr bwMode="auto">
        <a:xfrm flipH="1">
          <a:off x="4972050" y="1298307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34226</xdr:rowOff>
    </xdr:to>
    <xdr:sp macro="" textlink="">
      <xdr:nvSpPr>
        <xdr:cNvPr id="2448" name="Text Box 14"/>
        <xdr:cNvSpPr txBox="1">
          <a:spLocks noChangeArrowheads="1"/>
        </xdr:cNvSpPr>
      </xdr:nvSpPr>
      <xdr:spPr bwMode="auto">
        <a:xfrm flipH="1">
          <a:off x="4972050" y="1298411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11064</xdr:rowOff>
    </xdr:from>
    <xdr:to>
      <xdr:col>5</xdr:col>
      <xdr:colOff>0</xdr:colOff>
      <xdr:row>227</xdr:row>
      <xdr:rowOff>34225</xdr:rowOff>
    </xdr:to>
    <xdr:sp macro="" textlink="">
      <xdr:nvSpPr>
        <xdr:cNvPr id="2449" name="Text Box 16"/>
        <xdr:cNvSpPr txBox="1">
          <a:spLocks noChangeArrowheads="1"/>
        </xdr:cNvSpPr>
      </xdr:nvSpPr>
      <xdr:spPr bwMode="auto">
        <a:xfrm flipH="1">
          <a:off x="4972050" y="1298411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226</xdr:row>
      <xdr:rowOff>170050</xdr:rowOff>
    </xdr:from>
    <xdr:to>
      <xdr:col>5</xdr:col>
      <xdr:colOff>0</xdr:colOff>
      <xdr:row>227</xdr:row>
      <xdr:rowOff>79589</xdr:rowOff>
    </xdr:to>
    <xdr:sp macro="" textlink="">
      <xdr:nvSpPr>
        <xdr:cNvPr id="2456" name="Text Box 12"/>
        <xdr:cNvSpPr txBox="1">
          <a:spLocks noChangeArrowheads="1"/>
        </xdr:cNvSpPr>
      </xdr:nvSpPr>
      <xdr:spPr bwMode="auto">
        <a:xfrm flipH="1">
          <a:off x="4972050" y="129716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227</xdr:row>
      <xdr:rowOff>7976</xdr:rowOff>
    </xdr:from>
    <xdr:to>
      <xdr:col>5</xdr:col>
      <xdr:colOff>0</xdr:colOff>
      <xdr:row>227</xdr:row>
      <xdr:rowOff>38972</xdr:rowOff>
    </xdr:to>
    <xdr:sp macro="" textlink="">
      <xdr:nvSpPr>
        <xdr:cNvPr id="2457" name="Text Box 4"/>
        <xdr:cNvSpPr txBox="1">
          <a:spLocks noChangeArrowheads="1"/>
        </xdr:cNvSpPr>
      </xdr:nvSpPr>
      <xdr:spPr bwMode="auto">
        <a:xfrm flipH="1">
          <a:off x="4972050" y="1298102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1626</xdr:rowOff>
    </xdr:from>
    <xdr:to>
      <xdr:col>4</xdr:col>
      <xdr:colOff>2586878</xdr:colOff>
      <xdr:row>227</xdr:row>
      <xdr:rowOff>82082</xdr:rowOff>
    </xdr:to>
    <xdr:sp macro="" textlink="">
      <xdr:nvSpPr>
        <xdr:cNvPr id="2464" name="Text Box 4"/>
        <xdr:cNvSpPr txBox="1">
          <a:spLocks noChangeArrowheads="1"/>
        </xdr:cNvSpPr>
      </xdr:nvSpPr>
      <xdr:spPr bwMode="auto">
        <a:xfrm flipH="1">
          <a:off x="4739528" y="1297467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2586878</xdr:colOff>
      <xdr:row>227</xdr:row>
      <xdr:rowOff>34573</xdr:rowOff>
    </xdr:to>
    <xdr:sp macro="" textlink="">
      <xdr:nvSpPr>
        <xdr:cNvPr id="2465" name="Text Box 12"/>
        <xdr:cNvSpPr txBox="1">
          <a:spLocks noChangeArrowheads="1"/>
        </xdr:cNvSpPr>
      </xdr:nvSpPr>
      <xdr:spPr bwMode="auto">
        <a:xfrm flipH="1">
          <a:off x="4739528" y="1298307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2586878</xdr:colOff>
      <xdr:row>227</xdr:row>
      <xdr:rowOff>34226</xdr:rowOff>
    </xdr:to>
    <xdr:sp macro="" textlink="">
      <xdr:nvSpPr>
        <xdr:cNvPr id="2472" name="Text Box 14"/>
        <xdr:cNvSpPr txBox="1">
          <a:spLocks noChangeArrowheads="1"/>
        </xdr:cNvSpPr>
      </xdr:nvSpPr>
      <xdr:spPr bwMode="auto">
        <a:xfrm flipH="1">
          <a:off x="4739528" y="1298411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2586878</xdr:colOff>
      <xdr:row>227</xdr:row>
      <xdr:rowOff>34225</xdr:rowOff>
    </xdr:to>
    <xdr:sp macro="" textlink="">
      <xdr:nvSpPr>
        <xdr:cNvPr id="2473" name="Text Box 16"/>
        <xdr:cNvSpPr txBox="1">
          <a:spLocks noChangeArrowheads="1"/>
        </xdr:cNvSpPr>
      </xdr:nvSpPr>
      <xdr:spPr bwMode="auto">
        <a:xfrm flipH="1">
          <a:off x="4739528" y="1298411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2586878</xdr:colOff>
      <xdr:row>227</xdr:row>
      <xdr:rowOff>79589</xdr:rowOff>
    </xdr:to>
    <xdr:sp macro="" textlink="">
      <xdr:nvSpPr>
        <xdr:cNvPr id="2480" name="Text Box 12"/>
        <xdr:cNvSpPr txBox="1">
          <a:spLocks noChangeArrowheads="1"/>
        </xdr:cNvSpPr>
      </xdr:nvSpPr>
      <xdr:spPr bwMode="auto">
        <a:xfrm flipH="1">
          <a:off x="4739528" y="129716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2586878</xdr:colOff>
      <xdr:row>227</xdr:row>
      <xdr:rowOff>38972</xdr:rowOff>
    </xdr:to>
    <xdr:sp macro="" textlink="">
      <xdr:nvSpPr>
        <xdr:cNvPr id="2481" name="Text Box 4"/>
        <xdr:cNvSpPr txBox="1">
          <a:spLocks noChangeArrowheads="1"/>
        </xdr:cNvSpPr>
      </xdr:nvSpPr>
      <xdr:spPr bwMode="auto">
        <a:xfrm flipH="1">
          <a:off x="4739528" y="1298102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1626</xdr:rowOff>
    </xdr:from>
    <xdr:to>
      <xdr:col>4</xdr:col>
      <xdr:colOff>2586878</xdr:colOff>
      <xdr:row>227</xdr:row>
      <xdr:rowOff>82082</xdr:rowOff>
    </xdr:to>
    <xdr:sp macro="" textlink="">
      <xdr:nvSpPr>
        <xdr:cNvPr id="2482" name="Text Box 4"/>
        <xdr:cNvSpPr txBox="1">
          <a:spLocks noChangeArrowheads="1"/>
        </xdr:cNvSpPr>
      </xdr:nvSpPr>
      <xdr:spPr bwMode="auto">
        <a:xfrm flipH="1">
          <a:off x="4739528" y="1297467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10029</xdr:rowOff>
    </xdr:from>
    <xdr:to>
      <xdr:col>4</xdr:col>
      <xdr:colOff>2586878</xdr:colOff>
      <xdr:row>227</xdr:row>
      <xdr:rowOff>34573</xdr:rowOff>
    </xdr:to>
    <xdr:sp macro="" textlink="">
      <xdr:nvSpPr>
        <xdr:cNvPr id="2483" name="Text Box 12"/>
        <xdr:cNvSpPr txBox="1">
          <a:spLocks noChangeArrowheads="1"/>
        </xdr:cNvSpPr>
      </xdr:nvSpPr>
      <xdr:spPr bwMode="auto">
        <a:xfrm flipH="1">
          <a:off x="4739528" y="1298307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2586878</xdr:colOff>
      <xdr:row>227</xdr:row>
      <xdr:rowOff>34226</xdr:rowOff>
    </xdr:to>
    <xdr:sp macro="" textlink="">
      <xdr:nvSpPr>
        <xdr:cNvPr id="2484" name="Text Box 14"/>
        <xdr:cNvSpPr txBox="1">
          <a:spLocks noChangeArrowheads="1"/>
        </xdr:cNvSpPr>
      </xdr:nvSpPr>
      <xdr:spPr bwMode="auto">
        <a:xfrm flipH="1">
          <a:off x="4739528" y="1298411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11064</xdr:rowOff>
    </xdr:from>
    <xdr:to>
      <xdr:col>4</xdr:col>
      <xdr:colOff>2586878</xdr:colOff>
      <xdr:row>227</xdr:row>
      <xdr:rowOff>34225</xdr:rowOff>
    </xdr:to>
    <xdr:sp macro="" textlink="">
      <xdr:nvSpPr>
        <xdr:cNvPr id="2485" name="Text Box 16"/>
        <xdr:cNvSpPr txBox="1">
          <a:spLocks noChangeArrowheads="1"/>
        </xdr:cNvSpPr>
      </xdr:nvSpPr>
      <xdr:spPr bwMode="auto">
        <a:xfrm flipH="1">
          <a:off x="4739528" y="1298411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226</xdr:row>
      <xdr:rowOff>170050</xdr:rowOff>
    </xdr:from>
    <xdr:to>
      <xdr:col>4</xdr:col>
      <xdr:colOff>2586878</xdr:colOff>
      <xdr:row>227</xdr:row>
      <xdr:rowOff>79589</xdr:rowOff>
    </xdr:to>
    <xdr:sp macro="" textlink="">
      <xdr:nvSpPr>
        <xdr:cNvPr id="2492" name="Text Box 12"/>
        <xdr:cNvSpPr txBox="1">
          <a:spLocks noChangeArrowheads="1"/>
        </xdr:cNvSpPr>
      </xdr:nvSpPr>
      <xdr:spPr bwMode="auto">
        <a:xfrm flipH="1">
          <a:off x="4739528" y="129716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227</xdr:row>
      <xdr:rowOff>7976</xdr:rowOff>
    </xdr:from>
    <xdr:to>
      <xdr:col>4</xdr:col>
      <xdr:colOff>2586878</xdr:colOff>
      <xdr:row>227</xdr:row>
      <xdr:rowOff>38972</xdr:rowOff>
    </xdr:to>
    <xdr:sp macro="" textlink="">
      <xdr:nvSpPr>
        <xdr:cNvPr id="2493" name="Text Box 4"/>
        <xdr:cNvSpPr txBox="1">
          <a:spLocks noChangeArrowheads="1"/>
        </xdr:cNvSpPr>
      </xdr:nvSpPr>
      <xdr:spPr bwMode="auto">
        <a:xfrm flipH="1">
          <a:off x="4739528" y="1298102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255</xdr:row>
      <xdr:rowOff>166913</xdr:rowOff>
    </xdr:from>
    <xdr:to>
      <xdr:col>4</xdr:col>
      <xdr:colOff>2586878</xdr:colOff>
      <xdr:row>256</xdr:row>
      <xdr:rowOff>34746</xdr:rowOff>
    </xdr:to>
    <xdr:sp macro="" textlink="">
      <xdr:nvSpPr>
        <xdr:cNvPr id="2500" name="Text Box 4"/>
        <xdr:cNvSpPr txBox="1">
          <a:spLocks noChangeArrowheads="1"/>
        </xdr:cNvSpPr>
      </xdr:nvSpPr>
      <xdr:spPr bwMode="auto">
        <a:xfrm flipH="1">
          <a:off x="4739528" y="1794056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3866</xdr:rowOff>
    </xdr:from>
    <xdr:to>
      <xdr:col>4</xdr:col>
      <xdr:colOff>2586878</xdr:colOff>
      <xdr:row>256</xdr:row>
      <xdr:rowOff>36591</xdr:rowOff>
    </xdr:to>
    <xdr:sp macro="" textlink="">
      <xdr:nvSpPr>
        <xdr:cNvPr id="2501" name="Text Box 12"/>
        <xdr:cNvSpPr txBox="1">
          <a:spLocks noChangeArrowheads="1"/>
        </xdr:cNvSpPr>
      </xdr:nvSpPr>
      <xdr:spPr bwMode="auto">
        <a:xfrm flipH="1">
          <a:off x="4739528" y="1794896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39644</xdr:rowOff>
    </xdr:to>
    <xdr:sp macro="" textlink="">
      <xdr:nvSpPr>
        <xdr:cNvPr id="2508" name="Text Box 14"/>
        <xdr:cNvSpPr txBox="1">
          <a:spLocks noChangeArrowheads="1"/>
        </xdr:cNvSpPr>
      </xdr:nvSpPr>
      <xdr:spPr bwMode="auto">
        <a:xfrm flipH="1">
          <a:off x="4739528" y="1795000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39643</xdr:rowOff>
    </xdr:to>
    <xdr:sp macro="" textlink="">
      <xdr:nvSpPr>
        <xdr:cNvPr id="2509" name="Text Box 16"/>
        <xdr:cNvSpPr txBox="1">
          <a:spLocks noChangeArrowheads="1"/>
        </xdr:cNvSpPr>
      </xdr:nvSpPr>
      <xdr:spPr bwMode="auto">
        <a:xfrm flipH="1">
          <a:off x="4739528" y="1795000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1962</xdr:rowOff>
    </xdr:from>
    <xdr:to>
      <xdr:col>4</xdr:col>
      <xdr:colOff>2586878</xdr:colOff>
      <xdr:row>256</xdr:row>
      <xdr:rowOff>32124</xdr:rowOff>
    </xdr:to>
    <xdr:sp macro="" textlink="">
      <xdr:nvSpPr>
        <xdr:cNvPr id="2516" name="Text Box 12"/>
        <xdr:cNvSpPr txBox="1">
          <a:spLocks noChangeArrowheads="1"/>
        </xdr:cNvSpPr>
      </xdr:nvSpPr>
      <xdr:spPr bwMode="auto">
        <a:xfrm flipH="1">
          <a:off x="4739528" y="1794706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1813</xdr:rowOff>
    </xdr:from>
    <xdr:to>
      <xdr:col>4</xdr:col>
      <xdr:colOff>2586878</xdr:colOff>
      <xdr:row>256</xdr:row>
      <xdr:rowOff>22477</xdr:rowOff>
    </xdr:to>
    <xdr:sp macro="" textlink="">
      <xdr:nvSpPr>
        <xdr:cNvPr id="2517" name="Text Box 4"/>
        <xdr:cNvSpPr txBox="1">
          <a:spLocks noChangeArrowheads="1"/>
        </xdr:cNvSpPr>
      </xdr:nvSpPr>
      <xdr:spPr bwMode="auto">
        <a:xfrm flipH="1">
          <a:off x="4739528" y="1794691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24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25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26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27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28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29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36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37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44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45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52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53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60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61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68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69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70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71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72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73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80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81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88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589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255</xdr:row>
      <xdr:rowOff>166913</xdr:rowOff>
    </xdr:from>
    <xdr:to>
      <xdr:col>4</xdr:col>
      <xdr:colOff>2586878</xdr:colOff>
      <xdr:row>256</xdr:row>
      <xdr:rowOff>34746</xdr:rowOff>
    </xdr:to>
    <xdr:sp macro="" textlink="">
      <xdr:nvSpPr>
        <xdr:cNvPr id="2596" name="Text Box 4"/>
        <xdr:cNvSpPr txBox="1">
          <a:spLocks noChangeArrowheads="1"/>
        </xdr:cNvSpPr>
      </xdr:nvSpPr>
      <xdr:spPr bwMode="auto">
        <a:xfrm flipH="1">
          <a:off x="4739528" y="1794056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3866</xdr:rowOff>
    </xdr:from>
    <xdr:to>
      <xdr:col>4</xdr:col>
      <xdr:colOff>2586878</xdr:colOff>
      <xdr:row>256</xdr:row>
      <xdr:rowOff>36591</xdr:rowOff>
    </xdr:to>
    <xdr:sp macro="" textlink="">
      <xdr:nvSpPr>
        <xdr:cNvPr id="2597" name="Text Box 12"/>
        <xdr:cNvSpPr txBox="1">
          <a:spLocks noChangeArrowheads="1"/>
        </xdr:cNvSpPr>
      </xdr:nvSpPr>
      <xdr:spPr bwMode="auto">
        <a:xfrm flipH="1">
          <a:off x="4739528" y="1794896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39644</xdr:rowOff>
    </xdr:to>
    <xdr:sp macro="" textlink="">
      <xdr:nvSpPr>
        <xdr:cNvPr id="2604" name="Text Box 14"/>
        <xdr:cNvSpPr txBox="1">
          <a:spLocks noChangeArrowheads="1"/>
        </xdr:cNvSpPr>
      </xdr:nvSpPr>
      <xdr:spPr bwMode="auto">
        <a:xfrm flipH="1">
          <a:off x="4739528" y="1795000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39643</xdr:rowOff>
    </xdr:to>
    <xdr:sp macro="" textlink="">
      <xdr:nvSpPr>
        <xdr:cNvPr id="2605" name="Text Box 16"/>
        <xdr:cNvSpPr txBox="1">
          <a:spLocks noChangeArrowheads="1"/>
        </xdr:cNvSpPr>
      </xdr:nvSpPr>
      <xdr:spPr bwMode="auto">
        <a:xfrm flipH="1">
          <a:off x="4739528" y="1795000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1962</xdr:rowOff>
    </xdr:from>
    <xdr:to>
      <xdr:col>4</xdr:col>
      <xdr:colOff>2586878</xdr:colOff>
      <xdr:row>256</xdr:row>
      <xdr:rowOff>32124</xdr:rowOff>
    </xdr:to>
    <xdr:sp macro="" textlink="">
      <xdr:nvSpPr>
        <xdr:cNvPr id="2612" name="Text Box 12"/>
        <xdr:cNvSpPr txBox="1">
          <a:spLocks noChangeArrowheads="1"/>
        </xdr:cNvSpPr>
      </xdr:nvSpPr>
      <xdr:spPr bwMode="auto">
        <a:xfrm flipH="1">
          <a:off x="4739528" y="1794706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1813</xdr:rowOff>
    </xdr:from>
    <xdr:to>
      <xdr:col>4</xdr:col>
      <xdr:colOff>2586878</xdr:colOff>
      <xdr:row>256</xdr:row>
      <xdr:rowOff>22477</xdr:rowOff>
    </xdr:to>
    <xdr:sp macro="" textlink="">
      <xdr:nvSpPr>
        <xdr:cNvPr id="2613" name="Text Box 4"/>
        <xdr:cNvSpPr txBox="1">
          <a:spLocks noChangeArrowheads="1"/>
        </xdr:cNvSpPr>
      </xdr:nvSpPr>
      <xdr:spPr bwMode="auto">
        <a:xfrm flipH="1">
          <a:off x="4739528" y="1794691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14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15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16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17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18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19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20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21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22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23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24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25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26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27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28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29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30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31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32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33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34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35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36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37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255</xdr:row>
      <xdr:rowOff>166913</xdr:rowOff>
    </xdr:from>
    <xdr:to>
      <xdr:col>4</xdr:col>
      <xdr:colOff>2586878</xdr:colOff>
      <xdr:row>256</xdr:row>
      <xdr:rowOff>34746</xdr:rowOff>
    </xdr:to>
    <xdr:sp macro="" textlink="">
      <xdr:nvSpPr>
        <xdr:cNvPr id="2638" name="Text Box 4"/>
        <xdr:cNvSpPr txBox="1">
          <a:spLocks noChangeArrowheads="1"/>
        </xdr:cNvSpPr>
      </xdr:nvSpPr>
      <xdr:spPr bwMode="auto">
        <a:xfrm flipH="1">
          <a:off x="4739528" y="1794056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3866</xdr:rowOff>
    </xdr:from>
    <xdr:to>
      <xdr:col>4</xdr:col>
      <xdr:colOff>2586878</xdr:colOff>
      <xdr:row>256</xdr:row>
      <xdr:rowOff>36591</xdr:rowOff>
    </xdr:to>
    <xdr:sp macro="" textlink="">
      <xdr:nvSpPr>
        <xdr:cNvPr id="2639" name="Text Box 12"/>
        <xdr:cNvSpPr txBox="1">
          <a:spLocks noChangeArrowheads="1"/>
        </xdr:cNvSpPr>
      </xdr:nvSpPr>
      <xdr:spPr bwMode="auto">
        <a:xfrm flipH="1">
          <a:off x="4739528" y="1794896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39644</xdr:rowOff>
    </xdr:to>
    <xdr:sp macro="" textlink="">
      <xdr:nvSpPr>
        <xdr:cNvPr id="2640" name="Text Box 14"/>
        <xdr:cNvSpPr txBox="1">
          <a:spLocks noChangeArrowheads="1"/>
        </xdr:cNvSpPr>
      </xdr:nvSpPr>
      <xdr:spPr bwMode="auto">
        <a:xfrm flipH="1">
          <a:off x="4739528" y="1795000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39643</xdr:rowOff>
    </xdr:to>
    <xdr:sp macro="" textlink="">
      <xdr:nvSpPr>
        <xdr:cNvPr id="2641" name="Text Box 16"/>
        <xdr:cNvSpPr txBox="1">
          <a:spLocks noChangeArrowheads="1"/>
        </xdr:cNvSpPr>
      </xdr:nvSpPr>
      <xdr:spPr bwMode="auto">
        <a:xfrm flipH="1">
          <a:off x="4739528" y="1795000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1962</xdr:rowOff>
    </xdr:from>
    <xdr:to>
      <xdr:col>4</xdr:col>
      <xdr:colOff>2586878</xdr:colOff>
      <xdr:row>256</xdr:row>
      <xdr:rowOff>32124</xdr:rowOff>
    </xdr:to>
    <xdr:sp macro="" textlink="">
      <xdr:nvSpPr>
        <xdr:cNvPr id="2642" name="Text Box 12"/>
        <xdr:cNvSpPr txBox="1">
          <a:spLocks noChangeArrowheads="1"/>
        </xdr:cNvSpPr>
      </xdr:nvSpPr>
      <xdr:spPr bwMode="auto">
        <a:xfrm flipH="1">
          <a:off x="4739528" y="1794706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1813</xdr:rowOff>
    </xdr:from>
    <xdr:to>
      <xdr:col>4</xdr:col>
      <xdr:colOff>2586878</xdr:colOff>
      <xdr:row>256</xdr:row>
      <xdr:rowOff>22477</xdr:rowOff>
    </xdr:to>
    <xdr:sp macro="" textlink="">
      <xdr:nvSpPr>
        <xdr:cNvPr id="2643" name="Text Box 4"/>
        <xdr:cNvSpPr txBox="1">
          <a:spLocks noChangeArrowheads="1"/>
        </xdr:cNvSpPr>
      </xdr:nvSpPr>
      <xdr:spPr bwMode="auto">
        <a:xfrm flipH="1">
          <a:off x="4739528" y="1794691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44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51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52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53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60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61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62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69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70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77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78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85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86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93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694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701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702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709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710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717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718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725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726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733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255</xdr:row>
      <xdr:rowOff>166913</xdr:rowOff>
    </xdr:from>
    <xdr:to>
      <xdr:col>4</xdr:col>
      <xdr:colOff>2586878</xdr:colOff>
      <xdr:row>256</xdr:row>
      <xdr:rowOff>34746</xdr:rowOff>
    </xdr:to>
    <xdr:sp macro="" textlink="">
      <xdr:nvSpPr>
        <xdr:cNvPr id="2734" name="Text Box 4"/>
        <xdr:cNvSpPr txBox="1">
          <a:spLocks noChangeArrowheads="1"/>
        </xdr:cNvSpPr>
      </xdr:nvSpPr>
      <xdr:spPr bwMode="auto">
        <a:xfrm flipH="1">
          <a:off x="4739528" y="1794056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3866</xdr:rowOff>
    </xdr:from>
    <xdr:to>
      <xdr:col>4</xdr:col>
      <xdr:colOff>2586878</xdr:colOff>
      <xdr:row>256</xdr:row>
      <xdr:rowOff>36591</xdr:rowOff>
    </xdr:to>
    <xdr:sp macro="" textlink="">
      <xdr:nvSpPr>
        <xdr:cNvPr id="2741" name="Text Box 12"/>
        <xdr:cNvSpPr txBox="1">
          <a:spLocks noChangeArrowheads="1"/>
        </xdr:cNvSpPr>
      </xdr:nvSpPr>
      <xdr:spPr bwMode="auto">
        <a:xfrm flipH="1">
          <a:off x="4739528" y="1794896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39644</xdr:rowOff>
    </xdr:to>
    <xdr:sp macro="" textlink="">
      <xdr:nvSpPr>
        <xdr:cNvPr id="2742" name="Text Box 14"/>
        <xdr:cNvSpPr txBox="1">
          <a:spLocks noChangeArrowheads="1"/>
        </xdr:cNvSpPr>
      </xdr:nvSpPr>
      <xdr:spPr bwMode="auto">
        <a:xfrm flipH="1">
          <a:off x="4739528" y="1795000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39643</xdr:rowOff>
    </xdr:to>
    <xdr:sp macro="" textlink="">
      <xdr:nvSpPr>
        <xdr:cNvPr id="2749" name="Text Box 16"/>
        <xdr:cNvSpPr txBox="1">
          <a:spLocks noChangeArrowheads="1"/>
        </xdr:cNvSpPr>
      </xdr:nvSpPr>
      <xdr:spPr bwMode="auto">
        <a:xfrm flipH="1">
          <a:off x="4739528" y="1795000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1962</xdr:rowOff>
    </xdr:from>
    <xdr:to>
      <xdr:col>4</xdr:col>
      <xdr:colOff>2586878</xdr:colOff>
      <xdr:row>256</xdr:row>
      <xdr:rowOff>32124</xdr:rowOff>
    </xdr:to>
    <xdr:sp macro="" textlink="">
      <xdr:nvSpPr>
        <xdr:cNvPr id="2750" name="Text Box 12"/>
        <xdr:cNvSpPr txBox="1">
          <a:spLocks noChangeArrowheads="1"/>
        </xdr:cNvSpPr>
      </xdr:nvSpPr>
      <xdr:spPr bwMode="auto">
        <a:xfrm flipH="1">
          <a:off x="4739528" y="1794706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1813</xdr:rowOff>
    </xdr:from>
    <xdr:to>
      <xdr:col>4</xdr:col>
      <xdr:colOff>2586878</xdr:colOff>
      <xdr:row>256</xdr:row>
      <xdr:rowOff>22477</xdr:rowOff>
    </xdr:to>
    <xdr:sp macro="" textlink="">
      <xdr:nvSpPr>
        <xdr:cNvPr id="2757" name="Text Box 4"/>
        <xdr:cNvSpPr txBox="1">
          <a:spLocks noChangeArrowheads="1"/>
        </xdr:cNvSpPr>
      </xdr:nvSpPr>
      <xdr:spPr bwMode="auto">
        <a:xfrm flipH="1">
          <a:off x="4739528" y="1794691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255</xdr:row>
      <xdr:rowOff>166913</xdr:rowOff>
    </xdr:from>
    <xdr:to>
      <xdr:col>4</xdr:col>
      <xdr:colOff>2586878</xdr:colOff>
      <xdr:row>256</xdr:row>
      <xdr:rowOff>34746</xdr:rowOff>
    </xdr:to>
    <xdr:sp macro="" textlink="">
      <xdr:nvSpPr>
        <xdr:cNvPr id="2758" name="Text Box 4"/>
        <xdr:cNvSpPr txBox="1">
          <a:spLocks noChangeArrowheads="1"/>
        </xdr:cNvSpPr>
      </xdr:nvSpPr>
      <xdr:spPr bwMode="auto">
        <a:xfrm flipH="1">
          <a:off x="4739528" y="1794056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3866</xdr:rowOff>
    </xdr:from>
    <xdr:to>
      <xdr:col>4</xdr:col>
      <xdr:colOff>2586878</xdr:colOff>
      <xdr:row>256</xdr:row>
      <xdr:rowOff>36591</xdr:rowOff>
    </xdr:to>
    <xdr:sp macro="" textlink="">
      <xdr:nvSpPr>
        <xdr:cNvPr id="2765" name="Text Box 12"/>
        <xdr:cNvSpPr txBox="1">
          <a:spLocks noChangeArrowheads="1"/>
        </xdr:cNvSpPr>
      </xdr:nvSpPr>
      <xdr:spPr bwMode="auto">
        <a:xfrm flipH="1">
          <a:off x="4739528" y="1794896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39644</xdr:rowOff>
    </xdr:to>
    <xdr:sp macro="" textlink="">
      <xdr:nvSpPr>
        <xdr:cNvPr id="2766" name="Text Box 14"/>
        <xdr:cNvSpPr txBox="1">
          <a:spLocks noChangeArrowheads="1"/>
        </xdr:cNvSpPr>
      </xdr:nvSpPr>
      <xdr:spPr bwMode="auto">
        <a:xfrm flipH="1">
          <a:off x="4739528" y="1795000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39643</xdr:rowOff>
    </xdr:to>
    <xdr:sp macro="" textlink="">
      <xdr:nvSpPr>
        <xdr:cNvPr id="2767" name="Text Box 16"/>
        <xdr:cNvSpPr txBox="1">
          <a:spLocks noChangeArrowheads="1"/>
        </xdr:cNvSpPr>
      </xdr:nvSpPr>
      <xdr:spPr bwMode="auto">
        <a:xfrm flipH="1">
          <a:off x="4739528" y="1795000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1962</xdr:rowOff>
    </xdr:from>
    <xdr:to>
      <xdr:col>4</xdr:col>
      <xdr:colOff>2586878</xdr:colOff>
      <xdr:row>256</xdr:row>
      <xdr:rowOff>32124</xdr:rowOff>
    </xdr:to>
    <xdr:sp macro="" textlink="">
      <xdr:nvSpPr>
        <xdr:cNvPr id="2774" name="Text Box 12"/>
        <xdr:cNvSpPr txBox="1">
          <a:spLocks noChangeArrowheads="1"/>
        </xdr:cNvSpPr>
      </xdr:nvSpPr>
      <xdr:spPr bwMode="auto">
        <a:xfrm flipH="1">
          <a:off x="4739528" y="1794706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1813</xdr:rowOff>
    </xdr:from>
    <xdr:to>
      <xdr:col>4</xdr:col>
      <xdr:colOff>2586878</xdr:colOff>
      <xdr:row>256</xdr:row>
      <xdr:rowOff>22477</xdr:rowOff>
    </xdr:to>
    <xdr:sp macro="" textlink="">
      <xdr:nvSpPr>
        <xdr:cNvPr id="2775" name="Text Box 4"/>
        <xdr:cNvSpPr txBox="1">
          <a:spLocks noChangeArrowheads="1"/>
        </xdr:cNvSpPr>
      </xdr:nvSpPr>
      <xdr:spPr bwMode="auto">
        <a:xfrm flipH="1">
          <a:off x="4739528" y="1794691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255</xdr:row>
      <xdr:rowOff>166913</xdr:rowOff>
    </xdr:from>
    <xdr:to>
      <xdr:col>4</xdr:col>
      <xdr:colOff>2586878</xdr:colOff>
      <xdr:row>256</xdr:row>
      <xdr:rowOff>34746</xdr:rowOff>
    </xdr:to>
    <xdr:sp macro="" textlink="">
      <xdr:nvSpPr>
        <xdr:cNvPr id="2776" name="Text Box 4"/>
        <xdr:cNvSpPr txBox="1">
          <a:spLocks noChangeArrowheads="1"/>
        </xdr:cNvSpPr>
      </xdr:nvSpPr>
      <xdr:spPr bwMode="auto">
        <a:xfrm flipH="1">
          <a:off x="4739528" y="1794056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3866</xdr:rowOff>
    </xdr:from>
    <xdr:to>
      <xdr:col>4</xdr:col>
      <xdr:colOff>2586878</xdr:colOff>
      <xdr:row>256</xdr:row>
      <xdr:rowOff>36591</xdr:rowOff>
    </xdr:to>
    <xdr:sp macro="" textlink="">
      <xdr:nvSpPr>
        <xdr:cNvPr id="2783" name="Text Box 12"/>
        <xdr:cNvSpPr txBox="1">
          <a:spLocks noChangeArrowheads="1"/>
        </xdr:cNvSpPr>
      </xdr:nvSpPr>
      <xdr:spPr bwMode="auto">
        <a:xfrm flipH="1">
          <a:off x="4739528" y="1794896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39644</xdr:rowOff>
    </xdr:to>
    <xdr:sp macro="" textlink="">
      <xdr:nvSpPr>
        <xdr:cNvPr id="2784" name="Text Box 14"/>
        <xdr:cNvSpPr txBox="1">
          <a:spLocks noChangeArrowheads="1"/>
        </xdr:cNvSpPr>
      </xdr:nvSpPr>
      <xdr:spPr bwMode="auto">
        <a:xfrm flipH="1">
          <a:off x="4739528" y="1795000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39643</xdr:rowOff>
    </xdr:to>
    <xdr:sp macro="" textlink="">
      <xdr:nvSpPr>
        <xdr:cNvPr id="2785" name="Text Box 16"/>
        <xdr:cNvSpPr txBox="1">
          <a:spLocks noChangeArrowheads="1"/>
        </xdr:cNvSpPr>
      </xdr:nvSpPr>
      <xdr:spPr bwMode="auto">
        <a:xfrm flipH="1">
          <a:off x="4739528" y="1795000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1962</xdr:rowOff>
    </xdr:from>
    <xdr:to>
      <xdr:col>4</xdr:col>
      <xdr:colOff>2586878</xdr:colOff>
      <xdr:row>256</xdr:row>
      <xdr:rowOff>32124</xdr:rowOff>
    </xdr:to>
    <xdr:sp macro="" textlink="">
      <xdr:nvSpPr>
        <xdr:cNvPr id="2792" name="Text Box 12"/>
        <xdr:cNvSpPr txBox="1">
          <a:spLocks noChangeArrowheads="1"/>
        </xdr:cNvSpPr>
      </xdr:nvSpPr>
      <xdr:spPr bwMode="auto">
        <a:xfrm flipH="1">
          <a:off x="4739528" y="1794706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1813</xdr:rowOff>
    </xdr:from>
    <xdr:to>
      <xdr:col>4</xdr:col>
      <xdr:colOff>2586878</xdr:colOff>
      <xdr:row>256</xdr:row>
      <xdr:rowOff>22477</xdr:rowOff>
    </xdr:to>
    <xdr:sp macro="" textlink="">
      <xdr:nvSpPr>
        <xdr:cNvPr id="2793" name="Text Box 4"/>
        <xdr:cNvSpPr txBox="1">
          <a:spLocks noChangeArrowheads="1"/>
        </xdr:cNvSpPr>
      </xdr:nvSpPr>
      <xdr:spPr bwMode="auto">
        <a:xfrm flipH="1">
          <a:off x="4739528" y="1794691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794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795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796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797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08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09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10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11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12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13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14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15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16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17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18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19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20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21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22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23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24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25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26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27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28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29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30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31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32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33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34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35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36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37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38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39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40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41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42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43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44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45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46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47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48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49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50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51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52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53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54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55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56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57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58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59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60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61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62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63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64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65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66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67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68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69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70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71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72" name="Text Box 1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73" name="Text Box 16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74" name="Text Box 12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220</xdr:row>
      <xdr:rowOff>0</xdr:rowOff>
    </xdr:from>
    <xdr:to>
      <xdr:col>4</xdr:col>
      <xdr:colOff>2586878</xdr:colOff>
      <xdr:row>220</xdr:row>
      <xdr:rowOff>0</xdr:rowOff>
    </xdr:to>
    <xdr:sp macro="" textlink="">
      <xdr:nvSpPr>
        <xdr:cNvPr id="2875" name="Text Box 4"/>
        <xdr:cNvSpPr txBox="1">
          <a:spLocks noChangeArrowheads="1"/>
        </xdr:cNvSpPr>
      </xdr:nvSpPr>
      <xdr:spPr bwMode="auto">
        <a:xfrm flipH="1">
          <a:off x="4739528" y="11772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255</xdr:row>
      <xdr:rowOff>166913</xdr:rowOff>
    </xdr:from>
    <xdr:to>
      <xdr:col>4</xdr:col>
      <xdr:colOff>2586878</xdr:colOff>
      <xdr:row>256</xdr:row>
      <xdr:rowOff>34746</xdr:rowOff>
    </xdr:to>
    <xdr:sp macro="" textlink="">
      <xdr:nvSpPr>
        <xdr:cNvPr id="2876" name="Text Box 4"/>
        <xdr:cNvSpPr txBox="1">
          <a:spLocks noChangeArrowheads="1"/>
        </xdr:cNvSpPr>
      </xdr:nvSpPr>
      <xdr:spPr bwMode="auto">
        <a:xfrm flipH="1">
          <a:off x="4739528" y="1794056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3866</xdr:rowOff>
    </xdr:from>
    <xdr:to>
      <xdr:col>4</xdr:col>
      <xdr:colOff>2586878</xdr:colOff>
      <xdr:row>256</xdr:row>
      <xdr:rowOff>36591</xdr:rowOff>
    </xdr:to>
    <xdr:sp macro="" textlink="">
      <xdr:nvSpPr>
        <xdr:cNvPr id="2877" name="Text Box 12"/>
        <xdr:cNvSpPr txBox="1">
          <a:spLocks noChangeArrowheads="1"/>
        </xdr:cNvSpPr>
      </xdr:nvSpPr>
      <xdr:spPr bwMode="auto">
        <a:xfrm flipH="1">
          <a:off x="4739528" y="1794896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39644</xdr:rowOff>
    </xdr:to>
    <xdr:sp macro="" textlink="">
      <xdr:nvSpPr>
        <xdr:cNvPr id="2878" name="Text Box 14"/>
        <xdr:cNvSpPr txBox="1">
          <a:spLocks noChangeArrowheads="1"/>
        </xdr:cNvSpPr>
      </xdr:nvSpPr>
      <xdr:spPr bwMode="auto">
        <a:xfrm flipH="1">
          <a:off x="4739528" y="1795000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39643</xdr:rowOff>
    </xdr:to>
    <xdr:sp macro="" textlink="">
      <xdr:nvSpPr>
        <xdr:cNvPr id="2879" name="Text Box 16"/>
        <xdr:cNvSpPr txBox="1">
          <a:spLocks noChangeArrowheads="1"/>
        </xdr:cNvSpPr>
      </xdr:nvSpPr>
      <xdr:spPr bwMode="auto">
        <a:xfrm flipH="1">
          <a:off x="4739528" y="1795000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1962</xdr:rowOff>
    </xdr:from>
    <xdr:to>
      <xdr:col>4</xdr:col>
      <xdr:colOff>2586878</xdr:colOff>
      <xdr:row>256</xdr:row>
      <xdr:rowOff>32124</xdr:rowOff>
    </xdr:to>
    <xdr:sp macro="" textlink="">
      <xdr:nvSpPr>
        <xdr:cNvPr id="2880" name="Text Box 12"/>
        <xdr:cNvSpPr txBox="1">
          <a:spLocks noChangeArrowheads="1"/>
        </xdr:cNvSpPr>
      </xdr:nvSpPr>
      <xdr:spPr bwMode="auto">
        <a:xfrm flipH="1">
          <a:off x="4739528" y="1794706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1813</xdr:rowOff>
    </xdr:from>
    <xdr:to>
      <xdr:col>4</xdr:col>
      <xdr:colOff>2586878</xdr:colOff>
      <xdr:row>256</xdr:row>
      <xdr:rowOff>22477</xdr:rowOff>
    </xdr:to>
    <xdr:sp macro="" textlink="">
      <xdr:nvSpPr>
        <xdr:cNvPr id="2881" name="Text Box 4"/>
        <xdr:cNvSpPr txBox="1">
          <a:spLocks noChangeArrowheads="1"/>
        </xdr:cNvSpPr>
      </xdr:nvSpPr>
      <xdr:spPr bwMode="auto">
        <a:xfrm flipH="1">
          <a:off x="4739528" y="1794691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255</xdr:row>
      <xdr:rowOff>166913</xdr:rowOff>
    </xdr:from>
    <xdr:to>
      <xdr:col>4</xdr:col>
      <xdr:colOff>2586878</xdr:colOff>
      <xdr:row>256</xdr:row>
      <xdr:rowOff>34746</xdr:rowOff>
    </xdr:to>
    <xdr:sp macro="" textlink="">
      <xdr:nvSpPr>
        <xdr:cNvPr id="2882" name="Text Box 4"/>
        <xdr:cNvSpPr txBox="1">
          <a:spLocks noChangeArrowheads="1"/>
        </xdr:cNvSpPr>
      </xdr:nvSpPr>
      <xdr:spPr bwMode="auto">
        <a:xfrm flipH="1">
          <a:off x="4739528" y="1794056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3866</xdr:rowOff>
    </xdr:from>
    <xdr:to>
      <xdr:col>4</xdr:col>
      <xdr:colOff>2586878</xdr:colOff>
      <xdr:row>256</xdr:row>
      <xdr:rowOff>36591</xdr:rowOff>
    </xdr:to>
    <xdr:sp macro="" textlink="">
      <xdr:nvSpPr>
        <xdr:cNvPr id="2883" name="Text Box 12"/>
        <xdr:cNvSpPr txBox="1">
          <a:spLocks noChangeArrowheads="1"/>
        </xdr:cNvSpPr>
      </xdr:nvSpPr>
      <xdr:spPr bwMode="auto">
        <a:xfrm flipH="1">
          <a:off x="4739528" y="1794896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39644</xdr:rowOff>
    </xdr:to>
    <xdr:sp macro="" textlink="">
      <xdr:nvSpPr>
        <xdr:cNvPr id="2884" name="Text Box 14"/>
        <xdr:cNvSpPr txBox="1">
          <a:spLocks noChangeArrowheads="1"/>
        </xdr:cNvSpPr>
      </xdr:nvSpPr>
      <xdr:spPr bwMode="auto">
        <a:xfrm flipH="1">
          <a:off x="4739528" y="1795000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39643</xdr:rowOff>
    </xdr:to>
    <xdr:sp macro="" textlink="">
      <xdr:nvSpPr>
        <xdr:cNvPr id="2885" name="Text Box 16"/>
        <xdr:cNvSpPr txBox="1">
          <a:spLocks noChangeArrowheads="1"/>
        </xdr:cNvSpPr>
      </xdr:nvSpPr>
      <xdr:spPr bwMode="auto">
        <a:xfrm flipH="1">
          <a:off x="4739528" y="1795000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1962</xdr:rowOff>
    </xdr:from>
    <xdr:to>
      <xdr:col>4</xdr:col>
      <xdr:colOff>2586878</xdr:colOff>
      <xdr:row>256</xdr:row>
      <xdr:rowOff>32124</xdr:rowOff>
    </xdr:to>
    <xdr:sp macro="" textlink="">
      <xdr:nvSpPr>
        <xdr:cNvPr id="2886" name="Text Box 12"/>
        <xdr:cNvSpPr txBox="1">
          <a:spLocks noChangeArrowheads="1"/>
        </xdr:cNvSpPr>
      </xdr:nvSpPr>
      <xdr:spPr bwMode="auto">
        <a:xfrm flipH="1">
          <a:off x="4739528" y="1794706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1813</xdr:rowOff>
    </xdr:from>
    <xdr:to>
      <xdr:col>4</xdr:col>
      <xdr:colOff>2586878</xdr:colOff>
      <xdr:row>256</xdr:row>
      <xdr:rowOff>22477</xdr:rowOff>
    </xdr:to>
    <xdr:sp macro="" textlink="">
      <xdr:nvSpPr>
        <xdr:cNvPr id="2887" name="Text Box 4"/>
        <xdr:cNvSpPr txBox="1">
          <a:spLocks noChangeArrowheads="1"/>
        </xdr:cNvSpPr>
      </xdr:nvSpPr>
      <xdr:spPr bwMode="auto">
        <a:xfrm flipH="1">
          <a:off x="4739528" y="1794691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255</xdr:row>
      <xdr:rowOff>166913</xdr:rowOff>
    </xdr:from>
    <xdr:to>
      <xdr:col>4</xdr:col>
      <xdr:colOff>2586878</xdr:colOff>
      <xdr:row>256</xdr:row>
      <xdr:rowOff>34746</xdr:rowOff>
    </xdr:to>
    <xdr:sp macro="" textlink="">
      <xdr:nvSpPr>
        <xdr:cNvPr id="2888" name="Text Box 4"/>
        <xdr:cNvSpPr txBox="1">
          <a:spLocks noChangeArrowheads="1"/>
        </xdr:cNvSpPr>
      </xdr:nvSpPr>
      <xdr:spPr bwMode="auto">
        <a:xfrm flipH="1">
          <a:off x="4739528" y="1794056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3866</xdr:rowOff>
    </xdr:from>
    <xdr:to>
      <xdr:col>4</xdr:col>
      <xdr:colOff>2586878</xdr:colOff>
      <xdr:row>256</xdr:row>
      <xdr:rowOff>36591</xdr:rowOff>
    </xdr:to>
    <xdr:sp macro="" textlink="">
      <xdr:nvSpPr>
        <xdr:cNvPr id="2889" name="Text Box 12"/>
        <xdr:cNvSpPr txBox="1">
          <a:spLocks noChangeArrowheads="1"/>
        </xdr:cNvSpPr>
      </xdr:nvSpPr>
      <xdr:spPr bwMode="auto">
        <a:xfrm flipH="1">
          <a:off x="4739528" y="1794896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39644</xdr:rowOff>
    </xdr:to>
    <xdr:sp macro="" textlink="">
      <xdr:nvSpPr>
        <xdr:cNvPr id="2890" name="Text Box 14"/>
        <xdr:cNvSpPr txBox="1">
          <a:spLocks noChangeArrowheads="1"/>
        </xdr:cNvSpPr>
      </xdr:nvSpPr>
      <xdr:spPr bwMode="auto">
        <a:xfrm flipH="1">
          <a:off x="4739528" y="1795000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4901</xdr:rowOff>
    </xdr:from>
    <xdr:to>
      <xdr:col>4</xdr:col>
      <xdr:colOff>2586878</xdr:colOff>
      <xdr:row>256</xdr:row>
      <xdr:rowOff>39643</xdr:rowOff>
    </xdr:to>
    <xdr:sp macro="" textlink="">
      <xdr:nvSpPr>
        <xdr:cNvPr id="2891" name="Text Box 16"/>
        <xdr:cNvSpPr txBox="1">
          <a:spLocks noChangeArrowheads="1"/>
        </xdr:cNvSpPr>
      </xdr:nvSpPr>
      <xdr:spPr bwMode="auto">
        <a:xfrm flipH="1">
          <a:off x="4739528" y="1795000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1962</xdr:rowOff>
    </xdr:from>
    <xdr:to>
      <xdr:col>4</xdr:col>
      <xdr:colOff>2586878</xdr:colOff>
      <xdr:row>256</xdr:row>
      <xdr:rowOff>32124</xdr:rowOff>
    </xdr:to>
    <xdr:sp macro="" textlink="">
      <xdr:nvSpPr>
        <xdr:cNvPr id="2892" name="Text Box 12"/>
        <xdr:cNvSpPr txBox="1">
          <a:spLocks noChangeArrowheads="1"/>
        </xdr:cNvSpPr>
      </xdr:nvSpPr>
      <xdr:spPr bwMode="auto">
        <a:xfrm flipH="1">
          <a:off x="4739528" y="1794706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256</xdr:row>
      <xdr:rowOff>1813</xdr:rowOff>
    </xdr:from>
    <xdr:to>
      <xdr:col>4</xdr:col>
      <xdr:colOff>2586878</xdr:colOff>
      <xdr:row>256</xdr:row>
      <xdr:rowOff>22477</xdr:rowOff>
    </xdr:to>
    <xdr:sp macro="" textlink="">
      <xdr:nvSpPr>
        <xdr:cNvPr id="2893" name="Text Box 4"/>
        <xdr:cNvSpPr txBox="1">
          <a:spLocks noChangeArrowheads="1"/>
        </xdr:cNvSpPr>
      </xdr:nvSpPr>
      <xdr:spPr bwMode="auto">
        <a:xfrm flipH="1">
          <a:off x="4739528" y="1794691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419100</xdr:colOff>
          <xdr:row>4</xdr:row>
          <xdr:rowOff>123825</xdr:rowOff>
        </xdr:from>
        <xdr:to>
          <xdr:col>19</xdr:col>
          <xdr:colOff>733425</xdr:colOff>
          <xdr:row>6</xdr:row>
          <xdr:rowOff>47625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419100</xdr:colOff>
          <xdr:row>5</xdr:row>
          <xdr:rowOff>123825</xdr:rowOff>
        </xdr:from>
        <xdr:to>
          <xdr:col>19</xdr:col>
          <xdr:colOff>733425</xdr:colOff>
          <xdr:row>7</xdr:row>
          <xdr:rowOff>47625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419100</xdr:colOff>
          <xdr:row>6</xdr:row>
          <xdr:rowOff>114300</xdr:rowOff>
        </xdr:from>
        <xdr:to>
          <xdr:col>19</xdr:col>
          <xdr:colOff>733425</xdr:colOff>
          <xdr:row>8</xdr:row>
          <xdr:rowOff>38100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419100</xdr:colOff>
          <xdr:row>4</xdr:row>
          <xdr:rowOff>123825</xdr:rowOff>
        </xdr:from>
        <xdr:to>
          <xdr:col>19</xdr:col>
          <xdr:colOff>733425</xdr:colOff>
          <xdr:row>6</xdr:row>
          <xdr:rowOff>47625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419100</xdr:colOff>
          <xdr:row>5</xdr:row>
          <xdr:rowOff>123825</xdr:rowOff>
        </xdr:from>
        <xdr:to>
          <xdr:col>19</xdr:col>
          <xdr:colOff>733425</xdr:colOff>
          <xdr:row>7</xdr:row>
          <xdr:rowOff>47625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419100</xdr:colOff>
          <xdr:row>6</xdr:row>
          <xdr:rowOff>114300</xdr:rowOff>
        </xdr:from>
        <xdr:to>
          <xdr:col>19</xdr:col>
          <xdr:colOff>733425</xdr:colOff>
          <xdr:row>8</xdr:row>
          <xdr:rowOff>38100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27557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 flipH="1">
          <a:off x="4815728" y="18264413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0</xdr:rowOff>
    </xdr:to>
    <xdr:sp macro="" textlink="">
      <xdr:nvSpPr>
        <xdr:cNvPr id="3" name="Text Box 12"/>
        <xdr:cNvSpPr txBox="1">
          <a:spLocks noChangeArrowheads="1"/>
        </xdr:cNvSpPr>
      </xdr:nvSpPr>
      <xdr:spPr bwMode="auto">
        <a:xfrm flipH="1">
          <a:off x="4815728" y="18272816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0</xdr:rowOff>
    </xdr:to>
    <xdr:sp macro="" textlink="">
      <xdr:nvSpPr>
        <xdr:cNvPr id="4" name="Text Box 14"/>
        <xdr:cNvSpPr txBox="1">
          <a:spLocks noChangeArrowheads="1"/>
        </xdr:cNvSpPr>
      </xdr:nvSpPr>
      <xdr:spPr bwMode="auto">
        <a:xfrm flipH="1">
          <a:off x="4815728" y="18273851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0</xdr:rowOff>
    </xdr:to>
    <xdr:sp macro="" textlink="">
      <xdr:nvSpPr>
        <xdr:cNvPr id="5" name="Text Box 16"/>
        <xdr:cNvSpPr txBox="1">
          <a:spLocks noChangeArrowheads="1"/>
        </xdr:cNvSpPr>
      </xdr:nvSpPr>
      <xdr:spPr bwMode="auto">
        <a:xfrm flipH="1">
          <a:off x="4815728" y="18273851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0</xdr:rowOff>
    </xdr:to>
    <xdr:sp macro="" textlink="">
      <xdr:nvSpPr>
        <xdr:cNvPr id="6" name="Text Box 12"/>
        <xdr:cNvSpPr txBox="1">
          <a:spLocks noChangeArrowheads="1"/>
        </xdr:cNvSpPr>
      </xdr:nvSpPr>
      <xdr:spPr bwMode="auto">
        <a:xfrm flipH="1">
          <a:off x="4815728" y="18270912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13044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 flipH="1">
          <a:off x="4815728" y="18270763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28575</xdr:colOff>
      <xdr:row>60</xdr:row>
      <xdr:rowOff>9525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 flipH="1">
          <a:off x="5048250" y="13296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23100</xdr:rowOff>
    </xdr:to>
    <xdr:sp macro="" textlink="">
      <xdr:nvSpPr>
        <xdr:cNvPr id="9" name="Text Box 12"/>
        <xdr:cNvSpPr txBox="1">
          <a:spLocks noChangeArrowheads="1"/>
        </xdr:cNvSpPr>
      </xdr:nvSpPr>
      <xdr:spPr bwMode="auto">
        <a:xfrm flipH="1">
          <a:off x="4815728" y="133069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23313</xdr:rowOff>
    </xdr:to>
    <xdr:sp macro="" textlink="">
      <xdr:nvSpPr>
        <xdr:cNvPr id="10" name="Text Box 14"/>
        <xdr:cNvSpPr txBox="1">
          <a:spLocks noChangeArrowheads="1"/>
        </xdr:cNvSpPr>
      </xdr:nvSpPr>
      <xdr:spPr bwMode="auto">
        <a:xfrm flipH="1">
          <a:off x="4815728" y="133079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23312</xdr:rowOff>
    </xdr:to>
    <xdr:sp macro="" textlink="">
      <xdr:nvSpPr>
        <xdr:cNvPr id="11" name="Text Box 16"/>
        <xdr:cNvSpPr txBox="1">
          <a:spLocks noChangeArrowheads="1"/>
        </xdr:cNvSpPr>
      </xdr:nvSpPr>
      <xdr:spPr bwMode="auto">
        <a:xfrm flipH="1">
          <a:off x="4815728" y="133079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0</xdr:rowOff>
    </xdr:to>
    <xdr:sp macro="" textlink="">
      <xdr:nvSpPr>
        <xdr:cNvPr id="12" name="Text Box 12"/>
        <xdr:cNvSpPr txBox="1">
          <a:spLocks noChangeArrowheads="1"/>
        </xdr:cNvSpPr>
      </xdr:nvSpPr>
      <xdr:spPr bwMode="auto">
        <a:xfrm flipH="1">
          <a:off x="4815728" y="132955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26760</xdr:rowOff>
    </xdr:to>
    <xdr:sp macro="" textlink="">
      <xdr:nvSpPr>
        <xdr:cNvPr id="13" name="Text Box 4"/>
        <xdr:cNvSpPr txBox="1">
          <a:spLocks noChangeArrowheads="1"/>
        </xdr:cNvSpPr>
      </xdr:nvSpPr>
      <xdr:spPr bwMode="auto">
        <a:xfrm flipH="1">
          <a:off x="4815728" y="133048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28575</xdr:colOff>
      <xdr:row>60</xdr:row>
      <xdr:rowOff>9525</xdr:rowOff>
    </xdr:to>
    <xdr:sp macro="" textlink="">
      <xdr:nvSpPr>
        <xdr:cNvPr id="14" name="Text Box 4"/>
        <xdr:cNvSpPr txBox="1">
          <a:spLocks noChangeArrowheads="1"/>
        </xdr:cNvSpPr>
      </xdr:nvSpPr>
      <xdr:spPr bwMode="auto">
        <a:xfrm flipH="1">
          <a:off x="5048250" y="13296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23100</xdr:rowOff>
    </xdr:to>
    <xdr:sp macro="" textlink="">
      <xdr:nvSpPr>
        <xdr:cNvPr id="15" name="Text Box 12"/>
        <xdr:cNvSpPr txBox="1">
          <a:spLocks noChangeArrowheads="1"/>
        </xdr:cNvSpPr>
      </xdr:nvSpPr>
      <xdr:spPr bwMode="auto">
        <a:xfrm flipH="1">
          <a:off x="4815728" y="133069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23313</xdr:rowOff>
    </xdr:to>
    <xdr:sp macro="" textlink="">
      <xdr:nvSpPr>
        <xdr:cNvPr id="16" name="Text Box 14"/>
        <xdr:cNvSpPr txBox="1">
          <a:spLocks noChangeArrowheads="1"/>
        </xdr:cNvSpPr>
      </xdr:nvSpPr>
      <xdr:spPr bwMode="auto">
        <a:xfrm flipH="1">
          <a:off x="4815728" y="133079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23312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 flipH="1">
          <a:off x="4815728" y="133079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0</xdr:rowOff>
    </xdr:to>
    <xdr:sp macro="" textlink="">
      <xdr:nvSpPr>
        <xdr:cNvPr id="18" name="Text Box 12"/>
        <xdr:cNvSpPr txBox="1">
          <a:spLocks noChangeArrowheads="1"/>
        </xdr:cNvSpPr>
      </xdr:nvSpPr>
      <xdr:spPr bwMode="auto">
        <a:xfrm flipH="1">
          <a:off x="4815728" y="132955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26760</xdr:rowOff>
    </xdr:to>
    <xdr:sp macro="" textlink="">
      <xdr:nvSpPr>
        <xdr:cNvPr id="19" name="Text Box 4"/>
        <xdr:cNvSpPr txBox="1">
          <a:spLocks noChangeArrowheads="1"/>
        </xdr:cNvSpPr>
      </xdr:nvSpPr>
      <xdr:spPr bwMode="auto">
        <a:xfrm flipH="1">
          <a:off x="4815728" y="133048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27557</xdr:rowOff>
    </xdr:to>
    <xdr:sp macro="" textlink="">
      <xdr:nvSpPr>
        <xdr:cNvPr id="20" name="Text Box 4"/>
        <xdr:cNvSpPr txBox="1">
          <a:spLocks noChangeArrowheads="1"/>
        </xdr:cNvSpPr>
      </xdr:nvSpPr>
      <xdr:spPr bwMode="auto">
        <a:xfrm flipH="1">
          <a:off x="5048250" y="18264413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0</xdr:rowOff>
    </xdr:to>
    <xdr:sp macro="" textlink="">
      <xdr:nvSpPr>
        <xdr:cNvPr id="21" name="Text Box 12"/>
        <xdr:cNvSpPr txBox="1">
          <a:spLocks noChangeArrowheads="1"/>
        </xdr:cNvSpPr>
      </xdr:nvSpPr>
      <xdr:spPr bwMode="auto">
        <a:xfrm flipH="1">
          <a:off x="5048250" y="18272816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0</xdr:rowOff>
    </xdr:to>
    <xdr:sp macro="" textlink="">
      <xdr:nvSpPr>
        <xdr:cNvPr id="22" name="Text Box 14"/>
        <xdr:cNvSpPr txBox="1">
          <a:spLocks noChangeArrowheads="1"/>
        </xdr:cNvSpPr>
      </xdr:nvSpPr>
      <xdr:spPr bwMode="auto">
        <a:xfrm flipH="1">
          <a:off x="5048250" y="18273851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0</xdr:rowOff>
    </xdr:to>
    <xdr:sp macro="" textlink="">
      <xdr:nvSpPr>
        <xdr:cNvPr id="23" name="Text Box 16"/>
        <xdr:cNvSpPr txBox="1">
          <a:spLocks noChangeArrowheads="1"/>
        </xdr:cNvSpPr>
      </xdr:nvSpPr>
      <xdr:spPr bwMode="auto">
        <a:xfrm flipH="1">
          <a:off x="5048250" y="18273851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0</xdr:rowOff>
    </xdr:to>
    <xdr:sp macro="" textlink="">
      <xdr:nvSpPr>
        <xdr:cNvPr id="24" name="Text Box 12"/>
        <xdr:cNvSpPr txBox="1">
          <a:spLocks noChangeArrowheads="1"/>
        </xdr:cNvSpPr>
      </xdr:nvSpPr>
      <xdr:spPr bwMode="auto">
        <a:xfrm flipH="1">
          <a:off x="5048250" y="18270912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13044</xdr:rowOff>
    </xdr:to>
    <xdr:sp macro="" textlink="">
      <xdr:nvSpPr>
        <xdr:cNvPr id="25" name="Text Box 4"/>
        <xdr:cNvSpPr txBox="1">
          <a:spLocks noChangeArrowheads="1"/>
        </xdr:cNvSpPr>
      </xdr:nvSpPr>
      <xdr:spPr bwMode="auto">
        <a:xfrm flipH="1">
          <a:off x="5048250" y="18270763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9525</xdr:rowOff>
    </xdr:to>
    <xdr:sp macro="" textlink="">
      <xdr:nvSpPr>
        <xdr:cNvPr id="26" name="Text Box 4"/>
        <xdr:cNvSpPr txBox="1">
          <a:spLocks noChangeArrowheads="1"/>
        </xdr:cNvSpPr>
      </xdr:nvSpPr>
      <xdr:spPr bwMode="auto">
        <a:xfrm flipH="1">
          <a:off x="5048250" y="132969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23100</xdr:rowOff>
    </xdr:to>
    <xdr:sp macro="" textlink="">
      <xdr:nvSpPr>
        <xdr:cNvPr id="27" name="Text Box 12"/>
        <xdr:cNvSpPr txBox="1">
          <a:spLocks noChangeArrowheads="1"/>
        </xdr:cNvSpPr>
      </xdr:nvSpPr>
      <xdr:spPr bwMode="auto">
        <a:xfrm flipH="1">
          <a:off x="5048250" y="1330692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23313</xdr:rowOff>
    </xdr:to>
    <xdr:sp macro="" textlink="">
      <xdr:nvSpPr>
        <xdr:cNvPr id="28" name="Text Box 14"/>
        <xdr:cNvSpPr txBox="1">
          <a:spLocks noChangeArrowheads="1"/>
        </xdr:cNvSpPr>
      </xdr:nvSpPr>
      <xdr:spPr bwMode="auto">
        <a:xfrm flipH="1">
          <a:off x="5048250" y="1330796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23312</xdr:rowOff>
    </xdr:to>
    <xdr:sp macro="" textlink="">
      <xdr:nvSpPr>
        <xdr:cNvPr id="29" name="Text Box 16"/>
        <xdr:cNvSpPr txBox="1">
          <a:spLocks noChangeArrowheads="1"/>
        </xdr:cNvSpPr>
      </xdr:nvSpPr>
      <xdr:spPr bwMode="auto">
        <a:xfrm flipH="1">
          <a:off x="5048250" y="1330796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0</xdr:rowOff>
    </xdr:to>
    <xdr:sp macro="" textlink="">
      <xdr:nvSpPr>
        <xdr:cNvPr id="30" name="Text Box 12"/>
        <xdr:cNvSpPr txBox="1">
          <a:spLocks noChangeArrowheads="1"/>
        </xdr:cNvSpPr>
      </xdr:nvSpPr>
      <xdr:spPr bwMode="auto">
        <a:xfrm flipH="1">
          <a:off x="5048250" y="1329550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26760</xdr:rowOff>
    </xdr:to>
    <xdr:sp macro="" textlink="">
      <xdr:nvSpPr>
        <xdr:cNvPr id="31" name="Text Box 4"/>
        <xdr:cNvSpPr txBox="1">
          <a:spLocks noChangeArrowheads="1"/>
        </xdr:cNvSpPr>
      </xdr:nvSpPr>
      <xdr:spPr bwMode="auto">
        <a:xfrm flipH="1">
          <a:off x="5048250" y="1330487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9525</xdr:rowOff>
    </xdr:to>
    <xdr:sp macro="" textlink="">
      <xdr:nvSpPr>
        <xdr:cNvPr id="32" name="Text Box 4"/>
        <xdr:cNvSpPr txBox="1">
          <a:spLocks noChangeArrowheads="1"/>
        </xdr:cNvSpPr>
      </xdr:nvSpPr>
      <xdr:spPr bwMode="auto">
        <a:xfrm flipH="1">
          <a:off x="5048250" y="132969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23100</xdr:rowOff>
    </xdr:to>
    <xdr:sp macro="" textlink="">
      <xdr:nvSpPr>
        <xdr:cNvPr id="33" name="Text Box 12"/>
        <xdr:cNvSpPr txBox="1">
          <a:spLocks noChangeArrowheads="1"/>
        </xdr:cNvSpPr>
      </xdr:nvSpPr>
      <xdr:spPr bwMode="auto">
        <a:xfrm flipH="1">
          <a:off x="5048250" y="1330692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23313</xdr:rowOff>
    </xdr:to>
    <xdr:sp macro="" textlink="">
      <xdr:nvSpPr>
        <xdr:cNvPr id="34" name="Text Box 14"/>
        <xdr:cNvSpPr txBox="1">
          <a:spLocks noChangeArrowheads="1"/>
        </xdr:cNvSpPr>
      </xdr:nvSpPr>
      <xdr:spPr bwMode="auto">
        <a:xfrm flipH="1">
          <a:off x="5048250" y="1330796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23312</xdr:rowOff>
    </xdr:to>
    <xdr:sp macro="" textlink="">
      <xdr:nvSpPr>
        <xdr:cNvPr id="35" name="Text Box 16"/>
        <xdr:cNvSpPr txBox="1">
          <a:spLocks noChangeArrowheads="1"/>
        </xdr:cNvSpPr>
      </xdr:nvSpPr>
      <xdr:spPr bwMode="auto">
        <a:xfrm flipH="1">
          <a:off x="5048250" y="1330796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0</xdr:rowOff>
    </xdr:to>
    <xdr:sp macro="" textlink="">
      <xdr:nvSpPr>
        <xdr:cNvPr id="36" name="Text Box 12"/>
        <xdr:cNvSpPr txBox="1">
          <a:spLocks noChangeArrowheads="1"/>
        </xdr:cNvSpPr>
      </xdr:nvSpPr>
      <xdr:spPr bwMode="auto">
        <a:xfrm flipH="1">
          <a:off x="5048250" y="1329550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26760</xdr:rowOff>
    </xdr:to>
    <xdr:sp macro="" textlink="">
      <xdr:nvSpPr>
        <xdr:cNvPr id="37" name="Text Box 4"/>
        <xdr:cNvSpPr txBox="1">
          <a:spLocks noChangeArrowheads="1"/>
        </xdr:cNvSpPr>
      </xdr:nvSpPr>
      <xdr:spPr bwMode="auto">
        <a:xfrm flipH="1">
          <a:off x="5048250" y="1330487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27557</xdr:rowOff>
    </xdr:to>
    <xdr:sp macro="" textlink="">
      <xdr:nvSpPr>
        <xdr:cNvPr id="38" name="Text Box 4"/>
        <xdr:cNvSpPr txBox="1">
          <a:spLocks noChangeArrowheads="1"/>
        </xdr:cNvSpPr>
      </xdr:nvSpPr>
      <xdr:spPr bwMode="auto">
        <a:xfrm flipH="1">
          <a:off x="4815728" y="18264413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0</xdr:rowOff>
    </xdr:to>
    <xdr:sp macro="" textlink="">
      <xdr:nvSpPr>
        <xdr:cNvPr id="39" name="Text Box 12"/>
        <xdr:cNvSpPr txBox="1">
          <a:spLocks noChangeArrowheads="1"/>
        </xdr:cNvSpPr>
      </xdr:nvSpPr>
      <xdr:spPr bwMode="auto">
        <a:xfrm flipH="1">
          <a:off x="4815728" y="18272816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0</xdr:rowOff>
    </xdr:to>
    <xdr:sp macro="" textlink="">
      <xdr:nvSpPr>
        <xdr:cNvPr id="40" name="Text Box 14"/>
        <xdr:cNvSpPr txBox="1">
          <a:spLocks noChangeArrowheads="1"/>
        </xdr:cNvSpPr>
      </xdr:nvSpPr>
      <xdr:spPr bwMode="auto">
        <a:xfrm flipH="1">
          <a:off x="4815728" y="18273851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0</xdr:rowOff>
    </xdr:to>
    <xdr:sp macro="" textlink="">
      <xdr:nvSpPr>
        <xdr:cNvPr id="41" name="Text Box 16"/>
        <xdr:cNvSpPr txBox="1">
          <a:spLocks noChangeArrowheads="1"/>
        </xdr:cNvSpPr>
      </xdr:nvSpPr>
      <xdr:spPr bwMode="auto">
        <a:xfrm flipH="1">
          <a:off x="4815728" y="18273851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0</xdr:rowOff>
    </xdr:to>
    <xdr:sp macro="" textlink="">
      <xdr:nvSpPr>
        <xdr:cNvPr id="42" name="Text Box 12"/>
        <xdr:cNvSpPr txBox="1">
          <a:spLocks noChangeArrowheads="1"/>
        </xdr:cNvSpPr>
      </xdr:nvSpPr>
      <xdr:spPr bwMode="auto">
        <a:xfrm flipH="1">
          <a:off x="4815728" y="18270912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13044</xdr:rowOff>
    </xdr:to>
    <xdr:sp macro="" textlink="">
      <xdr:nvSpPr>
        <xdr:cNvPr id="43" name="Text Box 4"/>
        <xdr:cNvSpPr txBox="1">
          <a:spLocks noChangeArrowheads="1"/>
        </xdr:cNvSpPr>
      </xdr:nvSpPr>
      <xdr:spPr bwMode="auto">
        <a:xfrm flipH="1">
          <a:off x="4815728" y="18270763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28575</xdr:colOff>
      <xdr:row>60</xdr:row>
      <xdr:rowOff>9525</xdr:rowOff>
    </xdr:to>
    <xdr:sp macro="" textlink="">
      <xdr:nvSpPr>
        <xdr:cNvPr id="44" name="Text Box 4"/>
        <xdr:cNvSpPr txBox="1">
          <a:spLocks noChangeArrowheads="1"/>
        </xdr:cNvSpPr>
      </xdr:nvSpPr>
      <xdr:spPr bwMode="auto">
        <a:xfrm flipH="1">
          <a:off x="5048250" y="13296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23100</xdr:rowOff>
    </xdr:to>
    <xdr:sp macro="" textlink="">
      <xdr:nvSpPr>
        <xdr:cNvPr id="45" name="Text Box 12"/>
        <xdr:cNvSpPr txBox="1">
          <a:spLocks noChangeArrowheads="1"/>
        </xdr:cNvSpPr>
      </xdr:nvSpPr>
      <xdr:spPr bwMode="auto">
        <a:xfrm flipH="1">
          <a:off x="4815728" y="133069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23313</xdr:rowOff>
    </xdr:to>
    <xdr:sp macro="" textlink="">
      <xdr:nvSpPr>
        <xdr:cNvPr id="46" name="Text Box 14"/>
        <xdr:cNvSpPr txBox="1">
          <a:spLocks noChangeArrowheads="1"/>
        </xdr:cNvSpPr>
      </xdr:nvSpPr>
      <xdr:spPr bwMode="auto">
        <a:xfrm flipH="1">
          <a:off x="4815728" y="133079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23312</xdr:rowOff>
    </xdr:to>
    <xdr:sp macro="" textlink="">
      <xdr:nvSpPr>
        <xdr:cNvPr id="47" name="Text Box 16"/>
        <xdr:cNvSpPr txBox="1">
          <a:spLocks noChangeArrowheads="1"/>
        </xdr:cNvSpPr>
      </xdr:nvSpPr>
      <xdr:spPr bwMode="auto">
        <a:xfrm flipH="1">
          <a:off x="4815728" y="133079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0</xdr:rowOff>
    </xdr:to>
    <xdr:sp macro="" textlink="">
      <xdr:nvSpPr>
        <xdr:cNvPr id="48" name="Text Box 12"/>
        <xdr:cNvSpPr txBox="1">
          <a:spLocks noChangeArrowheads="1"/>
        </xdr:cNvSpPr>
      </xdr:nvSpPr>
      <xdr:spPr bwMode="auto">
        <a:xfrm flipH="1">
          <a:off x="4815728" y="132955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26760</xdr:rowOff>
    </xdr:to>
    <xdr:sp macro="" textlink="">
      <xdr:nvSpPr>
        <xdr:cNvPr id="49" name="Text Box 4"/>
        <xdr:cNvSpPr txBox="1">
          <a:spLocks noChangeArrowheads="1"/>
        </xdr:cNvSpPr>
      </xdr:nvSpPr>
      <xdr:spPr bwMode="auto">
        <a:xfrm flipH="1">
          <a:off x="4815728" y="133048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28575</xdr:colOff>
      <xdr:row>60</xdr:row>
      <xdr:rowOff>9525</xdr:rowOff>
    </xdr:to>
    <xdr:sp macro="" textlink="">
      <xdr:nvSpPr>
        <xdr:cNvPr id="50" name="Text Box 4"/>
        <xdr:cNvSpPr txBox="1">
          <a:spLocks noChangeArrowheads="1"/>
        </xdr:cNvSpPr>
      </xdr:nvSpPr>
      <xdr:spPr bwMode="auto">
        <a:xfrm flipH="1">
          <a:off x="5048250" y="13296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23100</xdr:rowOff>
    </xdr:to>
    <xdr:sp macro="" textlink="">
      <xdr:nvSpPr>
        <xdr:cNvPr id="51" name="Text Box 12"/>
        <xdr:cNvSpPr txBox="1">
          <a:spLocks noChangeArrowheads="1"/>
        </xdr:cNvSpPr>
      </xdr:nvSpPr>
      <xdr:spPr bwMode="auto">
        <a:xfrm flipH="1">
          <a:off x="4815728" y="133069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23313</xdr:rowOff>
    </xdr:to>
    <xdr:sp macro="" textlink="">
      <xdr:nvSpPr>
        <xdr:cNvPr id="52" name="Text Box 14"/>
        <xdr:cNvSpPr txBox="1">
          <a:spLocks noChangeArrowheads="1"/>
        </xdr:cNvSpPr>
      </xdr:nvSpPr>
      <xdr:spPr bwMode="auto">
        <a:xfrm flipH="1">
          <a:off x="4815728" y="133079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23312</xdr:rowOff>
    </xdr:to>
    <xdr:sp macro="" textlink="">
      <xdr:nvSpPr>
        <xdr:cNvPr id="53" name="Text Box 16"/>
        <xdr:cNvSpPr txBox="1">
          <a:spLocks noChangeArrowheads="1"/>
        </xdr:cNvSpPr>
      </xdr:nvSpPr>
      <xdr:spPr bwMode="auto">
        <a:xfrm flipH="1">
          <a:off x="4815728" y="133079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0</xdr:rowOff>
    </xdr:to>
    <xdr:sp macro="" textlink="">
      <xdr:nvSpPr>
        <xdr:cNvPr id="54" name="Text Box 12"/>
        <xdr:cNvSpPr txBox="1">
          <a:spLocks noChangeArrowheads="1"/>
        </xdr:cNvSpPr>
      </xdr:nvSpPr>
      <xdr:spPr bwMode="auto">
        <a:xfrm flipH="1">
          <a:off x="4815728" y="132955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26760</xdr:rowOff>
    </xdr:to>
    <xdr:sp macro="" textlink="">
      <xdr:nvSpPr>
        <xdr:cNvPr id="55" name="Text Box 4"/>
        <xdr:cNvSpPr txBox="1">
          <a:spLocks noChangeArrowheads="1"/>
        </xdr:cNvSpPr>
      </xdr:nvSpPr>
      <xdr:spPr bwMode="auto">
        <a:xfrm flipH="1">
          <a:off x="4815728" y="133048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27557</xdr:rowOff>
    </xdr:to>
    <xdr:sp macro="" textlink="">
      <xdr:nvSpPr>
        <xdr:cNvPr id="56" name="Text Box 4"/>
        <xdr:cNvSpPr txBox="1">
          <a:spLocks noChangeArrowheads="1"/>
        </xdr:cNvSpPr>
      </xdr:nvSpPr>
      <xdr:spPr bwMode="auto">
        <a:xfrm flipH="1">
          <a:off x="5048250" y="18264413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0</xdr:rowOff>
    </xdr:to>
    <xdr:sp macro="" textlink="">
      <xdr:nvSpPr>
        <xdr:cNvPr id="57" name="Text Box 12"/>
        <xdr:cNvSpPr txBox="1">
          <a:spLocks noChangeArrowheads="1"/>
        </xdr:cNvSpPr>
      </xdr:nvSpPr>
      <xdr:spPr bwMode="auto">
        <a:xfrm flipH="1">
          <a:off x="5048250" y="18272816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0</xdr:rowOff>
    </xdr:to>
    <xdr:sp macro="" textlink="">
      <xdr:nvSpPr>
        <xdr:cNvPr id="58" name="Text Box 14"/>
        <xdr:cNvSpPr txBox="1">
          <a:spLocks noChangeArrowheads="1"/>
        </xdr:cNvSpPr>
      </xdr:nvSpPr>
      <xdr:spPr bwMode="auto">
        <a:xfrm flipH="1">
          <a:off x="5048250" y="18273851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0</xdr:rowOff>
    </xdr:to>
    <xdr:sp macro="" textlink="">
      <xdr:nvSpPr>
        <xdr:cNvPr id="59" name="Text Box 16"/>
        <xdr:cNvSpPr txBox="1">
          <a:spLocks noChangeArrowheads="1"/>
        </xdr:cNvSpPr>
      </xdr:nvSpPr>
      <xdr:spPr bwMode="auto">
        <a:xfrm flipH="1">
          <a:off x="5048250" y="18273851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0</xdr:rowOff>
    </xdr:to>
    <xdr:sp macro="" textlink="">
      <xdr:nvSpPr>
        <xdr:cNvPr id="60" name="Text Box 12"/>
        <xdr:cNvSpPr txBox="1">
          <a:spLocks noChangeArrowheads="1"/>
        </xdr:cNvSpPr>
      </xdr:nvSpPr>
      <xdr:spPr bwMode="auto">
        <a:xfrm flipH="1">
          <a:off x="5048250" y="18270912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13044</xdr:rowOff>
    </xdr:to>
    <xdr:sp macro="" textlink="">
      <xdr:nvSpPr>
        <xdr:cNvPr id="61" name="Text Box 4"/>
        <xdr:cNvSpPr txBox="1">
          <a:spLocks noChangeArrowheads="1"/>
        </xdr:cNvSpPr>
      </xdr:nvSpPr>
      <xdr:spPr bwMode="auto">
        <a:xfrm flipH="1">
          <a:off x="5048250" y="18270763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9525</xdr:rowOff>
    </xdr:to>
    <xdr:sp macro="" textlink="">
      <xdr:nvSpPr>
        <xdr:cNvPr id="62" name="Text Box 4"/>
        <xdr:cNvSpPr txBox="1">
          <a:spLocks noChangeArrowheads="1"/>
        </xdr:cNvSpPr>
      </xdr:nvSpPr>
      <xdr:spPr bwMode="auto">
        <a:xfrm flipH="1">
          <a:off x="5048250" y="132969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23100</xdr:rowOff>
    </xdr:to>
    <xdr:sp macro="" textlink="">
      <xdr:nvSpPr>
        <xdr:cNvPr id="63" name="Text Box 12"/>
        <xdr:cNvSpPr txBox="1">
          <a:spLocks noChangeArrowheads="1"/>
        </xdr:cNvSpPr>
      </xdr:nvSpPr>
      <xdr:spPr bwMode="auto">
        <a:xfrm flipH="1">
          <a:off x="5048250" y="1330692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23313</xdr:rowOff>
    </xdr:to>
    <xdr:sp macro="" textlink="">
      <xdr:nvSpPr>
        <xdr:cNvPr id="64" name="Text Box 14"/>
        <xdr:cNvSpPr txBox="1">
          <a:spLocks noChangeArrowheads="1"/>
        </xdr:cNvSpPr>
      </xdr:nvSpPr>
      <xdr:spPr bwMode="auto">
        <a:xfrm flipH="1">
          <a:off x="5048250" y="1330796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23312</xdr:rowOff>
    </xdr:to>
    <xdr:sp macro="" textlink="">
      <xdr:nvSpPr>
        <xdr:cNvPr id="65" name="Text Box 16"/>
        <xdr:cNvSpPr txBox="1">
          <a:spLocks noChangeArrowheads="1"/>
        </xdr:cNvSpPr>
      </xdr:nvSpPr>
      <xdr:spPr bwMode="auto">
        <a:xfrm flipH="1">
          <a:off x="5048250" y="1330796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0</xdr:rowOff>
    </xdr:to>
    <xdr:sp macro="" textlink="">
      <xdr:nvSpPr>
        <xdr:cNvPr id="66" name="Text Box 12"/>
        <xdr:cNvSpPr txBox="1">
          <a:spLocks noChangeArrowheads="1"/>
        </xdr:cNvSpPr>
      </xdr:nvSpPr>
      <xdr:spPr bwMode="auto">
        <a:xfrm flipH="1">
          <a:off x="5048250" y="1329550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26760</xdr:rowOff>
    </xdr:to>
    <xdr:sp macro="" textlink="">
      <xdr:nvSpPr>
        <xdr:cNvPr id="67" name="Text Box 4"/>
        <xdr:cNvSpPr txBox="1">
          <a:spLocks noChangeArrowheads="1"/>
        </xdr:cNvSpPr>
      </xdr:nvSpPr>
      <xdr:spPr bwMode="auto">
        <a:xfrm flipH="1">
          <a:off x="5048250" y="1330487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9525</xdr:rowOff>
    </xdr:to>
    <xdr:sp macro="" textlink="">
      <xdr:nvSpPr>
        <xdr:cNvPr id="68" name="Text Box 4"/>
        <xdr:cNvSpPr txBox="1">
          <a:spLocks noChangeArrowheads="1"/>
        </xdr:cNvSpPr>
      </xdr:nvSpPr>
      <xdr:spPr bwMode="auto">
        <a:xfrm flipH="1">
          <a:off x="5048250" y="132969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23100</xdr:rowOff>
    </xdr:to>
    <xdr:sp macro="" textlink="">
      <xdr:nvSpPr>
        <xdr:cNvPr id="69" name="Text Box 12"/>
        <xdr:cNvSpPr txBox="1">
          <a:spLocks noChangeArrowheads="1"/>
        </xdr:cNvSpPr>
      </xdr:nvSpPr>
      <xdr:spPr bwMode="auto">
        <a:xfrm flipH="1">
          <a:off x="5048250" y="1330692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23313</xdr:rowOff>
    </xdr:to>
    <xdr:sp macro="" textlink="">
      <xdr:nvSpPr>
        <xdr:cNvPr id="70" name="Text Box 14"/>
        <xdr:cNvSpPr txBox="1">
          <a:spLocks noChangeArrowheads="1"/>
        </xdr:cNvSpPr>
      </xdr:nvSpPr>
      <xdr:spPr bwMode="auto">
        <a:xfrm flipH="1">
          <a:off x="5048250" y="1330796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23312</xdr:rowOff>
    </xdr:to>
    <xdr:sp macro="" textlink="">
      <xdr:nvSpPr>
        <xdr:cNvPr id="71" name="Text Box 16"/>
        <xdr:cNvSpPr txBox="1">
          <a:spLocks noChangeArrowheads="1"/>
        </xdr:cNvSpPr>
      </xdr:nvSpPr>
      <xdr:spPr bwMode="auto">
        <a:xfrm flipH="1">
          <a:off x="5048250" y="1330796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0</xdr:rowOff>
    </xdr:to>
    <xdr:sp macro="" textlink="">
      <xdr:nvSpPr>
        <xdr:cNvPr id="72" name="Text Box 12"/>
        <xdr:cNvSpPr txBox="1">
          <a:spLocks noChangeArrowheads="1"/>
        </xdr:cNvSpPr>
      </xdr:nvSpPr>
      <xdr:spPr bwMode="auto">
        <a:xfrm flipH="1">
          <a:off x="5048250" y="1329550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26760</xdr:rowOff>
    </xdr:to>
    <xdr:sp macro="" textlink="">
      <xdr:nvSpPr>
        <xdr:cNvPr id="73" name="Text Box 4"/>
        <xdr:cNvSpPr txBox="1">
          <a:spLocks noChangeArrowheads="1"/>
        </xdr:cNvSpPr>
      </xdr:nvSpPr>
      <xdr:spPr bwMode="auto">
        <a:xfrm flipH="1">
          <a:off x="5048250" y="1330487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28575</xdr:colOff>
      <xdr:row>60</xdr:row>
      <xdr:rowOff>9525</xdr:rowOff>
    </xdr:to>
    <xdr:sp macro="" textlink="">
      <xdr:nvSpPr>
        <xdr:cNvPr id="74" name="Text Box 4"/>
        <xdr:cNvSpPr txBox="1">
          <a:spLocks noChangeArrowheads="1"/>
        </xdr:cNvSpPr>
      </xdr:nvSpPr>
      <xdr:spPr bwMode="auto">
        <a:xfrm flipH="1">
          <a:off x="5048250" y="13296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23100</xdr:rowOff>
    </xdr:to>
    <xdr:sp macro="" textlink="">
      <xdr:nvSpPr>
        <xdr:cNvPr id="75" name="Text Box 12"/>
        <xdr:cNvSpPr txBox="1">
          <a:spLocks noChangeArrowheads="1"/>
        </xdr:cNvSpPr>
      </xdr:nvSpPr>
      <xdr:spPr bwMode="auto">
        <a:xfrm flipH="1">
          <a:off x="4815728" y="133069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23313</xdr:rowOff>
    </xdr:to>
    <xdr:sp macro="" textlink="">
      <xdr:nvSpPr>
        <xdr:cNvPr id="76" name="Text Box 14"/>
        <xdr:cNvSpPr txBox="1">
          <a:spLocks noChangeArrowheads="1"/>
        </xdr:cNvSpPr>
      </xdr:nvSpPr>
      <xdr:spPr bwMode="auto">
        <a:xfrm flipH="1">
          <a:off x="4815728" y="133079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23312</xdr:rowOff>
    </xdr:to>
    <xdr:sp macro="" textlink="">
      <xdr:nvSpPr>
        <xdr:cNvPr id="77" name="Text Box 16"/>
        <xdr:cNvSpPr txBox="1">
          <a:spLocks noChangeArrowheads="1"/>
        </xdr:cNvSpPr>
      </xdr:nvSpPr>
      <xdr:spPr bwMode="auto">
        <a:xfrm flipH="1">
          <a:off x="4815728" y="133079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0</xdr:rowOff>
    </xdr:to>
    <xdr:sp macro="" textlink="">
      <xdr:nvSpPr>
        <xdr:cNvPr id="78" name="Text Box 12"/>
        <xdr:cNvSpPr txBox="1">
          <a:spLocks noChangeArrowheads="1"/>
        </xdr:cNvSpPr>
      </xdr:nvSpPr>
      <xdr:spPr bwMode="auto">
        <a:xfrm flipH="1">
          <a:off x="4815728" y="132955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26760</xdr:rowOff>
    </xdr:to>
    <xdr:sp macro="" textlink="">
      <xdr:nvSpPr>
        <xdr:cNvPr id="79" name="Text Box 4"/>
        <xdr:cNvSpPr txBox="1">
          <a:spLocks noChangeArrowheads="1"/>
        </xdr:cNvSpPr>
      </xdr:nvSpPr>
      <xdr:spPr bwMode="auto">
        <a:xfrm flipH="1">
          <a:off x="4815728" y="133048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28575</xdr:colOff>
      <xdr:row>60</xdr:row>
      <xdr:rowOff>9525</xdr:rowOff>
    </xdr:to>
    <xdr:sp macro="" textlink="">
      <xdr:nvSpPr>
        <xdr:cNvPr id="80" name="Text Box 4"/>
        <xdr:cNvSpPr txBox="1">
          <a:spLocks noChangeArrowheads="1"/>
        </xdr:cNvSpPr>
      </xdr:nvSpPr>
      <xdr:spPr bwMode="auto">
        <a:xfrm flipH="1">
          <a:off x="5048250" y="13296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23100</xdr:rowOff>
    </xdr:to>
    <xdr:sp macro="" textlink="">
      <xdr:nvSpPr>
        <xdr:cNvPr id="81" name="Text Box 12"/>
        <xdr:cNvSpPr txBox="1">
          <a:spLocks noChangeArrowheads="1"/>
        </xdr:cNvSpPr>
      </xdr:nvSpPr>
      <xdr:spPr bwMode="auto">
        <a:xfrm flipH="1">
          <a:off x="4815728" y="133069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23313</xdr:rowOff>
    </xdr:to>
    <xdr:sp macro="" textlink="">
      <xdr:nvSpPr>
        <xdr:cNvPr id="82" name="Text Box 14"/>
        <xdr:cNvSpPr txBox="1">
          <a:spLocks noChangeArrowheads="1"/>
        </xdr:cNvSpPr>
      </xdr:nvSpPr>
      <xdr:spPr bwMode="auto">
        <a:xfrm flipH="1">
          <a:off x="4815728" y="133079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23312</xdr:rowOff>
    </xdr:to>
    <xdr:sp macro="" textlink="">
      <xdr:nvSpPr>
        <xdr:cNvPr id="83" name="Text Box 16"/>
        <xdr:cNvSpPr txBox="1">
          <a:spLocks noChangeArrowheads="1"/>
        </xdr:cNvSpPr>
      </xdr:nvSpPr>
      <xdr:spPr bwMode="auto">
        <a:xfrm flipH="1">
          <a:off x="4815728" y="133079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0</xdr:rowOff>
    </xdr:to>
    <xdr:sp macro="" textlink="">
      <xdr:nvSpPr>
        <xdr:cNvPr id="84" name="Text Box 12"/>
        <xdr:cNvSpPr txBox="1">
          <a:spLocks noChangeArrowheads="1"/>
        </xdr:cNvSpPr>
      </xdr:nvSpPr>
      <xdr:spPr bwMode="auto">
        <a:xfrm flipH="1">
          <a:off x="4815728" y="132955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26760</xdr:rowOff>
    </xdr:to>
    <xdr:sp macro="" textlink="">
      <xdr:nvSpPr>
        <xdr:cNvPr id="85" name="Text Box 4"/>
        <xdr:cNvSpPr txBox="1">
          <a:spLocks noChangeArrowheads="1"/>
        </xdr:cNvSpPr>
      </xdr:nvSpPr>
      <xdr:spPr bwMode="auto">
        <a:xfrm flipH="1">
          <a:off x="4815728" y="133048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27557</xdr:rowOff>
    </xdr:to>
    <xdr:sp macro="" textlink="">
      <xdr:nvSpPr>
        <xdr:cNvPr id="86" name="Text Box 4"/>
        <xdr:cNvSpPr txBox="1">
          <a:spLocks noChangeArrowheads="1"/>
        </xdr:cNvSpPr>
      </xdr:nvSpPr>
      <xdr:spPr bwMode="auto">
        <a:xfrm flipH="1">
          <a:off x="4815728" y="18264413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0</xdr:rowOff>
    </xdr:to>
    <xdr:sp macro="" textlink="">
      <xdr:nvSpPr>
        <xdr:cNvPr id="87" name="Text Box 12"/>
        <xdr:cNvSpPr txBox="1">
          <a:spLocks noChangeArrowheads="1"/>
        </xdr:cNvSpPr>
      </xdr:nvSpPr>
      <xdr:spPr bwMode="auto">
        <a:xfrm flipH="1">
          <a:off x="4815728" y="18272816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0</xdr:rowOff>
    </xdr:to>
    <xdr:sp macro="" textlink="">
      <xdr:nvSpPr>
        <xdr:cNvPr id="88" name="Text Box 14"/>
        <xdr:cNvSpPr txBox="1">
          <a:spLocks noChangeArrowheads="1"/>
        </xdr:cNvSpPr>
      </xdr:nvSpPr>
      <xdr:spPr bwMode="auto">
        <a:xfrm flipH="1">
          <a:off x="4815728" y="18273851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0</xdr:rowOff>
    </xdr:to>
    <xdr:sp macro="" textlink="">
      <xdr:nvSpPr>
        <xdr:cNvPr id="89" name="Text Box 16"/>
        <xdr:cNvSpPr txBox="1">
          <a:spLocks noChangeArrowheads="1"/>
        </xdr:cNvSpPr>
      </xdr:nvSpPr>
      <xdr:spPr bwMode="auto">
        <a:xfrm flipH="1">
          <a:off x="4815728" y="18273851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0</xdr:rowOff>
    </xdr:to>
    <xdr:sp macro="" textlink="">
      <xdr:nvSpPr>
        <xdr:cNvPr id="90" name="Text Box 12"/>
        <xdr:cNvSpPr txBox="1">
          <a:spLocks noChangeArrowheads="1"/>
        </xdr:cNvSpPr>
      </xdr:nvSpPr>
      <xdr:spPr bwMode="auto">
        <a:xfrm flipH="1">
          <a:off x="4815728" y="18270912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13044</xdr:rowOff>
    </xdr:to>
    <xdr:sp macro="" textlink="">
      <xdr:nvSpPr>
        <xdr:cNvPr id="91" name="Text Box 4"/>
        <xdr:cNvSpPr txBox="1">
          <a:spLocks noChangeArrowheads="1"/>
        </xdr:cNvSpPr>
      </xdr:nvSpPr>
      <xdr:spPr bwMode="auto">
        <a:xfrm flipH="1">
          <a:off x="4815728" y="18270763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28575</xdr:colOff>
      <xdr:row>60</xdr:row>
      <xdr:rowOff>9525</xdr:rowOff>
    </xdr:to>
    <xdr:sp macro="" textlink="">
      <xdr:nvSpPr>
        <xdr:cNvPr id="92" name="Text Box 4"/>
        <xdr:cNvSpPr txBox="1">
          <a:spLocks noChangeArrowheads="1"/>
        </xdr:cNvSpPr>
      </xdr:nvSpPr>
      <xdr:spPr bwMode="auto">
        <a:xfrm flipH="1">
          <a:off x="5048250" y="13296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23100</xdr:rowOff>
    </xdr:to>
    <xdr:sp macro="" textlink="">
      <xdr:nvSpPr>
        <xdr:cNvPr id="93" name="Text Box 12"/>
        <xdr:cNvSpPr txBox="1">
          <a:spLocks noChangeArrowheads="1"/>
        </xdr:cNvSpPr>
      </xdr:nvSpPr>
      <xdr:spPr bwMode="auto">
        <a:xfrm flipH="1">
          <a:off x="4815728" y="133069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23313</xdr:rowOff>
    </xdr:to>
    <xdr:sp macro="" textlink="">
      <xdr:nvSpPr>
        <xdr:cNvPr id="94" name="Text Box 14"/>
        <xdr:cNvSpPr txBox="1">
          <a:spLocks noChangeArrowheads="1"/>
        </xdr:cNvSpPr>
      </xdr:nvSpPr>
      <xdr:spPr bwMode="auto">
        <a:xfrm flipH="1">
          <a:off x="4815728" y="133079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23312</xdr:rowOff>
    </xdr:to>
    <xdr:sp macro="" textlink="">
      <xdr:nvSpPr>
        <xdr:cNvPr id="95" name="Text Box 16"/>
        <xdr:cNvSpPr txBox="1">
          <a:spLocks noChangeArrowheads="1"/>
        </xdr:cNvSpPr>
      </xdr:nvSpPr>
      <xdr:spPr bwMode="auto">
        <a:xfrm flipH="1">
          <a:off x="4815728" y="133079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0</xdr:rowOff>
    </xdr:to>
    <xdr:sp macro="" textlink="">
      <xdr:nvSpPr>
        <xdr:cNvPr id="96" name="Text Box 12"/>
        <xdr:cNvSpPr txBox="1">
          <a:spLocks noChangeArrowheads="1"/>
        </xdr:cNvSpPr>
      </xdr:nvSpPr>
      <xdr:spPr bwMode="auto">
        <a:xfrm flipH="1">
          <a:off x="4815728" y="132955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26760</xdr:rowOff>
    </xdr:to>
    <xdr:sp macro="" textlink="">
      <xdr:nvSpPr>
        <xdr:cNvPr id="97" name="Text Box 4"/>
        <xdr:cNvSpPr txBox="1">
          <a:spLocks noChangeArrowheads="1"/>
        </xdr:cNvSpPr>
      </xdr:nvSpPr>
      <xdr:spPr bwMode="auto">
        <a:xfrm flipH="1">
          <a:off x="4815728" y="133048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28575</xdr:colOff>
      <xdr:row>60</xdr:row>
      <xdr:rowOff>9525</xdr:rowOff>
    </xdr:to>
    <xdr:sp macro="" textlink="">
      <xdr:nvSpPr>
        <xdr:cNvPr id="98" name="Text Box 4"/>
        <xdr:cNvSpPr txBox="1">
          <a:spLocks noChangeArrowheads="1"/>
        </xdr:cNvSpPr>
      </xdr:nvSpPr>
      <xdr:spPr bwMode="auto">
        <a:xfrm flipH="1">
          <a:off x="5048250" y="13296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23100</xdr:rowOff>
    </xdr:to>
    <xdr:sp macro="" textlink="">
      <xdr:nvSpPr>
        <xdr:cNvPr id="99" name="Text Box 12"/>
        <xdr:cNvSpPr txBox="1">
          <a:spLocks noChangeArrowheads="1"/>
        </xdr:cNvSpPr>
      </xdr:nvSpPr>
      <xdr:spPr bwMode="auto">
        <a:xfrm flipH="1">
          <a:off x="4815728" y="133069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23313</xdr:rowOff>
    </xdr:to>
    <xdr:sp macro="" textlink="">
      <xdr:nvSpPr>
        <xdr:cNvPr id="100" name="Text Box 14"/>
        <xdr:cNvSpPr txBox="1">
          <a:spLocks noChangeArrowheads="1"/>
        </xdr:cNvSpPr>
      </xdr:nvSpPr>
      <xdr:spPr bwMode="auto">
        <a:xfrm flipH="1">
          <a:off x="4815728" y="133079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23312</xdr:rowOff>
    </xdr:to>
    <xdr:sp macro="" textlink="">
      <xdr:nvSpPr>
        <xdr:cNvPr id="101" name="Text Box 16"/>
        <xdr:cNvSpPr txBox="1">
          <a:spLocks noChangeArrowheads="1"/>
        </xdr:cNvSpPr>
      </xdr:nvSpPr>
      <xdr:spPr bwMode="auto">
        <a:xfrm flipH="1">
          <a:off x="4815728" y="133079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0</xdr:rowOff>
    </xdr:to>
    <xdr:sp macro="" textlink="">
      <xdr:nvSpPr>
        <xdr:cNvPr id="102" name="Text Box 12"/>
        <xdr:cNvSpPr txBox="1">
          <a:spLocks noChangeArrowheads="1"/>
        </xdr:cNvSpPr>
      </xdr:nvSpPr>
      <xdr:spPr bwMode="auto">
        <a:xfrm flipH="1">
          <a:off x="4815728" y="132955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26760</xdr:rowOff>
    </xdr:to>
    <xdr:sp macro="" textlink="">
      <xdr:nvSpPr>
        <xdr:cNvPr id="103" name="Text Box 4"/>
        <xdr:cNvSpPr txBox="1">
          <a:spLocks noChangeArrowheads="1"/>
        </xdr:cNvSpPr>
      </xdr:nvSpPr>
      <xdr:spPr bwMode="auto">
        <a:xfrm flipH="1">
          <a:off x="4815728" y="133048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27557</xdr:rowOff>
    </xdr:to>
    <xdr:sp macro="" textlink="">
      <xdr:nvSpPr>
        <xdr:cNvPr id="104" name="Text Box 4"/>
        <xdr:cNvSpPr txBox="1">
          <a:spLocks noChangeArrowheads="1"/>
        </xdr:cNvSpPr>
      </xdr:nvSpPr>
      <xdr:spPr bwMode="auto">
        <a:xfrm flipH="1">
          <a:off x="5048250" y="18264413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0</xdr:rowOff>
    </xdr:to>
    <xdr:sp macro="" textlink="">
      <xdr:nvSpPr>
        <xdr:cNvPr id="105" name="Text Box 12"/>
        <xdr:cNvSpPr txBox="1">
          <a:spLocks noChangeArrowheads="1"/>
        </xdr:cNvSpPr>
      </xdr:nvSpPr>
      <xdr:spPr bwMode="auto">
        <a:xfrm flipH="1">
          <a:off x="5048250" y="18272816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0</xdr:rowOff>
    </xdr:to>
    <xdr:sp macro="" textlink="">
      <xdr:nvSpPr>
        <xdr:cNvPr id="106" name="Text Box 14"/>
        <xdr:cNvSpPr txBox="1">
          <a:spLocks noChangeArrowheads="1"/>
        </xdr:cNvSpPr>
      </xdr:nvSpPr>
      <xdr:spPr bwMode="auto">
        <a:xfrm flipH="1">
          <a:off x="5048250" y="18273851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0</xdr:rowOff>
    </xdr:to>
    <xdr:sp macro="" textlink="">
      <xdr:nvSpPr>
        <xdr:cNvPr id="107" name="Text Box 16"/>
        <xdr:cNvSpPr txBox="1">
          <a:spLocks noChangeArrowheads="1"/>
        </xdr:cNvSpPr>
      </xdr:nvSpPr>
      <xdr:spPr bwMode="auto">
        <a:xfrm flipH="1">
          <a:off x="5048250" y="18273851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0</xdr:rowOff>
    </xdr:to>
    <xdr:sp macro="" textlink="">
      <xdr:nvSpPr>
        <xdr:cNvPr id="108" name="Text Box 12"/>
        <xdr:cNvSpPr txBox="1">
          <a:spLocks noChangeArrowheads="1"/>
        </xdr:cNvSpPr>
      </xdr:nvSpPr>
      <xdr:spPr bwMode="auto">
        <a:xfrm flipH="1">
          <a:off x="5048250" y="18270912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13044</xdr:rowOff>
    </xdr:to>
    <xdr:sp macro="" textlink="">
      <xdr:nvSpPr>
        <xdr:cNvPr id="109" name="Text Box 4"/>
        <xdr:cNvSpPr txBox="1">
          <a:spLocks noChangeArrowheads="1"/>
        </xdr:cNvSpPr>
      </xdr:nvSpPr>
      <xdr:spPr bwMode="auto">
        <a:xfrm flipH="1">
          <a:off x="5048250" y="18270763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9525</xdr:rowOff>
    </xdr:to>
    <xdr:sp macro="" textlink="">
      <xdr:nvSpPr>
        <xdr:cNvPr id="110" name="Text Box 4"/>
        <xdr:cNvSpPr txBox="1">
          <a:spLocks noChangeArrowheads="1"/>
        </xdr:cNvSpPr>
      </xdr:nvSpPr>
      <xdr:spPr bwMode="auto">
        <a:xfrm flipH="1">
          <a:off x="5048250" y="132969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23100</xdr:rowOff>
    </xdr:to>
    <xdr:sp macro="" textlink="">
      <xdr:nvSpPr>
        <xdr:cNvPr id="111" name="Text Box 12"/>
        <xdr:cNvSpPr txBox="1">
          <a:spLocks noChangeArrowheads="1"/>
        </xdr:cNvSpPr>
      </xdr:nvSpPr>
      <xdr:spPr bwMode="auto">
        <a:xfrm flipH="1">
          <a:off x="5048250" y="1330692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23313</xdr:rowOff>
    </xdr:to>
    <xdr:sp macro="" textlink="">
      <xdr:nvSpPr>
        <xdr:cNvPr id="112" name="Text Box 14"/>
        <xdr:cNvSpPr txBox="1">
          <a:spLocks noChangeArrowheads="1"/>
        </xdr:cNvSpPr>
      </xdr:nvSpPr>
      <xdr:spPr bwMode="auto">
        <a:xfrm flipH="1">
          <a:off x="5048250" y="1330796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23312</xdr:rowOff>
    </xdr:to>
    <xdr:sp macro="" textlink="">
      <xdr:nvSpPr>
        <xdr:cNvPr id="113" name="Text Box 16"/>
        <xdr:cNvSpPr txBox="1">
          <a:spLocks noChangeArrowheads="1"/>
        </xdr:cNvSpPr>
      </xdr:nvSpPr>
      <xdr:spPr bwMode="auto">
        <a:xfrm flipH="1">
          <a:off x="5048250" y="1330796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0</xdr:rowOff>
    </xdr:to>
    <xdr:sp macro="" textlink="">
      <xdr:nvSpPr>
        <xdr:cNvPr id="114" name="Text Box 12"/>
        <xdr:cNvSpPr txBox="1">
          <a:spLocks noChangeArrowheads="1"/>
        </xdr:cNvSpPr>
      </xdr:nvSpPr>
      <xdr:spPr bwMode="auto">
        <a:xfrm flipH="1">
          <a:off x="5048250" y="1329550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26760</xdr:rowOff>
    </xdr:to>
    <xdr:sp macro="" textlink="">
      <xdr:nvSpPr>
        <xdr:cNvPr id="115" name="Text Box 4"/>
        <xdr:cNvSpPr txBox="1">
          <a:spLocks noChangeArrowheads="1"/>
        </xdr:cNvSpPr>
      </xdr:nvSpPr>
      <xdr:spPr bwMode="auto">
        <a:xfrm flipH="1">
          <a:off x="5048250" y="1330487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9525</xdr:rowOff>
    </xdr:to>
    <xdr:sp macro="" textlink="">
      <xdr:nvSpPr>
        <xdr:cNvPr id="116" name="Text Box 4"/>
        <xdr:cNvSpPr txBox="1">
          <a:spLocks noChangeArrowheads="1"/>
        </xdr:cNvSpPr>
      </xdr:nvSpPr>
      <xdr:spPr bwMode="auto">
        <a:xfrm flipH="1">
          <a:off x="5048250" y="132969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23100</xdr:rowOff>
    </xdr:to>
    <xdr:sp macro="" textlink="">
      <xdr:nvSpPr>
        <xdr:cNvPr id="117" name="Text Box 12"/>
        <xdr:cNvSpPr txBox="1">
          <a:spLocks noChangeArrowheads="1"/>
        </xdr:cNvSpPr>
      </xdr:nvSpPr>
      <xdr:spPr bwMode="auto">
        <a:xfrm flipH="1">
          <a:off x="5048250" y="1330692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23313</xdr:rowOff>
    </xdr:to>
    <xdr:sp macro="" textlink="">
      <xdr:nvSpPr>
        <xdr:cNvPr id="118" name="Text Box 14"/>
        <xdr:cNvSpPr txBox="1">
          <a:spLocks noChangeArrowheads="1"/>
        </xdr:cNvSpPr>
      </xdr:nvSpPr>
      <xdr:spPr bwMode="auto">
        <a:xfrm flipH="1">
          <a:off x="5048250" y="1330796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23312</xdr:rowOff>
    </xdr:to>
    <xdr:sp macro="" textlink="">
      <xdr:nvSpPr>
        <xdr:cNvPr id="119" name="Text Box 16"/>
        <xdr:cNvSpPr txBox="1">
          <a:spLocks noChangeArrowheads="1"/>
        </xdr:cNvSpPr>
      </xdr:nvSpPr>
      <xdr:spPr bwMode="auto">
        <a:xfrm flipH="1">
          <a:off x="5048250" y="1330796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0</xdr:rowOff>
    </xdr:to>
    <xdr:sp macro="" textlink="">
      <xdr:nvSpPr>
        <xdr:cNvPr id="120" name="Text Box 12"/>
        <xdr:cNvSpPr txBox="1">
          <a:spLocks noChangeArrowheads="1"/>
        </xdr:cNvSpPr>
      </xdr:nvSpPr>
      <xdr:spPr bwMode="auto">
        <a:xfrm flipH="1">
          <a:off x="5048250" y="1329550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26760</xdr:rowOff>
    </xdr:to>
    <xdr:sp macro="" textlink="">
      <xdr:nvSpPr>
        <xdr:cNvPr id="121" name="Text Box 4"/>
        <xdr:cNvSpPr txBox="1">
          <a:spLocks noChangeArrowheads="1"/>
        </xdr:cNvSpPr>
      </xdr:nvSpPr>
      <xdr:spPr bwMode="auto">
        <a:xfrm flipH="1">
          <a:off x="5048250" y="1330487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27557</xdr:rowOff>
    </xdr:to>
    <xdr:sp macro="" textlink="">
      <xdr:nvSpPr>
        <xdr:cNvPr id="122" name="Text Box 4"/>
        <xdr:cNvSpPr txBox="1">
          <a:spLocks noChangeArrowheads="1"/>
        </xdr:cNvSpPr>
      </xdr:nvSpPr>
      <xdr:spPr bwMode="auto">
        <a:xfrm flipH="1">
          <a:off x="4815728" y="18264413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0</xdr:rowOff>
    </xdr:to>
    <xdr:sp macro="" textlink="">
      <xdr:nvSpPr>
        <xdr:cNvPr id="123" name="Text Box 12"/>
        <xdr:cNvSpPr txBox="1">
          <a:spLocks noChangeArrowheads="1"/>
        </xdr:cNvSpPr>
      </xdr:nvSpPr>
      <xdr:spPr bwMode="auto">
        <a:xfrm flipH="1">
          <a:off x="4815728" y="18272816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0</xdr:rowOff>
    </xdr:to>
    <xdr:sp macro="" textlink="">
      <xdr:nvSpPr>
        <xdr:cNvPr id="124" name="Text Box 14"/>
        <xdr:cNvSpPr txBox="1">
          <a:spLocks noChangeArrowheads="1"/>
        </xdr:cNvSpPr>
      </xdr:nvSpPr>
      <xdr:spPr bwMode="auto">
        <a:xfrm flipH="1">
          <a:off x="4815728" y="18273851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0</xdr:rowOff>
    </xdr:to>
    <xdr:sp macro="" textlink="">
      <xdr:nvSpPr>
        <xdr:cNvPr id="125" name="Text Box 16"/>
        <xdr:cNvSpPr txBox="1">
          <a:spLocks noChangeArrowheads="1"/>
        </xdr:cNvSpPr>
      </xdr:nvSpPr>
      <xdr:spPr bwMode="auto">
        <a:xfrm flipH="1">
          <a:off x="4815728" y="18273851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0</xdr:rowOff>
    </xdr:to>
    <xdr:sp macro="" textlink="">
      <xdr:nvSpPr>
        <xdr:cNvPr id="126" name="Text Box 12"/>
        <xdr:cNvSpPr txBox="1">
          <a:spLocks noChangeArrowheads="1"/>
        </xdr:cNvSpPr>
      </xdr:nvSpPr>
      <xdr:spPr bwMode="auto">
        <a:xfrm flipH="1">
          <a:off x="4815728" y="18270912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2621168</xdr:colOff>
      <xdr:row>91</xdr:row>
      <xdr:rowOff>13044</xdr:rowOff>
    </xdr:to>
    <xdr:sp macro="" textlink="">
      <xdr:nvSpPr>
        <xdr:cNvPr id="127" name="Text Box 4"/>
        <xdr:cNvSpPr txBox="1">
          <a:spLocks noChangeArrowheads="1"/>
        </xdr:cNvSpPr>
      </xdr:nvSpPr>
      <xdr:spPr bwMode="auto">
        <a:xfrm flipH="1">
          <a:off x="4815728" y="18270763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28575</xdr:colOff>
      <xdr:row>60</xdr:row>
      <xdr:rowOff>9525</xdr:rowOff>
    </xdr:to>
    <xdr:sp macro="" textlink="">
      <xdr:nvSpPr>
        <xdr:cNvPr id="128" name="Text Box 4"/>
        <xdr:cNvSpPr txBox="1">
          <a:spLocks noChangeArrowheads="1"/>
        </xdr:cNvSpPr>
      </xdr:nvSpPr>
      <xdr:spPr bwMode="auto">
        <a:xfrm flipH="1">
          <a:off x="5048250" y="13296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23100</xdr:rowOff>
    </xdr:to>
    <xdr:sp macro="" textlink="">
      <xdr:nvSpPr>
        <xdr:cNvPr id="129" name="Text Box 12"/>
        <xdr:cNvSpPr txBox="1">
          <a:spLocks noChangeArrowheads="1"/>
        </xdr:cNvSpPr>
      </xdr:nvSpPr>
      <xdr:spPr bwMode="auto">
        <a:xfrm flipH="1">
          <a:off x="4815728" y="133069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23313</xdr:rowOff>
    </xdr:to>
    <xdr:sp macro="" textlink="">
      <xdr:nvSpPr>
        <xdr:cNvPr id="130" name="Text Box 14"/>
        <xdr:cNvSpPr txBox="1">
          <a:spLocks noChangeArrowheads="1"/>
        </xdr:cNvSpPr>
      </xdr:nvSpPr>
      <xdr:spPr bwMode="auto">
        <a:xfrm flipH="1">
          <a:off x="4815728" y="133079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23312</xdr:rowOff>
    </xdr:to>
    <xdr:sp macro="" textlink="">
      <xdr:nvSpPr>
        <xdr:cNvPr id="131" name="Text Box 16"/>
        <xdr:cNvSpPr txBox="1">
          <a:spLocks noChangeArrowheads="1"/>
        </xdr:cNvSpPr>
      </xdr:nvSpPr>
      <xdr:spPr bwMode="auto">
        <a:xfrm flipH="1">
          <a:off x="4815728" y="133079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0</xdr:rowOff>
    </xdr:to>
    <xdr:sp macro="" textlink="">
      <xdr:nvSpPr>
        <xdr:cNvPr id="132" name="Text Box 12"/>
        <xdr:cNvSpPr txBox="1">
          <a:spLocks noChangeArrowheads="1"/>
        </xdr:cNvSpPr>
      </xdr:nvSpPr>
      <xdr:spPr bwMode="auto">
        <a:xfrm flipH="1">
          <a:off x="4815728" y="132955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26760</xdr:rowOff>
    </xdr:to>
    <xdr:sp macro="" textlink="">
      <xdr:nvSpPr>
        <xdr:cNvPr id="133" name="Text Box 4"/>
        <xdr:cNvSpPr txBox="1">
          <a:spLocks noChangeArrowheads="1"/>
        </xdr:cNvSpPr>
      </xdr:nvSpPr>
      <xdr:spPr bwMode="auto">
        <a:xfrm flipH="1">
          <a:off x="4815728" y="133048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28575</xdr:colOff>
      <xdr:row>60</xdr:row>
      <xdr:rowOff>9525</xdr:rowOff>
    </xdr:to>
    <xdr:sp macro="" textlink="">
      <xdr:nvSpPr>
        <xdr:cNvPr id="134" name="Text Box 4"/>
        <xdr:cNvSpPr txBox="1">
          <a:spLocks noChangeArrowheads="1"/>
        </xdr:cNvSpPr>
      </xdr:nvSpPr>
      <xdr:spPr bwMode="auto">
        <a:xfrm flipH="1">
          <a:off x="5048250" y="13296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23100</xdr:rowOff>
    </xdr:to>
    <xdr:sp macro="" textlink="">
      <xdr:nvSpPr>
        <xdr:cNvPr id="135" name="Text Box 12"/>
        <xdr:cNvSpPr txBox="1">
          <a:spLocks noChangeArrowheads="1"/>
        </xdr:cNvSpPr>
      </xdr:nvSpPr>
      <xdr:spPr bwMode="auto">
        <a:xfrm flipH="1">
          <a:off x="4815728" y="133069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23313</xdr:rowOff>
    </xdr:to>
    <xdr:sp macro="" textlink="">
      <xdr:nvSpPr>
        <xdr:cNvPr id="136" name="Text Box 14"/>
        <xdr:cNvSpPr txBox="1">
          <a:spLocks noChangeArrowheads="1"/>
        </xdr:cNvSpPr>
      </xdr:nvSpPr>
      <xdr:spPr bwMode="auto">
        <a:xfrm flipH="1">
          <a:off x="4815728" y="133079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23312</xdr:rowOff>
    </xdr:to>
    <xdr:sp macro="" textlink="">
      <xdr:nvSpPr>
        <xdr:cNvPr id="137" name="Text Box 16"/>
        <xdr:cNvSpPr txBox="1">
          <a:spLocks noChangeArrowheads="1"/>
        </xdr:cNvSpPr>
      </xdr:nvSpPr>
      <xdr:spPr bwMode="auto">
        <a:xfrm flipH="1">
          <a:off x="4815728" y="133079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0</xdr:rowOff>
    </xdr:to>
    <xdr:sp macro="" textlink="">
      <xdr:nvSpPr>
        <xdr:cNvPr id="138" name="Text Box 12"/>
        <xdr:cNvSpPr txBox="1">
          <a:spLocks noChangeArrowheads="1"/>
        </xdr:cNvSpPr>
      </xdr:nvSpPr>
      <xdr:spPr bwMode="auto">
        <a:xfrm flipH="1">
          <a:off x="4815728" y="132955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26760</xdr:rowOff>
    </xdr:to>
    <xdr:sp macro="" textlink="">
      <xdr:nvSpPr>
        <xdr:cNvPr id="139" name="Text Box 4"/>
        <xdr:cNvSpPr txBox="1">
          <a:spLocks noChangeArrowheads="1"/>
        </xdr:cNvSpPr>
      </xdr:nvSpPr>
      <xdr:spPr bwMode="auto">
        <a:xfrm flipH="1">
          <a:off x="4815728" y="133048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27557</xdr:rowOff>
    </xdr:to>
    <xdr:sp macro="" textlink="">
      <xdr:nvSpPr>
        <xdr:cNvPr id="140" name="Text Box 4"/>
        <xdr:cNvSpPr txBox="1">
          <a:spLocks noChangeArrowheads="1"/>
        </xdr:cNvSpPr>
      </xdr:nvSpPr>
      <xdr:spPr bwMode="auto">
        <a:xfrm flipH="1">
          <a:off x="5048250" y="18264413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0</xdr:rowOff>
    </xdr:to>
    <xdr:sp macro="" textlink="">
      <xdr:nvSpPr>
        <xdr:cNvPr id="141" name="Text Box 12"/>
        <xdr:cNvSpPr txBox="1">
          <a:spLocks noChangeArrowheads="1"/>
        </xdr:cNvSpPr>
      </xdr:nvSpPr>
      <xdr:spPr bwMode="auto">
        <a:xfrm flipH="1">
          <a:off x="5048250" y="18272816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0</xdr:rowOff>
    </xdr:to>
    <xdr:sp macro="" textlink="">
      <xdr:nvSpPr>
        <xdr:cNvPr id="142" name="Text Box 14"/>
        <xdr:cNvSpPr txBox="1">
          <a:spLocks noChangeArrowheads="1"/>
        </xdr:cNvSpPr>
      </xdr:nvSpPr>
      <xdr:spPr bwMode="auto">
        <a:xfrm flipH="1">
          <a:off x="5048250" y="18273851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0</xdr:rowOff>
    </xdr:to>
    <xdr:sp macro="" textlink="">
      <xdr:nvSpPr>
        <xdr:cNvPr id="143" name="Text Box 16"/>
        <xdr:cNvSpPr txBox="1">
          <a:spLocks noChangeArrowheads="1"/>
        </xdr:cNvSpPr>
      </xdr:nvSpPr>
      <xdr:spPr bwMode="auto">
        <a:xfrm flipH="1">
          <a:off x="5048250" y="18273851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0</xdr:rowOff>
    </xdr:to>
    <xdr:sp macro="" textlink="">
      <xdr:nvSpPr>
        <xdr:cNvPr id="144" name="Text Box 12"/>
        <xdr:cNvSpPr txBox="1">
          <a:spLocks noChangeArrowheads="1"/>
        </xdr:cNvSpPr>
      </xdr:nvSpPr>
      <xdr:spPr bwMode="auto">
        <a:xfrm flipH="1">
          <a:off x="5048250" y="18270912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13044</xdr:rowOff>
    </xdr:to>
    <xdr:sp macro="" textlink="">
      <xdr:nvSpPr>
        <xdr:cNvPr id="145" name="Text Box 4"/>
        <xdr:cNvSpPr txBox="1">
          <a:spLocks noChangeArrowheads="1"/>
        </xdr:cNvSpPr>
      </xdr:nvSpPr>
      <xdr:spPr bwMode="auto">
        <a:xfrm flipH="1">
          <a:off x="5048250" y="18270763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9525</xdr:rowOff>
    </xdr:to>
    <xdr:sp macro="" textlink="">
      <xdr:nvSpPr>
        <xdr:cNvPr id="146" name="Text Box 4"/>
        <xdr:cNvSpPr txBox="1">
          <a:spLocks noChangeArrowheads="1"/>
        </xdr:cNvSpPr>
      </xdr:nvSpPr>
      <xdr:spPr bwMode="auto">
        <a:xfrm flipH="1">
          <a:off x="5048250" y="132969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23100</xdr:rowOff>
    </xdr:to>
    <xdr:sp macro="" textlink="">
      <xdr:nvSpPr>
        <xdr:cNvPr id="147" name="Text Box 12"/>
        <xdr:cNvSpPr txBox="1">
          <a:spLocks noChangeArrowheads="1"/>
        </xdr:cNvSpPr>
      </xdr:nvSpPr>
      <xdr:spPr bwMode="auto">
        <a:xfrm flipH="1">
          <a:off x="5048250" y="1330692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23313</xdr:rowOff>
    </xdr:to>
    <xdr:sp macro="" textlink="">
      <xdr:nvSpPr>
        <xdr:cNvPr id="148" name="Text Box 14"/>
        <xdr:cNvSpPr txBox="1">
          <a:spLocks noChangeArrowheads="1"/>
        </xdr:cNvSpPr>
      </xdr:nvSpPr>
      <xdr:spPr bwMode="auto">
        <a:xfrm flipH="1">
          <a:off x="5048250" y="1330796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23312</xdr:rowOff>
    </xdr:to>
    <xdr:sp macro="" textlink="">
      <xdr:nvSpPr>
        <xdr:cNvPr id="149" name="Text Box 16"/>
        <xdr:cNvSpPr txBox="1">
          <a:spLocks noChangeArrowheads="1"/>
        </xdr:cNvSpPr>
      </xdr:nvSpPr>
      <xdr:spPr bwMode="auto">
        <a:xfrm flipH="1">
          <a:off x="5048250" y="1330796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0</xdr:rowOff>
    </xdr:to>
    <xdr:sp macro="" textlink="">
      <xdr:nvSpPr>
        <xdr:cNvPr id="150" name="Text Box 12"/>
        <xdr:cNvSpPr txBox="1">
          <a:spLocks noChangeArrowheads="1"/>
        </xdr:cNvSpPr>
      </xdr:nvSpPr>
      <xdr:spPr bwMode="auto">
        <a:xfrm flipH="1">
          <a:off x="5048250" y="1329550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26760</xdr:rowOff>
    </xdr:to>
    <xdr:sp macro="" textlink="">
      <xdr:nvSpPr>
        <xdr:cNvPr id="151" name="Text Box 4"/>
        <xdr:cNvSpPr txBox="1">
          <a:spLocks noChangeArrowheads="1"/>
        </xdr:cNvSpPr>
      </xdr:nvSpPr>
      <xdr:spPr bwMode="auto">
        <a:xfrm flipH="1">
          <a:off x="5048250" y="1330487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9525</xdr:rowOff>
    </xdr:to>
    <xdr:sp macro="" textlink="">
      <xdr:nvSpPr>
        <xdr:cNvPr id="152" name="Text Box 4"/>
        <xdr:cNvSpPr txBox="1">
          <a:spLocks noChangeArrowheads="1"/>
        </xdr:cNvSpPr>
      </xdr:nvSpPr>
      <xdr:spPr bwMode="auto">
        <a:xfrm flipH="1">
          <a:off x="5048250" y="132969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23100</xdr:rowOff>
    </xdr:to>
    <xdr:sp macro="" textlink="">
      <xdr:nvSpPr>
        <xdr:cNvPr id="153" name="Text Box 12"/>
        <xdr:cNvSpPr txBox="1">
          <a:spLocks noChangeArrowheads="1"/>
        </xdr:cNvSpPr>
      </xdr:nvSpPr>
      <xdr:spPr bwMode="auto">
        <a:xfrm flipH="1">
          <a:off x="5048250" y="13306929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23313</xdr:rowOff>
    </xdr:to>
    <xdr:sp macro="" textlink="">
      <xdr:nvSpPr>
        <xdr:cNvPr id="154" name="Text Box 14"/>
        <xdr:cNvSpPr txBox="1">
          <a:spLocks noChangeArrowheads="1"/>
        </xdr:cNvSpPr>
      </xdr:nvSpPr>
      <xdr:spPr bwMode="auto">
        <a:xfrm flipH="1">
          <a:off x="5048250" y="13307964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23312</xdr:rowOff>
    </xdr:to>
    <xdr:sp macro="" textlink="">
      <xdr:nvSpPr>
        <xdr:cNvPr id="155" name="Text Box 16"/>
        <xdr:cNvSpPr txBox="1">
          <a:spLocks noChangeArrowheads="1"/>
        </xdr:cNvSpPr>
      </xdr:nvSpPr>
      <xdr:spPr bwMode="auto">
        <a:xfrm flipH="1">
          <a:off x="5048250" y="13307964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0</xdr:rowOff>
    </xdr:to>
    <xdr:sp macro="" textlink="">
      <xdr:nvSpPr>
        <xdr:cNvPr id="156" name="Text Box 12"/>
        <xdr:cNvSpPr txBox="1">
          <a:spLocks noChangeArrowheads="1"/>
        </xdr:cNvSpPr>
      </xdr:nvSpPr>
      <xdr:spPr bwMode="auto">
        <a:xfrm flipH="1">
          <a:off x="5048250" y="13295500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26760</xdr:rowOff>
    </xdr:to>
    <xdr:sp macro="" textlink="">
      <xdr:nvSpPr>
        <xdr:cNvPr id="157" name="Text Box 4"/>
        <xdr:cNvSpPr txBox="1">
          <a:spLocks noChangeArrowheads="1"/>
        </xdr:cNvSpPr>
      </xdr:nvSpPr>
      <xdr:spPr bwMode="auto">
        <a:xfrm flipH="1">
          <a:off x="5048250" y="13304876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28575</xdr:colOff>
      <xdr:row>60</xdr:row>
      <xdr:rowOff>9525</xdr:rowOff>
    </xdr:to>
    <xdr:sp macro="" textlink="">
      <xdr:nvSpPr>
        <xdr:cNvPr id="158" name="Text Box 4"/>
        <xdr:cNvSpPr txBox="1">
          <a:spLocks noChangeArrowheads="1"/>
        </xdr:cNvSpPr>
      </xdr:nvSpPr>
      <xdr:spPr bwMode="auto">
        <a:xfrm flipH="1">
          <a:off x="5048250" y="13296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23100</xdr:rowOff>
    </xdr:to>
    <xdr:sp macro="" textlink="">
      <xdr:nvSpPr>
        <xdr:cNvPr id="159" name="Text Box 12"/>
        <xdr:cNvSpPr txBox="1">
          <a:spLocks noChangeArrowheads="1"/>
        </xdr:cNvSpPr>
      </xdr:nvSpPr>
      <xdr:spPr bwMode="auto">
        <a:xfrm flipH="1">
          <a:off x="4815728" y="133069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23313</xdr:rowOff>
    </xdr:to>
    <xdr:sp macro="" textlink="">
      <xdr:nvSpPr>
        <xdr:cNvPr id="160" name="Text Box 14"/>
        <xdr:cNvSpPr txBox="1">
          <a:spLocks noChangeArrowheads="1"/>
        </xdr:cNvSpPr>
      </xdr:nvSpPr>
      <xdr:spPr bwMode="auto">
        <a:xfrm flipH="1">
          <a:off x="4815728" y="133079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23312</xdr:rowOff>
    </xdr:to>
    <xdr:sp macro="" textlink="">
      <xdr:nvSpPr>
        <xdr:cNvPr id="161" name="Text Box 16"/>
        <xdr:cNvSpPr txBox="1">
          <a:spLocks noChangeArrowheads="1"/>
        </xdr:cNvSpPr>
      </xdr:nvSpPr>
      <xdr:spPr bwMode="auto">
        <a:xfrm flipH="1">
          <a:off x="4815728" y="133079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0</xdr:rowOff>
    </xdr:to>
    <xdr:sp macro="" textlink="">
      <xdr:nvSpPr>
        <xdr:cNvPr id="162" name="Text Box 12"/>
        <xdr:cNvSpPr txBox="1">
          <a:spLocks noChangeArrowheads="1"/>
        </xdr:cNvSpPr>
      </xdr:nvSpPr>
      <xdr:spPr bwMode="auto">
        <a:xfrm flipH="1">
          <a:off x="4815728" y="132955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26760</xdr:rowOff>
    </xdr:to>
    <xdr:sp macro="" textlink="">
      <xdr:nvSpPr>
        <xdr:cNvPr id="163" name="Text Box 4"/>
        <xdr:cNvSpPr txBox="1">
          <a:spLocks noChangeArrowheads="1"/>
        </xdr:cNvSpPr>
      </xdr:nvSpPr>
      <xdr:spPr bwMode="auto">
        <a:xfrm flipH="1">
          <a:off x="4815728" y="133048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28575</xdr:colOff>
      <xdr:row>60</xdr:row>
      <xdr:rowOff>9525</xdr:rowOff>
    </xdr:to>
    <xdr:sp macro="" textlink="">
      <xdr:nvSpPr>
        <xdr:cNvPr id="164" name="Text Box 4"/>
        <xdr:cNvSpPr txBox="1">
          <a:spLocks noChangeArrowheads="1"/>
        </xdr:cNvSpPr>
      </xdr:nvSpPr>
      <xdr:spPr bwMode="auto">
        <a:xfrm flipH="1">
          <a:off x="5048250" y="13296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23100</xdr:rowOff>
    </xdr:to>
    <xdr:sp macro="" textlink="">
      <xdr:nvSpPr>
        <xdr:cNvPr id="165" name="Text Box 12"/>
        <xdr:cNvSpPr txBox="1">
          <a:spLocks noChangeArrowheads="1"/>
        </xdr:cNvSpPr>
      </xdr:nvSpPr>
      <xdr:spPr bwMode="auto">
        <a:xfrm flipH="1">
          <a:off x="4815728" y="13306929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23313</xdr:rowOff>
    </xdr:to>
    <xdr:sp macro="" textlink="">
      <xdr:nvSpPr>
        <xdr:cNvPr id="166" name="Text Box 14"/>
        <xdr:cNvSpPr txBox="1">
          <a:spLocks noChangeArrowheads="1"/>
        </xdr:cNvSpPr>
      </xdr:nvSpPr>
      <xdr:spPr bwMode="auto">
        <a:xfrm flipH="1">
          <a:off x="4815728" y="13307964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23312</xdr:rowOff>
    </xdr:to>
    <xdr:sp macro="" textlink="">
      <xdr:nvSpPr>
        <xdr:cNvPr id="167" name="Text Box 16"/>
        <xdr:cNvSpPr txBox="1">
          <a:spLocks noChangeArrowheads="1"/>
        </xdr:cNvSpPr>
      </xdr:nvSpPr>
      <xdr:spPr bwMode="auto">
        <a:xfrm flipH="1">
          <a:off x="4815728" y="13307964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0</xdr:rowOff>
    </xdr:to>
    <xdr:sp macro="" textlink="">
      <xdr:nvSpPr>
        <xdr:cNvPr id="168" name="Text Box 12"/>
        <xdr:cNvSpPr txBox="1">
          <a:spLocks noChangeArrowheads="1"/>
        </xdr:cNvSpPr>
      </xdr:nvSpPr>
      <xdr:spPr bwMode="auto">
        <a:xfrm flipH="1">
          <a:off x="4815728" y="13295500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2621168</xdr:colOff>
      <xdr:row>60</xdr:row>
      <xdr:rowOff>26760</xdr:rowOff>
    </xdr:to>
    <xdr:sp macro="" textlink="">
      <xdr:nvSpPr>
        <xdr:cNvPr id="169" name="Text Box 4"/>
        <xdr:cNvSpPr txBox="1">
          <a:spLocks noChangeArrowheads="1"/>
        </xdr:cNvSpPr>
      </xdr:nvSpPr>
      <xdr:spPr bwMode="auto">
        <a:xfrm flipH="1">
          <a:off x="4815728" y="13304876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39283</xdr:rowOff>
    </xdr:to>
    <xdr:sp macro="" textlink="">
      <xdr:nvSpPr>
        <xdr:cNvPr id="170" name="Text Box 4"/>
        <xdr:cNvSpPr txBox="1">
          <a:spLocks noChangeArrowheads="1"/>
        </xdr:cNvSpPr>
      </xdr:nvSpPr>
      <xdr:spPr bwMode="auto">
        <a:xfrm flipH="1">
          <a:off x="4815728" y="182644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32725</xdr:rowOff>
    </xdr:to>
    <xdr:sp macro="" textlink="">
      <xdr:nvSpPr>
        <xdr:cNvPr id="171" name="Text Box 12"/>
        <xdr:cNvSpPr txBox="1">
          <a:spLocks noChangeArrowheads="1"/>
        </xdr:cNvSpPr>
      </xdr:nvSpPr>
      <xdr:spPr bwMode="auto">
        <a:xfrm flipH="1">
          <a:off x="4815728" y="182728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34743</xdr:rowOff>
    </xdr:to>
    <xdr:sp macro="" textlink="">
      <xdr:nvSpPr>
        <xdr:cNvPr id="172" name="Text Box 14"/>
        <xdr:cNvSpPr txBox="1">
          <a:spLocks noChangeArrowheads="1"/>
        </xdr:cNvSpPr>
      </xdr:nvSpPr>
      <xdr:spPr bwMode="auto">
        <a:xfrm flipH="1">
          <a:off x="4815728" y="182738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34742</xdr:rowOff>
    </xdr:to>
    <xdr:sp macro="" textlink="">
      <xdr:nvSpPr>
        <xdr:cNvPr id="173" name="Text Box 16"/>
        <xdr:cNvSpPr txBox="1">
          <a:spLocks noChangeArrowheads="1"/>
        </xdr:cNvSpPr>
      </xdr:nvSpPr>
      <xdr:spPr bwMode="auto">
        <a:xfrm flipH="1">
          <a:off x="4815728" y="182738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30162</xdr:rowOff>
    </xdr:to>
    <xdr:sp macro="" textlink="">
      <xdr:nvSpPr>
        <xdr:cNvPr id="174" name="Text Box 12"/>
        <xdr:cNvSpPr txBox="1">
          <a:spLocks noChangeArrowheads="1"/>
        </xdr:cNvSpPr>
      </xdr:nvSpPr>
      <xdr:spPr bwMode="auto">
        <a:xfrm flipH="1">
          <a:off x="4815728" y="182709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20664</xdr:rowOff>
    </xdr:to>
    <xdr:sp macro="" textlink="">
      <xdr:nvSpPr>
        <xdr:cNvPr id="175" name="Text Box 4"/>
        <xdr:cNvSpPr txBox="1">
          <a:spLocks noChangeArrowheads="1"/>
        </xdr:cNvSpPr>
      </xdr:nvSpPr>
      <xdr:spPr bwMode="auto">
        <a:xfrm flipH="1">
          <a:off x="4815728" y="182707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80456</xdr:rowOff>
    </xdr:to>
    <xdr:sp macro="" textlink="">
      <xdr:nvSpPr>
        <xdr:cNvPr id="176" name="Text Box 4"/>
        <xdr:cNvSpPr txBox="1">
          <a:spLocks noChangeArrowheads="1"/>
        </xdr:cNvSpPr>
      </xdr:nvSpPr>
      <xdr:spPr bwMode="auto">
        <a:xfrm flipH="1">
          <a:off x="4815728" y="132985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24544</xdr:rowOff>
    </xdr:to>
    <xdr:sp macro="" textlink="">
      <xdr:nvSpPr>
        <xdr:cNvPr id="177" name="Text Box 12"/>
        <xdr:cNvSpPr txBox="1">
          <a:spLocks noChangeArrowheads="1"/>
        </xdr:cNvSpPr>
      </xdr:nvSpPr>
      <xdr:spPr bwMode="auto">
        <a:xfrm flipH="1">
          <a:off x="4815728" y="133069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23162</xdr:rowOff>
    </xdr:to>
    <xdr:sp macro="" textlink="">
      <xdr:nvSpPr>
        <xdr:cNvPr id="178" name="Text Box 14"/>
        <xdr:cNvSpPr txBox="1">
          <a:spLocks noChangeArrowheads="1"/>
        </xdr:cNvSpPr>
      </xdr:nvSpPr>
      <xdr:spPr bwMode="auto">
        <a:xfrm flipH="1">
          <a:off x="4815728" y="133079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23161</xdr:rowOff>
    </xdr:to>
    <xdr:sp macro="" textlink="">
      <xdr:nvSpPr>
        <xdr:cNvPr id="179" name="Text Box 16"/>
        <xdr:cNvSpPr txBox="1">
          <a:spLocks noChangeArrowheads="1"/>
        </xdr:cNvSpPr>
      </xdr:nvSpPr>
      <xdr:spPr bwMode="auto">
        <a:xfrm flipH="1">
          <a:off x="4815728" y="133079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80989</xdr:rowOff>
    </xdr:to>
    <xdr:sp macro="" textlink="">
      <xdr:nvSpPr>
        <xdr:cNvPr id="180" name="Text Box 12"/>
        <xdr:cNvSpPr txBox="1">
          <a:spLocks noChangeArrowheads="1"/>
        </xdr:cNvSpPr>
      </xdr:nvSpPr>
      <xdr:spPr bwMode="auto">
        <a:xfrm flipH="1">
          <a:off x="4815728" y="132955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30996</xdr:rowOff>
    </xdr:to>
    <xdr:sp macro="" textlink="">
      <xdr:nvSpPr>
        <xdr:cNvPr id="181" name="Text Box 4"/>
        <xdr:cNvSpPr txBox="1">
          <a:spLocks noChangeArrowheads="1"/>
        </xdr:cNvSpPr>
      </xdr:nvSpPr>
      <xdr:spPr bwMode="auto">
        <a:xfrm flipH="1">
          <a:off x="4815728" y="133048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80456</xdr:rowOff>
    </xdr:to>
    <xdr:sp macro="" textlink="">
      <xdr:nvSpPr>
        <xdr:cNvPr id="182" name="Text Box 4"/>
        <xdr:cNvSpPr txBox="1">
          <a:spLocks noChangeArrowheads="1"/>
        </xdr:cNvSpPr>
      </xdr:nvSpPr>
      <xdr:spPr bwMode="auto">
        <a:xfrm flipH="1">
          <a:off x="4815728" y="132985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24544</xdr:rowOff>
    </xdr:to>
    <xdr:sp macro="" textlink="">
      <xdr:nvSpPr>
        <xdr:cNvPr id="183" name="Text Box 12"/>
        <xdr:cNvSpPr txBox="1">
          <a:spLocks noChangeArrowheads="1"/>
        </xdr:cNvSpPr>
      </xdr:nvSpPr>
      <xdr:spPr bwMode="auto">
        <a:xfrm flipH="1">
          <a:off x="4815728" y="133069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23162</xdr:rowOff>
    </xdr:to>
    <xdr:sp macro="" textlink="">
      <xdr:nvSpPr>
        <xdr:cNvPr id="184" name="Text Box 14"/>
        <xdr:cNvSpPr txBox="1">
          <a:spLocks noChangeArrowheads="1"/>
        </xdr:cNvSpPr>
      </xdr:nvSpPr>
      <xdr:spPr bwMode="auto">
        <a:xfrm flipH="1">
          <a:off x="4815728" y="133079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23161</xdr:rowOff>
    </xdr:to>
    <xdr:sp macro="" textlink="">
      <xdr:nvSpPr>
        <xdr:cNvPr id="185" name="Text Box 16"/>
        <xdr:cNvSpPr txBox="1">
          <a:spLocks noChangeArrowheads="1"/>
        </xdr:cNvSpPr>
      </xdr:nvSpPr>
      <xdr:spPr bwMode="auto">
        <a:xfrm flipH="1">
          <a:off x="4815728" y="133079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80989</xdr:rowOff>
    </xdr:to>
    <xdr:sp macro="" textlink="">
      <xdr:nvSpPr>
        <xdr:cNvPr id="186" name="Text Box 12"/>
        <xdr:cNvSpPr txBox="1">
          <a:spLocks noChangeArrowheads="1"/>
        </xdr:cNvSpPr>
      </xdr:nvSpPr>
      <xdr:spPr bwMode="auto">
        <a:xfrm flipH="1">
          <a:off x="4815728" y="132955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30996</xdr:rowOff>
    </xdr:to>
    <xdr:sp macro="" textlink="">
      <xdr:nvSpPr>
        <xdr:cNvPr id="187" name="Text Box 4"/>
        <xdr:cNvSpPr txBox="1">
          <a:spLocks noChangeArrowheads="1"/>
        </xdr:cNvSpPr>
      </xdr:nvSpPr>
      <xdr:spPr bwMode="auto">
        <a:xfrm flipH="1">
          <a:off x="4815728" y="133048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39283</xdr:rowOff>
    </xdr:to>
    <xdr:sp macro="" textlink="">
      <xdr:nvSpPr>
        <xdr:cNvPr id="188" name="Text Box 4"/>
        <xdr:cNvSpPr txBox="1">
          <a:spLocks noChangeArrowheads="1"/>
        </xdr:cNvSpPr>
      </xdr:nvSpPr>
      <xdr:spPr bwMode="auto">
        <a:xfrm flipH="1">
          <a:off x="5048250" y="182644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32725</xdr:rowOff>
    </xdr:to>
    <xdr:sp macro="" textlink="">
      <xdr:nvSpPr>
        <xdr:cNvPr id="189" name="Text Box 12"/>
        <xdr:cNvSpPr txBox="1">
          <a:spLocks noChangeArrowheads="1"/>
        </xdr:cNvSpPr>
      </xdr:nvSpPr>
      <xdr:spPr bwMode="auto">
        <a:xfrm flipH="1">
          <a:off x="5048250" y="182728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34743</xdr:rowOff>
    </xdr:to>
    <xdr:sp macro="" textlink="">
      <xdr:nvSpPr>
        <xdr:cNvPr id="190" name="Text Box 14"/>
        <xdr:cNvSpPr txBox="1">
          <a:spLocks noChangeArrowheads="1"/>
        </xdr:cNvSpPr>
      </xdr:nvSpPr>
      <xdr:spPr bwMode="auto">
        <a:xfrm flipH="1">
          <a:off x="5048250" y="182738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34742</xdr:rowOff>
    </xdr:to>
    <xdr:sp macro="" textlink="">
      <xdr:nvSpPr>
        <xdr:cNvPr id="191" name="Text Box 16"/>
        <xdr:cNvSpPr txBox="1">
          <a:spLocks noChangeArrowheads="1"/>
        </xdr:cNvSpPr>
      </xdr:nvSpPr>
      <xdr:spPr bwMode="auto">
        <a:xfrm flipH="1">
          <a:off x="5048250" y="182738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30162</xdr:rowOff>
    </xdr:to>
    <xdr:sp macro="" textlink="">
      <xdr:nvSpPr>
        <xdr:cNvPr id="192" name="Text Box 12"/>
        <xdr:cNvSpPr txBox="1">
          <a:spLocks noChangeArrowheads="1"/>
        </xdr:cNvSpPr>
      </xdr:nvSpPr>
      <xdr:spPr bwMode="auto">
        <a:xfrm flipH="1">
          <a:off x="5048250" y="182709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20664</xdr:rowOff>
    </xdr:to>
    <xdr:sp macro="" textlink="">
      <xdr:nvSpPr>
        <xdr:cNvPr id="193" name="Text Box 4"/>
        <xdr:cNvSpPr txBox="1">
          <a:spLocks noChangeArrowheads="1"/>
        </xdr:cNvSpPr>
      </xdr:nvSpPr>
      <xdr:spPr bwMode="auto">
        <a:xfrm flipH="1">
          <a:off x="5048250" y="182707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80456</xdr:rowOff>
    </xdr:to>
    <xdr:sp macro="" textlink="">
      <xdr:nvSpPr>
        <xdr:cNvPr id="194" name="Text Box 4"/>
        <xdr:cNvSpPr txBox="1">
          <a:spLocks noChangeArrowheads="1"/>
        </xdr:cNvSpPr>
      </xdr:nvSpPr>
      <xdr:spPr bwMode="auto">
        <a:xfrm flipH="1">
          <a:off x="5048250" y="132985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24544</xdr:rowOff>
    </xdr:to>
    <xdr:sp macro="" textlink="">
      <xdr:nvSpPr>
        <xdr:cNvPr id="195" name="Text Box 12"/>
        <xdr:cNvSpPr txBox="1">
          <a:spLocks noChangeArrowheads="1"/>
        </xdr:cNvSpPr>
      </xdr:nvSpPr>
      <xdr:spPr bwMode="auto">
        <a:xfrm flipH="1">
          <a:off x="5048250" y="133069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23162</xdr:rowOff>
    </xdr:to>
    <xdr:sp macro="" textlink="">
      <xdr:nvSpPr>
        <xdr:cNvPr id="196" name="Text Box 14"/>
        <xdr:cNvSpPr txBox="1">
          <a:spLocks noChangeArrowheads="1"/>
        </xdr:cNvSpPr>
      </xdr:nvSpPr>
      <xdr:spPr bwMode="auto">
        <a:xfrm flipH="1">
          <a:off x="5048250" y="133079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23161</xdr:rowOff>
    </xdr:to>
    <xdr:sp macro="" textlink="">
      <xdr:nvSpPr>
        <xdr:cNvPr id="197" name="Text Box 16"/>
        <xdr:cNvSpPr txBox="1">
          <a:spLocks noChangeArrowheads="1"/>
        </xdr:cNvSpPr>
      </xdr:nvSpPr>
      <xdr:spPr bwMode="auto">
        <a:xfrm flipH="1">
          <a:off x="5048250" y="133079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80989</xdr:rowOff>
    </xdr:to>
    <xdr:sp macro="" textlink="">
      <xdr:nvSpPr>
        <xdr:cNvPr id="198" name="Text Box 12"/>
        <xdr:cNvSpPr txBox="1">
          <a:spLocks noChangeArrowheads="1"/>
        </xdr:cNvSpPr>
      </xdr:nvSpPr>
      <xdr:spPr bwMode="auto">
        <a:xfrm flipH="1">
          <a:off x="5048250" y="132955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30996</xdr:rowOff>
    </xdr:to>
    <xdr:sp macro="" textlink="">
      <xdr:nvSpPr>
        <xdr:cNvPr id="199" name="Text Box 4"/>
        <xdr:cNvSpPr txBox="1">
          <a:spLocks noChangeArrowheads="1"/>
        </xdr:cNvSpPr>
      </xdr:nvSpPr>
      <xdr:spPr bwMode="auto">
        <a:xfrm flipH="1">
          <a:off x="5048250" y="133048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80456</xdr:rowOff>
    </xdr:to>
    <xdr:sp macro="" textlink="">
      <xdr:nvSpPr>
        <xdr:cNvPr id="200" name="Text Box 4"/>
        <xdr:cNvSpPr txBox="1">
          <a:spLocks noChangeArrowheads="1"/>
        </xdr:cNvSpPr>
      </xdr:nvSpPr>
      <xdr:spPr bwMode="auto">
        <a:xfrm flipH="1">
          <a:off x="5048250" y="132985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24544</xdr:rowOff>
    </xdr:to>
    <xdr:sp macro="" textlink="">
      <xdr:nvSpPr>
        <xdr:cNvPr id="201" name="Text Box 12"/>
        <xdr:cNvSpPr txBox="1">
          <a:spLocks noChangeArrowheads="1"/>
        </xdr:cNvSpPr>
      </xdr:nvSpPr>
      <xdr:spPr bwMode="auto">
        <a:xfrm flipH="1">
          <a:off x="5048250" y="133069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23162</xdr:rowOff>
    </xdr:to>
    <xdr:sp macro="" textlink="">
      <xdr:nvSpPr>
        <xdr:cNvPr id="202" name="Text Box 14"/>
        <xdr:cNvSpPr txBox="1">
          <a:spLocks noChangeArrowheads="1"/>
        </xdr:cNvSpPr>
      </xdr:nvSpPr>
      <xdr:spPr bwMode="auto">
        <a:xfrm flipH="1">
          <a:off x="5048250" y="133079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23161</xdr:rowOff>
    </xdr:to>
    <xdr:sp macro="" textlink="">
      <xdr:nvSpPr>
        <xdr:cNvPr id="203" name="Text Box 16"/>
        <xdr:cNvSpPr txBox="1">
          <a:spLocks noChangeArrowheads="1"/>
        </xdr:cNvSpPr>
      </xdr:nvSpPr>
      <xdr:spPr bwMode="auto">
        <a:xfrm flipH="1">
          <a:off x="5048250" y="133079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80989</xdr:rowOff>
    </xdr:to>
    <xdr:sp macro="" textlink="">
      <xdr:nvSpPr>
        <xdr:cNvPr id="204" name="Text Box 12"/>
        <xdr:cNvSpPr txBox="1">
          <a:spLocks noChangeArrowheads="1"/>
        </xdr:cNvSpPr>
      </xdr:nvSpPr>
      <xdr:spPr bwMode="auto">
        <a:xfrm flipH="1">
          <a:off x="5048250" y="132955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30996</xdr:rowOff>
    </xdr:to>
    <xdr:sp macro="" textlink="">
      <xdr:nvSpPr>
        <xdr:cNvPr id="205" name="Text Box 4"/>
        <xdr:cNvSpPr txBox="1">
          <a:spLocks noChangeArrowheads="1"/>
        </xdr:cNvSpPr>
      </xdr:nvSpPr>
      <xdr:spPr bwMode="auto">
        <a:xfrm flipH="1">
          <a:off x="5048250" y="133048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39283</xdr:rowOff>
    </xdr:to>
    <xdr:sp macro="" textlink="">
      <xdr:nvSpPr>
        <xdr:cNvPr id="206" name="Text Box 4"/>
        <xdr:cNvSpPr txBox="1">
          <a:spLocks noChangeArrowheads="1"/>
        </xdr:cNvSpPr>
      </xdr:nvSpPr>
      <xdr:spPr bwMode="auto">
        <a:xfrm flipH="1">
          <a:off x="4815728" y="182644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32725</xdr:rowOff>
    </xdr:to>
    <xdr:sp macro="" textlink="">
      <xdr:nvSpPr>
        <xdr:cNvPr id="207" name="Text Box 12"/>
        <xdr:cNvSpPr txBox="1">
          <a:spLocks noChangeArrowheads="1"/>
        </xdr:cNvSpPr>
      </xdr:nvSpPr>
      <xdr:spPr bwMode="auto">
        <a:xfrm flipH="1">
          <a:off x="4815728" y="182728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34743</xdr:rowOff>
    </xdr:to>
    <xdr:sp macro="" textlink="">
      <xdr:nvSpPr>
        <xdr:cNvPr id="208" name="Text Box 14"/>
        <xdr:cNvSpPr txBox="1">
          <a:spLocks noChangeArrowheads="1"/>
        </xdr:cNvSpPr>
      </xdr:nvSpPr>
      <xdr:spPr bwMode="auto">
        <a:xfrm flipH="1">
          <a:off x="4815728" y="182738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34742</xdr:rowOff>
    </xdr:to>
    <xdr:sp macro="" textlink="">
      <xdr:nvSpPr>
        <xdr:cNvPr id="209" name="Text Box 16"/>
        <xdr:cNvSpPr txBox="1">
          <a:spLocks noChangeArrowheads="1"/>
        </xdr:cNvSpPr>
      </xdr:nvSpPr>
      <xdr:spPr bwMode="auto">
        <a:xfrm flipH="1">
          <a:off x="4815728" y="182738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30162</xdr:rowOff>
    </xdr:to>
    <xdr:sp macro="" textlink="">
      <xdr:nvSpPr>
        <xdr:cNvPr id="210" name="Text Box 12"/>
        <xdr:cNvSpPr txBox="1">
          <a:spLocks noChangeArrowheads="1"/>
        </xdr:cNvSpPr>
      </xdr:nvSpPr>
      <xdr:spPr bwMode="auto">
        <a:xfrm flipH="1">
          <a:off x="4815728" y="182709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20664</xdr:rowOff>
    </xdr:to>
    <xdr:sp macro="" textlink="">
      <xdr:nvSpPr>
        <xdr:cNvPr id="211" name="Text Box 4"/>
        <xdr:cNvSpPr txBox="1">
          <a:spLocks noChangeArrowheads="1"/>
        </xdr:cNvSpPr>
      </xdr:nvSpPr>
      <xdr:spPr bwMode="auto">
        <a:xfrm flipH="1">
          <a:off x="4815728" y="182707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80456</xdr:rowOff>
    </xdr:to>
    <xdr:sp macro="" textlink="">
      <xdr:nvSpPr>
        <xdr:cNvPr id="212" name="Text Box 4"/>
        <xdr:cNvSpPr txBox="1">
          <a:spLocks noChangeArrowheads="1"/>
        </xdr:cNvSpPr>
      </xdr:nvSpPr>
      <xdr:spPr bwMode="auto">
        <a:xfrm flipH="1">
          <a:off x="4815728" y="132985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24544</xdr:rowOff>
    </xdr:to>
    <xdr:sp macro="" textlink="">
      <xdr:nvSpPr>
        <xdr:cNvPr id="213" name="Text Box 12"/>
        <xdr:cNvSpPr txBox="1">
          <a:spLocks noChangeArrowheads="1"/>
        </xdr:cNvSpPr>
      </xdr:nvSpPr>
      <xdr:spPr bwMode="auto">
        <a:xfrm flipH="1">
          <a:off x="4815728" y="133069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23162</xdr:rowOff>
    </xdr:to>
    <xdr:sp macro="" textlink="">
      <xdr:nvSpPr>
        <xdr:cNvPr id="214" name="Text Box 14"/>
        <xdr:cNvSpPr txBox="1">
          <a:spLocks noChangeArrowheads="1"/>
        </xdr:cNvSpPr>
      </xdr:nvSpPr>
      <xdr:spPr bwMode="auto">
        <a:xfrm flipH="1">
          <a:off x="4815728" y="133079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23161</xdr:rowOff>
    </xdr:to>
    <xdr:sp macro="" textlink="">
      <xdr:nvSpPr>
        <xdr:cNvPr id="215" name="Text Box 16"/>
        <xdr:cNvSpPr txBox="1">
          <a:spLocks noChangeArrowheads="1"/>
        </xdr:cNvSpPr>
      </xdr:nvSpPr>
      <xdr:spPr bwMode="auto">
        <a:xfrm flipH="1">
          <a:off x="4815728" y="133079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80989</xdr:rowOff>
    </xdr:to>
    <xdr:sp macro="" textlink="">
      <xdr:nvSpPr>
        <xdr:cNvPr id="216" name="Text Box 12"/>
        <xdr:cNvSpPr txBox="1">
          <a:spLocks noChangeArrowheads="1"/>
        </xdr:cNvSpPr>
      </xdr:nvSpPr>
      <xdr:spPr bwMode="auto">
        <a:xfrm flipH="1">
          <a:off x="4815728" y="132955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30996</xdr:rowOff>
    </xdr:to>
    <xdr:sp macro="" textlink="">
      <xdr:nvSpPr>
        <xdr:cNvPr id="217" name="Text Box 4"/>
        <xdr:cNvSpPr txBox="1">
          <a:spLocks noChangeArrowheads="1"/>
        </xdr:cNvSpPr>
      </xdr:nvSpPr>
      <xdr:spPr bwMode="auto">
        <a:xfrm flipH="1">
          <a:off x="4815728" y="133048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80456</xdr:rowOff>
    </xdr:to>
    <xdr:sp macro="" textlink="">
      <xdr:nvSpPr>
        <xdr:cNvPr id="218" name="Text Box 4"/>
        <xdr:cNvSpPr txBox="1">
          <a:spLocks noChangeArrowheads="1"/>
        </xdr:cNvSpPr>
      </xdr:nvSpPr>
      <xdr:spPr bwMode="auto">
        <a:xfrm flipH="1">
          <a:off x="4815728" y="132985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24544</xdr:rowOff>
    </xdr:to>
    <xdr:sp macro="" textlink="">
      <xdr:nvSpPr>
        <xdr:cNvPr id="219" name="Text Box 12"/>
        <xdr:cNvSpPr txBox="1">
          <a:spLocks noChangeArrowheads="1"/>
        </xdr:cNvSpPr>
      </xdr:nvSpPr>
      <xdr:spPr bwMode="auto">
        <a:xfrm flipH="1">
          <a:off x="4815728" y="133069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23162</xdr:rowOff>
    </xdr:to>
    <xdr:sp macro="" textlink="">
      <xdr:nvSpPr>
        <xdr:cNvPr id="220" name="Text Box 14"/>
        <xdr:cNvSpPr txBox="1">
          <a:spLocks noChangeArrowheads="1"/>
        </xdr:cNvSpPr>
      </xdr:nvSpPr>
      <xdr:spPr bwMode="auto">
        <a:xfrm flipH="1">
          <a:off x="4815728" y="133079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23161</xdr:rowOff>
    </xdr:to>
    <xdr:sp macro="" textlink="">
      <xdr:nvSpPr>
        <xdr:cNvPr id="221" name="Text Box 16"/>
        <xdr:cNvSpPr txBox="1">
          <a:spLocks noChangeArrowheads="1"/>
        </xdr:cNvSpPr>
      </xdr:nvSpPr>
      <xdr:spPr bwMode="auto">
        <a:xfrm flipH="1">
          <a:off x="4815728" y="133079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80989</xdr:rowOff>
    </xdr:to>
    <xdr:sp macro="" textlink="">
      <xdr:nvSpPr>
        <xdr:cNvPr id="222" name="Text Box 12"/>
        <xdr:cNvSpPr txBox="1">
          <a:spLocks noChangeArrowheads="1"/>
        </xdr:cNvSpPr>
      </xdr:nvSpPr>
      <xdr:spPr bwMode="auto">
        <a:xfrm flipH="1">
          <a:off x="4815728" y="132955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30996</xdr:rowOff>
    </xdr:to>
    <xdr:sp macro="" textlink="">
      <xdr:nvSpPr>
        <xdr:cNvPr id="223" name="Text Box 4"/>
        <xdr:cNvSpPr txBox="1">
          <a:spLocks noChangeArrowheads="1"/>
        </xdr:cNvSpPr>
      </xdr:nvSpPr>
      <xdr:spPr bwMode="auto">
        <a:xfrm flipH="1">
          <a:off x="4815728" y="133048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39283</xdr:rowOff>
    </xdr:to>
    <xdr:sp macro="" textlink="">
      <xdr:nvSpPr>
        <xdr:cNvPr id="224" name="Text Box 4"/>
        <xdr:cNvSpPr txBox="1">
          <a:spLocks noChangeArrowheads="1"/>
        </xdr:cNvSpPr>
      </xdr:nvSpPr>
      <xdr:spPr bwMode="auto">
        <a:xfrm flipH="1">
          <a:off x="5048250" y="182644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32725</xdr:rowOff>
    </xdr:to>
    <xdr:sp macro="" textlink="">
      <xdr:nvSpPr>
        <xdr:cNvPr id="225" name="Text Box 12"/>
        <xdr:cNvSpPr txBox="1">
          <a:spLocks noChangeArrowheads="1"/>
        </xdr:cNvSpPr>
      </xdr:nvSpPr>
      <xdr:spPr bwMode="auto">
        <a:xfrm flipH="1">
          <a:off x="5048250" y="182728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34743</xdr:rowOff>
    </xdr:to>
    <xdr:sp macro="" textlink="">
      <xdr:nvSpPr>
        <xdr:cNvPr id="226" name="Text Box 14"/>
        <xdr:cNvSpPr txBox="1">
          <a:spLocks noChangeArrowheads="1"/>
        </xdr:cNvSpPr>
      </xdr:nvSpPr>
      <xdr:spPr bwMode="auto">
        <a:xfrm flipH="1">
          <a:off x="5048250" y="182738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34742</xdr:rowOff>
    </xdr:to>
    <xdr:sp macro="" textlink="">
      <xdr:nvSpPr>
        <xdr:cNvPr id="227" name="Text Box 16"/>
        <xdr:cNvSpPr txBox="1">
          <a:spLocks noChangeArrowheads="1"/>
        </xdr:cNvSpPr>
      </xdr:nvSpPr>
      <xdr:spPr bwMode="auto">
        <a:xfrm flipH="1">
          <a:off x="5048250" y="182738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30162</xdr:rowOff>
    </xdr:to>
    <xdr:sp macro="" textlink="">
      <xdr:nvSpPr>
        <xdr:cNvPr id="228" name="Text Box 12"/>
        <xdr:cNvSpPr txBox="1">
          <a:spLocks noChangeArrowheads="1"/>
        </xdr:cNvSpPr>
      </xdr:nvSpPr>
      <xdr:spPr bwMode="auto">
        <a:xfrm flipH="1">
          <a:off x="5048250" y="182709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0</xdr:colOff>
      <xdr:row>91</xdr:row>
      <xdr:rowOff>20664</xdr:rowOff>
    </xdr:to>
    <xdr:sp macro="" textlink="">
      <xdr:nvSpPr>
        <xdr:cNvPr id="229" name="Text Box 4"/>
        <xdr:cNvSpPr txBox="1">
          <a:spLocks noChangeArrowheads="1"/>
        </xdr:cNvSpPr>
      </xdr:nvSpPr>
      <xdr:spPr bwMode="auto">
        <a:xfrm flipH="1">
          <a:off x="5048250" y="182707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80456</xdr:rowOff>
    </xdr:to>
    <xdr:sp macro="" textlink="">
      <xdr:nvSpPr>
        <xdr:cNvPr id="230" name="Text Box 4"/>
        <xdr:cNvSpPr txBox="1">
          <a:spLocks noChangeArrowheads="1"/>
        </xdr:cNvSpPr>
      </xdr:nvSpPr>
      <xdr:spPr bwMode="auto">
        <a:xfrm flipH="1">
          <a:off x="5048250" y="132985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24544</xdr:rowOff>
    </xdr:to>
    <xdr:sp macro="" textlink="">
      <xdr:nvSpPr>
        <xdr:cNvPr id="231" name="Text Box 12"/>
        <xdr:cNvSpPr txBox="1">
          <a:spLocks noChangeArrowheads="1"/>
        </xdr:cNvSpPr>
      </xdr:nvSpPr>
      <xdr:spPr bwMode="auto">
        <a:xfrm flipH="1">
          <a:off x="5048250" y="133069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23162</xdr:rowOff>
    </xdr:to>
    <xdr:sp macro="" textlink="">
      <xdr:nvSpPr>
        <xdr:cNvPr id="232" name="Text Box 14"/>
        <xdr:cNvSpPr txBox="1">
          <a:spLocks noChangeArrowheads="1"/>
        </xdr:cNvSpPr>
      </xdr:nvSpPr>
      <xdr:spPr bwMode="auto">
        <a:xfrm flipH="1">
          <a:off x="5048250" y="133079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23161</xdr:rowOff>
    </xdr:to>
    <xdr:sp macro="" textlink="">
      <xdr:nvSpPr>
        <xdr:cNvPr id="233" name="Text Box 16"/>
        <xdr:cNvSpPr txBox="1">
          <a:spLocks noChangeArrowheads="1"/>
        </xdr:cNvSpPr>
      </xdr:nvSpPr>
      <xdr:spPr bwMode="auto">
        <a:xfrm flipH="1">
          <a:off x="5048250" y="133079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80989</xdr:rowOff>
    </xdr:to>
    <xdr:sp macro="" textlink="">
      <xdr:nvSpPr>
        <xdr:cNvPr id="234" name="Text Box 12"/>
        <xdr:cNvSpPr txBox="1">
          <a:spLocks noChangeArrowheads="1"/>
        </xdr:cNvSpPr>
      </xdr:nvSpPr>
      <xdr:spPr bwMode="auto">
        <a:xfrm flipH="1">
          <a:off x="5048250" y="132955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30996</xdr:rowOff>
    </xdr:to>
    <xdr:sp macro="" textlink="">
      <xdr:nvSpPr>
        <xdr:cNvPr id="235" name="Text Box 4"/>
        <xdr:cNvSpPr txBox="1">
          <a:spLocks noChangeArrowheads="1"/>
        </xdr:cNvSpPr>
      </xdr:nvSpPr>
      <xdr:spPr bwMode="auto">
        <a:xfrm flipH="1">
          <a:off x="5048250" y="133048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80456</xdr:rowOff>
    </xdr:to>
    <xdr:sp macro="" textlink="">
      <xdr:nvSpPr>
        <xdr:cNvPr id="236" name="Text Box 4"/>
        <xdr:cNvSpPr txBox="1">
          <a:spLocks noChangeArrowheads="1"/>
        </xdr:cNvSpPr>
      </xdr:nvSpPr>
      <xdr:spPr bwMode="auto">
        <a:xfrm flipH="1">
          <a:off x="5048250" y="132985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24544</xdr:rowOff>
    </xdr:to>
    <xdr:sp macro="" textlink="">
      <xdr:nvSpPr>
        <xdr:cNvPr id="237" name="Text Box 12"/>
        <xdr:cNvSpPr txBox="1">
          <a:spLocks noChangeArrowheads="1"/>
        </xdr:cNvSpPr>
      </xdr:nvSpPr>
      <xdr:spPr bwMode="auto">
        <a:xfrm flipH="1">
          <a:off x="5048250" y="133069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23162</xdr:rowOff>
    </xdr:to>
    <xdr:sp macro="" textlink="">
      <xdr:nvSpPr>
        <xdr:cNvPr id="238" name="Text Box 14"/>
        <xdr:cNvSpPr txBox="1">
          <a:spLocks noChangeArrowheads="1"/>
        </xdr:cNvSpPr>
      </xdr:nvSpPr>
      <xdr:spPr bwMode="auto">
        <a:xfrm flipH="1">
          <a:off x="5048250" y="133079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23161</xdr:rowOff>
    </xdr:to>
    <xdr:sp macro="" textlink="">
      <xdr:nvSpPr>
        <xdr:cNvPr id="239" name="Text Box 16"/>
        <xdr:cNvSpPr txBox="1">
          <a:spLocks noChangeArrowheads="1"/>
        </xdr:cNvSpPr>
      </xdr:nvSpPr>
      <xdr:spPr bwMode="auto">
        <a:xfrm flipH="1">
          <a:off x="5048250" y="133079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80989</xdr:rowOff>
    </xdr:to>
    <xdr:sp macro="" textlink="">
      <xdr:nvSpPr>
        <xdr:cNvPr id="240" name="Text Box 12"/>
        <xdr:cNvSpPr txBox="1">
          <a:spLocks noChangeArrowheads="1"/>
        </xdr:cNvSpPr>
      </xdr:nvSpPr>
      <xdr:spPr bwMode="auto">
        <a:xfrm flipH="1">
          <a:off x="5048250" y="132955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0</xdr:colOff>
      <xdr:row>60</xdr:row>
      <xdr:rowOff>30996</xdr:rowOff>
    </xdr:to>
    <xdr:sp macro="" textlink="">
      <xdr:nvSpPr>
        <xdr:cNvPr id="241" name="Text Box 4"/>
        <xdr:cNvSpPr txBox="1">
          <a:spLocks noChangeArrowheads="1"/>
        </xdr:cNvSpPr>
      </xdr:nvSpPr>
      <xdr:spPr bwMode="auto">
        <a:xfrm flipH="1">
          <a:off x="5048250" y="133048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80456</xdr:rowOff>
    </xdr:to>
    <xdr:sp macro="" textlink="">
      <xdr:nvSpPr>
        <xdr:cNvPr id="242" name="Text Box 4"/>
        <xdr:cNvSpPr txBox="1">
          <a:spLocks noChangeArrowheads="1"/>
        </xdr:cNvSpPr>
      </xdr:nvSpPr>
      <xdr:spPr bwMode="auto">
        <a:xfrm flipH="1">
          <a:off x="4815728" y="132985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24544</xdr:rowOff>
    </xdr:to>
    <xdr:sp macro="" textlink="">
      <xdr:nvSpPr>
        <xdr:cNvPr id="243" name="Text Box 12"/>
        <xdr:cNvSpPr txBox="1">
          <a:spLocks noChangeArrowheads="1"/>
        </xdr:cNvSpPr>
      </xdr:nvSpPr>
      <xdr:spPr bwMode="auto">
        <a:xfrm flipH="1">
          <a:off x="4815728" y="133069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23162</xdr:rowOff>
    </xdr:to>
    <xdr:sp macro="" textlink="">
      <xdr:nvSpPr>
        <xdr:cNvPr id="244" name="Text Box 14"/>
        <xdr:cNvSpPr txBox="1">
          <a:spLocks noChangeArrowheads="1"/>
        </xdr:cNvSpPr>
      </xdr:nvSpPr>
      <xdr:spPr bwMode="auto">
        <a:xfrm flipH="1">
          <a:off x="4815728" y="133079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23161</xdr:rowOff>
    </xdr:to>
    <xdr:sp macro="" textlink="">
      <xdr:nvSpPr>
        <xdr:cNvPr id="245" name="Text Box 16"/>
        <xdr:cNvSpPr txBox="1">
          <a:spLocks noChangeArrowheads="1"/>
        </xdr:cNvSpPr>
      </xdr:nvSpPr>
      <xdr:spPr bwMode="auto">
        <a:xfrm flipH="1">
          <a:off x="4815728" y="133079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80989</xdr:rowOff>
    </xdr:to>
    <xdr:sp macro="" textlink="">
      <xdr:nvSpPr>
        <xdr:cNvPr id="246" name="Text Box 12"/>
        <xdr:cNvSpPr txBox="1">
          <a:spLocks noChangeArrowheads="1"/>
        </xdr:cNvSpPr>
      </xdr:nvSpPr>
      <xdr:spPr bwMode="auto">
        <a:xfrm flipH="1">
          <a:off x="4815728" y="132955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30996</xdr:rowOff>
    </xdr:to>
    <xdr:sp macro="" textlink="">
      <xdr:nvSpPr>
        <xdr:cNvPr id="247" name="Text Box 4"/>
        <xdr:cNvSpPr txBox="1">
          <a:spLocks noChangeArrowheads="1"/>
        </xdr:cNvSpPr>
      </xdr:nvSpPr>
      <xdr:spPr bwMode="auto">
        <a:xfrm flipH="1">
          <a:off x="4815728" y="133048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80456</xdr:rowOff>
    </xdr:to>
    <xdr:sp macro="" textlink="">
      <xdr:nvSpPr>
        <xdr:cNvPr id="248" name="Text Box 4"/>
        <xdr:cNvSpPr txBox="1">
          <a:spLocks noChangeArrowheads="1"/>
        </xdr:cNvSpPr>
      </xdr:nvSpPr>
      <xdr:spPr bwMode="auto">
        <a:xfrm flipH="1">
          <a:off x="4815728" y="13298526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24544</xdr:rowOff>
    </xdr:to>
    <xdr:sp macro="" textlink="">
      <xdr:nvSpPr>
        <xdr:cNvPr id="249" name="Text Box 12"/>
        <xdr:cNvSpPr txBox="1">
          <a:spLocks noChangeArrowheads="1"/>
        </xdr:cNvSpPr>
      </xdr:nvSpPr>
      <xdr:spPr bwMode="auto">
        <a:xfrm flipH="1">
          <a:off x="4815728" y="13306929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23162</xdr:rowOff>
    </xdr:to>
    <xdr:sp macro="" textlink="">
      <xdr:nvSpPr>
        <xdr:cNvPr id="250" name="Text Box 14"/>
        <xdr:cNvSpPr txBox="1">
          <a:spLocks noChangeArrowheads="1"/>
        </xdr:cNvSpPr>
      </xdr:nvSpPr>
      <xdr:spPr bwMode="auto">
        <a:xfrm flipH="1">
          <a:off x="4815728" y="13307964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23161</xdr:rowOff>
    </xdr:to>
    <xdr:sp macro="" textlink="">
      <xdr:nvSpPr>
        <xdr:cNvPr id="251" name="Text Box 16"/>
        <xdr:cNvSpPr txBox="1">
          <a:spLocks noChangeArrowheads="1"/>
        </xdr:cNvSpPr>
      </xdr:nvSpPr>
      <xdr:spPr bwMode="auto">
        <a:xfrm flipH="1">
          <a:off x="4815728" y="13307964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80989</xdr:rowOff>
    </xdr:to>
    <xdr:sp macro="" textlink="">
      <xdr:nvSpPr>
        <xdr:cNvPr id="252" name="Text Box 12"/>
        <xdr:cNvSpPr txBox="1">
          <a:spLocks noChangeArrowheads="1"/>
        </xdr:cNvSpPr>
      </xdr:nvSpPr>
      <xdr:spPr bwMode="auto">
        <a:xfrm flipH="1">
          <a:off x="4815728" y="132955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30996</xdr:rowOff>
    </xdr:to>
    <xdr:sp macro="" textlink="">
      <xdr:nvSpPr>
        <xdr:cNvPr id="253" name="Text Box 4"/>
        <xdr:cNvSpPr txBox="1">
          <a:spLocks noChangeArrowheads="1"/>
        </xdr:cNvSpPr>
      </xdr:nvSpPr>
      <xdr:spPr bwMode="auto">
        <a:xfrm flipH="1">
          <a:off x="4815728" y="13304876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39283</xdr:rowOff>
    </xdr:to>
    <xdr:sp macro="" textlink="">
      <xdr:nvSpPr>
        <xdr:cNvPr id="254" name="Text Box 4"/>
        <xdr:cNvSpPr txBox="1">
          <a:spLocks noChangeArrowheads="1"/>
        </xdr:cNvSpPr>
      </xdr:nvSpPr>
      <xdr:spPr bwMode="auto">
        <a:xfrm flipH="1">
          <a:off x="4815728" y="182644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32725</xdr:rowOff>
    </xdr:to>
    <xdr:sp macro="" textlink="">
      <xdr:nvSpPr>
        <xdr:cNvPr id="255" name="Text Box 12"/>
        <xdr:cNvSpPr txBox="1">
          <a:spLocks noChangeArrowheads="1"/>
        </xdr:cNvSpPr>
      </xdr:nvSpPr>
      <xdr:spPr bwMode="auto">
        <a:xfrm flipH="1">
          <a:off x="4815728" y="182728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34743</xdr:rowOff>
    </xdr:to>
    <xdr:sp macro="" textlink="">
      <xdr:nvSpPr>
        <xdr:cNvPr id="256" name="Text Box 14"/>
        <xdr:cNvSpPr txBox="1">
          <a:spLocks noChangeArrowheads="1"/>
        </xdr:cNvSpPr>
      </xdr:nvSpPr>
      <xdr:spPr bwMode="auto">
        <a:xfrm flipH="1">
          <a:off x="4815728" y="182738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34742</xdr:rowOff>
    </xdr:to>
    <xdr:sp macro="" textlink="">
      <xdr:nvSpPr>
        <xdr:cNvPr id="257" name="Text Box 16"/>
        <xdr:cNvSpPr txBox="1">
          <a:spLocks noChangeArrowheads="1"/>
        </xdr:cNvSpPr>
      </xdr:nvSpPr>
      <xdr:spPr bwMode="auto">
        <a:xfrm flipH="1">
          <a:off x="4815728" y="182738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30162</xdr:rowOff>
    </xdr:to>
    <xdr:sp macro="" textlink="">
      <xdr:nvSpPr>
        <xdr:cNvPr id="258" name="Text Box 12"/>
        <xdr:cNvSpPr txBox="1">
          <a:spLocks noChangeArrowheads="1"/>
        </xdr:cNvSpPr>
      </xdr:nvSpPr>
      <xdr:spPr bwMode="auto">
        <a:xfrm flipH="1">
          <a:off x="4815728" y="182709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20664</xdr:rowOff>
    </xdr:to>
    <xdr:sp macro="" textlink="">
      <xdr:nvSpPr>
        <xdr:cNvPr id="259" name="Text Box 4"/>
        <xdr:cNvSpPr txBox="1">
          <a:spLocks noChangeArrowheads="1"/>
        </xdr:cNvSpPr>
      </xdr:nvSpPr>
      <xdr:spPr bwMode="auto">
        <a:xfrm flipH="1">
          <a:off x="4815728" y="182707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60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61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62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63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64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65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66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67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68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69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70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71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72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73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74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75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76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77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78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79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80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81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82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83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39283</xdr:rowOff>
    </xdr:to>
    <xdr:sp macro="" textlink="">
      <xdr:nvSpPr>
        <xdr:cNvPr id="284" name="Text Box 4"/>
        <xdr:cNvSpPr txBox="1">
          <a:spLocks noChangeArrowheads="1"/>
        </xdr:cNvSpPr>
      </xdr:nvSpPr>
      <xdr:spPr bwMode="auto">
        <a:xfrm flipH="1">
          <a:off x="4815728" y="182644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32725</xdr:rowOff>
    </xdr:to>
    <xdr:sp macro="" textlink="">
      <xdr:nvSpPr>
        <xdr:cNvPr id="285" name="Text Box 12"/>
        <xdr:cNvSpPr txBox="1">
          <a:spLocks noChangeArrowheads="1"/>
        </xdr:cNvSpPr>
      </xdr:nvSpPr>
      <xdr:spPr bwMode="auto">
        <a:xfrm flipH="1">
          <a:off x="4815728" y="182728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34743</xdr:rowOff>
    </xdr:to>
    <xdr:sp macro="" textlink="">
      <xdr:nvSpPr>
        <xdr:cNvPr id="286" name="Text Box 14"/>
        <xdr:cNvSpPr txBox="1">
          <a:spLocks noChangeArrowheads="1"/>
        </xdr:cNvSpPr>
      </xdr:nvSpPr>
      <xdr:spPr bwMode="auto">
        <a:xfrm flipH="1">
          <a:off x="4815728" y="182738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34742</xdr:rowOff>
    </xdr:to>
    <xdr:sp macro="" textlink="">
      <xdr:nvSpPr>
        <xdr:cNvPr id="287" name="Text Box 16"/>
        <xdr:cNvSpPr txBox="1">
          <a:spLocks noChangeArrowheads="1"/>
        </xdr:cNvSpPr>
      </xdr:nvSpPr>
      <xdr:spPr bwMode="auto">
        <a:xfrm flipH="1">
          <a:off x="4815728" y="182738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30162</xdr:rowOff>
    </xdr:to>
    <xdr:sp macro="" textlink="">
      <xdr:nvSpPr>
        <xdr:cNvPr id="288" name="Text Box 12"/>
        <xdr:cNvSpPr txBox="1">
          <a:spLocks noChangeArrowheads="1"/>
        </xdr:cNvSpPr>
      </xdr:nvSpPr>
      <xdr:spPr bwMode="auto">
        <a:xfrm flipH="1">
          <a:off x="4815728" y="182709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20664</xdr:rowOff>
    </xdr:to>
    <xdr:sp macro="" textlink="">
      <xdr:nvSpPr>
        <xdr:cNvPr id="289" name="Text Box 4"/>
        <xdr:cNvSpPr txBox="1">
          <a:spLocks noChangeArrowheads="1"/>
        </xdr:cNvSpPr>
      </xdr:nvSpPr>
      <xdr:spPr bwMode="auto">
        <a:xfrm flipH="1">
          <a:off x="4815728" y="182707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90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91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92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93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94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95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96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97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98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299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00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01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02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03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04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05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06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07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08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09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10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11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12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13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39283</xdr:rowOff>
    </xdr:to>
    <xdr:sp macro="" textlink="">
      <xdr:nvSpPr>
        <xdr:cNvPr id="314" name="Text Box 4"/>
        <xdr:cNvSpPr txBox="1">
          <a:spLocks noChangeArrowheads="1"/>
        </xdr:cNvSpPr>
      </xdr:nvSpPr>
      <xdr:spPr bwMode="auto">
        <a:xfrm flipH="1">
          <a:off x="4815728" y="182644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32725</xdr:rowOff>
    </xdr:to>
    <xdr:sp macro="" textlink="">
      <xdr:nvSpPr>
        <xdr:cNvPr id="315" name="Text Box 12"/>
        <xdr:cNvSpPr txBox="1">
          <a:spLocks noChangeArrowheads="1"/>
        </xdr:cNvSpPr>
      </xdr:nvSpPr>
      <xdr:spPr bwMode="auto">
        <a:xfrm flipH="1">
          <a:off x="4815728" y="182728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34743</xdr:rowOff>
    </xdr:to>
    <xdr:sp macro="" textlink="">
      <xdr:nvSpPr>
        <xdr:cNvPr id="316" name="Text Box 14"/>
        <xdr:cNvSpPr txBox="1">
          <a:spLocks noChangeArrowheads="1"/>
        </xdr:cNvSpPr>
      </xdr:nvSpPr>
      <xdr:spPr bwMode="auto">
        <a:xfrm flipH="1">
          <a:off x="4815728" y="182738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34742</xdr:rowOff>
    </xdr:to>
    <xdr:sp macro="" textlink="">
      <xdr:nvSpPr>
        <xdr:cNvPr id="317" name="Text Box 16"/>
        <xdr:cNvSpPr txBox="1">
          <a:spLocks noChangeArrowheads="1"/>
        </xdr:cNvSpPr>
      </xdr:nvSpPr>
      <xdr:spPr bwMode="auto">
        <a:xfrm flipH="1">
          <a:off x="4815728" y="182738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30162</xdr:rowOff>
    </xdr:to>
    <xdr:sp macro="" textlink="">
      <xdr:nvSpPr>
        <xdr:cNvPr id="318" name="Text Box 12"/>
        <xdr:cNvSpPr txBox="1">
          <a:spLocks noChangeArrowheads="1"/>
        </xdr:cNvSpPr>
      </xdr:nvSpPr>
      <xdr:spPr bwMode="auto">
        <a:xfrm flipH="1">
          <a:off x="4815728" y="182709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20664</xdr:rowOff>
    </xdr:to>
    <xdr:sp macro="" textlink="">
      <xdr:nvSpPr>
        <xdr:cNvPr id="319" name="Text Box 4"/>
        <xdr:cNvSpPr txBox="1">
          <a:spLocks noChangeArrowheads="1"/>
        </xdr:cNvSpPr>
      </xdr:nvSpPr>
      <xdr:spPr bwMode="auto">
        <a:xfrm flipH="1">
          <a:off x="4815728" y="182707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20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21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22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23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24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25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26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27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28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29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30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31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32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33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34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35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36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37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38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39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40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41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42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43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39283</xdr:rowOff>
    </xdr:to>
    <xdr:sp macro="" textlink="">
      <xdr:nvSpPr>
        <xdr:cNvPr id="344" name="Text Box 4"/>
        <xdr:cNvSpPr txBox="1">
          <a:spLocks noChangeArrowheads="1"/>
        </xdr:cNvSpPr>
      </xdr:nvSpPr>
      <xdr:spPr bwMode="auto">
        <a:xfrm flipH="1">
          <a:off x="4815728" y="182644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32725</xdr:rowOff>
    </xdr:to>
    <xdr:sp macro="" textlink="">
      <xdr:nvSpPr>
        <xdr:cNvPr id="345" name="Text Box 12"/>
        <xdr:cNvSpPr txBox="1">
          <a:spLocks noChangeArrowheads="1"/>
        </xdr:cNvSpPr>
      </xdr:nvSpPr>
      <xdr:spPr bwMode="auto">
        <a:xfrm flipH="1">
          <a:off x="4815728" y="182728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34743</xdr:rowOff>
    </xdr:to>
    <xdr:sp macro="" textlink="">
      <xdr:nvSpPr>
        <xdr:cNvPr id="346" name="Text Box 14"/>
        <xdr:cNvSpPr txBox="1">
          <a:spLocks noChangeArrowheads="1"/>
        </xdr:cNvSpPr>
      </xdr:nvSpPr>
      <xdr:spPr bwMode="auto">
        <a:xfrm flipH="1">
          <a:off x="4815728" y="182738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34742</xdr:rowOff>
    </xdr:to>
    <xdr:sp macro="" textlink="">
      <xdr:nvSpPr>
        <xdr:cNvPr id="347" name="Text Box 16"/>
        <xdr:cNvSpPr txBox="1">
          <a:spLocks noChangeArrowheads="1"/>
        </xdr:cNvSpPr>
      </xdr:nvSpPr>
      <xdr:spPr bwMode="auto">
        <a:xfrm flipH="1">
          <a:off x="4815728" y="182738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30162</xdr:rowOff>
    </xdr:to>
    <xdr:sp macro="" textlink="">
      <xdr:nvSpPr>
        <xdr:cNvPr id="348" name="Text Box 12"/>
        <xdr:cNvSpPr txBox="1">
          <a:spLocks noChangeArrowheads="1"/>
        </xdr:cNvSpPr>
      </xdr:nvSpPr>
      <xdr:spPr bwMode="auto">
        <a:xfrm flipH="1">
          <a:off x="4815728" y="182709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20664</xdr:rowOff>
    </xdr:to>
    <xdr:sp macro="" textlink="">
      <xdr:nvSpPr>
        <xdr:cNvPr id="349" name="Text Box 4"/>
        <xdr:cNvSpPr txBox="1">
          <a:spLocks noChangeArrowheads="1"/>
        </xdr:cNvSpPr>
      </xdr:nvSpPr>
      <xdr:spPr bwMode="auto">
        <a:xfrm flipH="1">
          <a:off x="4815728" y="182707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39283</xdr:rowOff>
    </xdr:to>
    <xdr:sp macro="" textlink="">
      <xdr:nvSpPr>
        <xdr:cNvPr id="350" name="Text Box 4"/>
        <xdr:cNvSpPr txBox="1">
          <a:spLocks noChangeArrowheads="1"/>
        </xdr:cNvSpPr>
      </xdr:nvSpPr>
      <xdr:spPr bwMode="auto">
        <a:xfrm flipH="1">
          <a:off x="4815728" y="182644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32725</xdr:rowOff>
    </xdr:to>
    <xdr:sp macro="" textlink="">
      <xdr:nvSpPr>
        <xdr:cNvPr id="351" name="Text Box 12"/>
        <xdr:cNvSpPr txBox="1">
          <a:spLocks noChangeArrowheads="1"/>
        </xdr:cNvSpPr>
      </xdr:nvSpPr>
      <xdr:spPr bwMode="auto">
        <a:xfrm flipH="1">
          <a:off x="4815728" y="182728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34743</xdr:rowOff>
    </xdr:to>
    <xdr:sp macro="" textlink="">
      <xdr:nvSpPr>
        <xdr:cNvPr id="352" name="Text Box 14"/>
        <xdr:cNvSpPr txBox="1">
          <a:spLocks noChangeArrowheads="1"/>
        </xdr:cNvSpPr>
      </xdr:nvSpPr>
      <xdr:spPr bwMode="auto">
        <a:xfrm flipH="1">
          <a:off x="4815728" y="182738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34742</xdr:rowOff>
    </xdr:to>
    <xdr:sp macro="" textlink="">
      <xdr:nvSpPr>
        <xdr:cNvPr id="353" name="Text Box 16"/>
        <xdr:cNvSpPr txBox="1">
          <a:spLocks noChangeArrowheads="1"/>
        </xdr:cNvSpPr>
      </xdr:nvSpPr>
      <xdr:spPr bwMode="auto">
        <a:xfrm flipH="1">
          <a:off x="4815728" y="182738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30162</xdr:rowOff>
    </xdr:to>
    <xdr:sp macro="" textlink="">
      <xdr:nvSpPr>
        <xdr:cNvPr id="354" name="Text Box 12"/>
        <xdr:cNvSpPr txBox="1">
          <a:spLocks noChangeArrowheads="1"/>
        </xdr:cNvSpPr>
      </xdr:nvSpPr>
      <xdr:spPr bwMode="auto">
        <a:xfrm flipH="1">
          <a:off x="4815728" y="182709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20664</xdr:rowOff>
    </xdr:to>
    <xdr:sp macro="" textlink="">
      <xdr:nvSpPr>
        <xdr:cNvPr id="355" name="Text Box 4"/>
        <xdr:cNvSpPr txBox="1">
          <a:spLocks noChangeArrowheads="1"/>
        </xdr:cNvSpPr>
      </xdr:nvSpPr>
      <xdr:spPr bwMode="auto">
        <a:xfrm flipH="1">
          <a:off x="4815728" y="182707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39283</xdr:rowOff>
    </xdr:to>
    <xdr:sp macro="" textlink="">
      <xdr:nvSpPr>
        <xdr:cNvPr id="356" name="Text Box 4"/>
        <xdr:cNvSpPr txBox="1">
          <a:spLocks noChangeArrowheads="1"/>
        </xdr:cNvSpPr>
      </xdr:nvSpPr>
      <xdr:spPr bwMode="auto">
        <a:xfrm flipH="1">
          <a:off x="4815728" y="182644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32725</xdr:rowOff>
    </xdr:to>
    <xdr:sp macro="" textlink="">
      <xdr:nvSpPr>
        <xdr:cNvPr id="357" name="Text Box 12"/>
        <xdr:cNvSpPr txBox="1">
          <a:spLocks noChangeArrowheads="1"/>
        </xdr:cNvSpPr>
      </xdr:nvSpPr>
      <xdr:spPr bwMode="auto">
        <a:xfrm flipH="1">
          <a:off x="4815728" y="182728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34743</xdr:rowOff>
    </xdr:to>
    <xdr:sp macro="" textlink="">
      <xdr:nvSpPr>
        <xdr:cNvPr id="358" name="Text Box 14"/>
        <xdr:cNvSpPr txBox="1">
          <a:spLocks noChangeArrowheads="1"/>
        </xdr:cNvSpPr>
      </xdr:nvSpPr>
      <xdr:spPr bwMode="auto">
        <a:xfrm flipH="1">
          <a:off x="4815728" y="182738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34742</xdr:rowOff>
    </xdr:to>
    <xdr:sp macro="" textlink="">
      <xdr:nvSpPr>
        <xdr:cNvPr id="359" name="Text Box 16"/>
        <xdr:cNvSpPr txBox="1">
          <a:spLocks noChangeArrowheads="1"/>
        </xdr:cNvSpPr>
      </xdr:nvSpPr>
      <xdr:spPr bwMode="auto">
        <a:xfrm flipH="1">
          <a:off x="4815728" y="182738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30162</xdr:rowOff>
    </xdr:to>
    <xdr:sp macro="" textlink="">
      <xdr:nvSpPr>
        <xdr:cNvPr id="360" name="Text Box 12"/>
        <xdr:cNvSpPr txBox="1">
          <a:spLocks noChangeArrowheads="1"/>
        </xdr:cNvSpPr>
      </xdr:nvSpPr>
      <xdr:spPr bwMode="auto">
        <a:xfrm flipH="1">
          <a:off x="4815728" y="182709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20664</xdr:rowOff>
    </xdr:to>
    <xdr:sp macro="" textlink="">
      <xdr:nvSpPr>
        <xdr:cNvPr id="361" name="Text Box 4"/>
        <xdr:cNvSpPr txBox="1">
          <a:spLocks noChangeArrowheads="1"/>
        </xdr:cNvSpPr>
      </xdr:nvSpPr>
      <xdr:spPr bwMode="auto">
        <a:xfrm flipH="1">
          <a:off x="4815728" y="182707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62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63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64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65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66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67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68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69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70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71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72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73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74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75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76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77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78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79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80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81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82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83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84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85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86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87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88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89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90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91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92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93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94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95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96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97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98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399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00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01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02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03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04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05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06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07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08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09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10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11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12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13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14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15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16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17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18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19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20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21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22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23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24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25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26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27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28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29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30" name="Text Box 1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31" name="Text Box 16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32" name="Text Box 12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60</xdr:row>
      <xdr:rowOff>0</xdr:rowOff>
    </xdr:from>
    <xdr:to>
      <xdr:col>4</xdr:col>
      <xdr:colOff>2586878</xdr:colOff>
      <xdr:row>60</xdr:row>
      <xdr:rowOff>0</xdr:rowOff>
    </xdr:to>
    <xdr:sp macro="" textlink="">
      <xdr:nvSpPr>
        <xdr:cNvPr id="433" name="Text Box 4"/>
        <xdr:cNvSpPr txBox="1">
          <a:spLocks noChangeArrowheads="1"/>
        </xdr:cNvSpPr>
      </xdr:nvSpPr>
      <xdr:spPr bwMode="auto">
        <a:xfrm flipH="1">
          <a:off x="4815728" y="1209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39283</xdr:rowOff>
    </xdr:to>
    <xdr:sp macro="" textlink="">
      <xdr:nvSpPr>
        <xdr:cNvPr id="434" name="Text Box 4"/>
        <xdr:cNvSpPr txBox="1">
          <a:spLocks noChangeArrowheads="1"/>
        </xdr:cNvSpPr>
      </xdr:nvSpPr>
      <xdr:spPr bwMode="auto">
        <a:xfrm flipH="1">
          <a:off x="4815728" y="182644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32725</xdr:rowOff>
    </xdr:to>
    <xdr:sp macro="" textlink="">
      <xdr:nvSpPr>
        <xdr:cNvPr id="435" name="Text Box 12"/>
        <xdr:cNvSpPr txBox="1">
          <a:spLocks noChangeArrowheads="1"/>
        </xdr:cNvSpPr>
      </xdr:nvSpPr>
      <xdr:spPr bwMode="auto">
        <a:xfrm flipH="1">
          <a:off x="4815728" y="182728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34743</xdr:rowOff>
    </xdr:to>
    <xdr:sp macro="" textlink="">
      <xdr:nvSpPr>
        <xdr:cNvPr id="436" name="Text Box 14"/>
        <xdr:cNvSpPr txBox="1">
          <a:spLocks noChangeArrowheads="1"/>
        </xdr:cNvSpPr>
      </xdr:nvSpPr>
      <xdr:spPr bwMode="auto">
        <a:xfrm flipH="1">
          <a:off x="4815728" y="182738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34742</xdr:rowOff>
    </xdr:to>
    <xdr:sp macro="" textlink="">
      <xdr:nvSpPr>
        <xdr:cNvPr id="437" name="Text Box 16"/>
        <xdr:cNvSpPr txBox="1">
          <a:spLocks noChangeArrowheads="1"/>
        </xdr:cNvSpPr>
      </xdr:nvSpPr>
      <xdr:spPr bwMode="auto">
        <a:xfrm flipH="1">
          <a:off x="4815728" y="182738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30162</xdr:rowOff>
    </xdr:to>
    <xdr:sp macro="" textlink="">
      <xdr:nvSpPr>
        <xdr:cNvPr id="438" name="Text Box 12"/>
        <xdr:cNvSpPr txBox="1">
          <a:spLocks noChangeArrowheads="1"/>
        </xdr:cNvSpPr>
      </xdr:nvSpPr>
      <xdr:spPr bwMode="auto">
        <a:xfrm flipH="1">
          <a:off x="4815728" y="182709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20664</xdr:rowOff>
    </xdr:to>
    <xdr:sp macro="" textlink="">
      <xdr:nvSpPr>
        <xdr:cNvPr id="439" name="Text Box 4"/>
        <xdr:cNvSpPr txBox="1">
          <a:spLocks noChangeArrowheads="1"/>
        </xdr:cNvSpPr>
      </xdr:nvSpPr>
      <xdr:spPr bwMode="auto">
        <a:xfrm flipH="1">
          <a:off x="4815728" y="182707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39283</xdr:rowOff>
    </xdr:to>
    <xdr:sp macro="" textlink="">
      <xdr:nvSpPr>
        <xdr:cNvPr id="440" name="Text Box 4"/>
        <xdr:cNvSpPr txBox="1">
          <a:spLocks noChangeArrowheads="1"/>
        </xdr:cNvSpPr>
      </xdr:nvSpPr>
      <xdr:spPr bwMode="auto">
        <a:xfrm flipH="1">
          <a:off x="4815728" y="182644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32725</xdr:rowOff>
    </xdr:to>
    <xdr:sp macro="" textlink="">
      <xdr:nvSpPr>
        <xdr:cNvPr id="441" name="Text Box 12"/>
        <xdr:cNvSpPr txBox="1">
          <a:spLocks noChangeArrowheads="1"/>
        </xdr:cNvSpPr>
      </xdr:nvSpPr>
      <xdr:spPr bwMode="auto">
        <a:xfrm flipH="1">
          <a:off x="4815728" y="182728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34743</xdr:rowOff>
    </xdr:to>
    <xdr:sp macro="" textlink="">
      <xdr:nvSpPr>
        <xdr:cNvPr id="442" name="Text Box 14"/>
        <xdr:cNvSpPr txBox="1">
          <a:spLocks noChangeArrowheads="1"/>
        </xdr:cNvSpPr>
      </xdr:nvSpPr>
      <xdr:spPr bwMode="auto">
        <a:xfrm flipH="1">
          <a:off x="4815728" y="182738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34742</xdr:rowOff>
    </xdr:to>
    <xdr:sp macro="" textlink="">
      <xdr:nvSpPr>
        <xdr:cNvPr id="443" name="Text Box 16"/>
        <xdr:cNvSpPr txBox="1">
          <a:spLocks noChangeArrowheads="1"/>
        </xdr:cNvSpPr>
      </xdr:nvSpPr>
      <xdr:spPr bwMode="auto">
        <a:xfrm flipH="1">
          <a:off x="4815728" y="182738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30162</xdr:rowOff>
    </xdr:to>
    <xdr:sp macro="" textlink="">
      <xdr:nvSpPr>
        <xdr:cNvPr id="444" name="Text Box 12"/>
        <xdr:cNvSpPr txBox="1">
          <a:spLocks noChangeArrowheads="1"/>
        </xdr:cNvSpPr>
      </xdr:nvSpPr>
      <xdr:spPr bwMode="auto">
        <a:xfrm flipH="1">
          <a:off x="4815728" y="182709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20664</xdr:rowOff>
    </xdr:to>
    <xdr:sp macro="" textlink="">
      <xdr:nvSpPr>
        <xdr:cNvPr id="445" name="Text Box 4"/>
        <xdr:cNvSpPr txBox="1">
          <a:spLocks noChangeArrowheads="1"/>
        </xdr:cNvSpPr>
      </xdr:nvSpPr>
      <xdr:spPr bwMode="auto">
        <a:xfrm flipH="1">
          <a:off x="4815728" y="182707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39283</xdr:rowOff>
    </xdr:to>
    <xdr:sp macro="" textlink="">
      <xdr:nvSpPr>
        <xdr:cNvPr id="446" name="Text Box 4"/>
        <xdr:cNvSpPr txBox="1">
          <a:spLocks noChangeArrowheads="1"/>
        </xdr:cNvSpPr>
      </xdr:nvSpPr>
      <xdr:spPr bwMode="auto">
        <a:xfrm flipH="1">
          <a:off x="4815728" y="18264413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32725</xdr:rowOff>
    </xdr:to>
    <xdr:sp macro="" textlink="">
      <xdr:nvSpPr>
        <xdr:cNvPr id="447" name="Text Box 12"/>
        <xdr:cNvSpPr txBox="1">
          <a:spLocks noChangeArrowheads="1"/>
        </xdr:cNvSpPr>
      </xdr:nvSpPr>
      <xdr:spPr bwMode="auto">
        <a:xfrm flipH="1">
          <a:off x="4815728" y="18272816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34743</xdr:rowOff>
    </xdr:to>
    <xdr:sp macro="" textlink="">
      <xdr:nvSpPr>
        <xdr:cNvPr id="448" name="Text Box 14"/>
        <xdr:cNvSpPr txBox="1">
          <a:spLocks noChangeArrowheads="1"/>
        </xdr:cNvSpPr>
      </xdr:nvSpPr>
      <xdr:spPr bwMode="auto">
        <a:xfrm flipH="1">
          <a:off x="4815728" y="18273851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34742</xdr:rowOff>
    </xdr:to>
    <xdr:sp macro="" textlink="">
      <xdr:nvSpPr>
        <xdr:cNvPr id="449" name="Text Box 16"/>
        <xdr:cNvSpPr txBox="1">
          <a:spLocks noChangeArrowheads="1"/>
        </xdr:cNvSpPr>
      </xdr:nvSpPr>
      <xdr:spPr bwMode="auto">
        <a:xfrm flipH="1">
          <a:off x="4815728" y="18273851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30162</xdr:rowOff>
    </xdr:to>
    <xdr:sp macro="" textlink="">
      <xdr:nvSpPr>
        <xdr:cNvPr id="450" name="Text Box 12"/>
        <xdr:cNvSpPr txBox="1">
          <a:spLocks noChangeArrowheads="1"/>
        </xdr:cNvSpPr>
      </xdr:nvSpPr>
      <xdr:spPr bwMode="auto">
        <a:xfrm flipH="1">
          <a:off x="4815728" y="18270912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91</xdr:row>
      <xdr:rowOff>0</xdr:rowOff>
    </xdr:from>
    <xdr:to>
      <xdr:col>4</xdr:col>
      <xdr:colOff>2586878</xdr:colOff>
      <xdr:row>91</xdr:row>
      <xdr:rowOff>20664</xdr:rowOff>
    </xdr:to>
    <xdr:sp macro="" textlink="">
      <xdr:nvSpPr>
        <xdr:cNvPr id="451" name="Text Box 4"/>
        <xdr:cNvSpPr txBox="1">
          <a:spLocks noChangeArrowheads="1"/>
        </xdr:cNvSpPr>
      </xdr:nvSpPr>
      <xdr:spPr bwMode="auto">
        <a:xfrm flipH="1">
          <a:off x="4815728" y="18270763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27557</xdr:rowOff>
    </xdr:to>
    <xdr:sp macro="" textlink="">
      <xdr:nvSpPr>
        <xdr:cNvPr id="452" name="Text Box 4"/>
        <xdr:cNvSpPr txBox="1">
          <a:spLocks noChangeArrowheads="1"/>
        </xdr:cNvSpPr>
      </xdr:nvSpPr>
      <xdr:spPr bwMode="auto">
        <a:xfrm flipH="1">
          <a:off x="4815728" y="4883013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453" name="Text Box 12"/>
        <xdr:cNvSpPr txBox="1">
          <a:spLocks noChangeArrowheads="1"/>
        </xdr:cNvSpPr>
      </xdr:nvSpPr>
      <xdr:spPr bwMode="auto">
        <a:xfrm flipH="1">
          <a:off x="4815728" y="4883854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454" name="Text Box 14"/>
        <xdr:cNvSpPr txBox="1">
          <a:spLocks noChangeArrowheads="1"/>
        </xdr:cNvSpPr>
      </xdr:nvSpPr>
      <xdr:spPr bwMode="auto">
        <a:xfrm flipH="1">
          <a:off x="4815728" y="4883957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455" name="Text Box 16"/>
        <xdr:cNvSpPr txBox="1">
          <a:spLocks noChangeArrowheads="1"/>
        </xdr:cNvSpPr>
      </xdr:nvSpPr>
      <xdr:spPr bwMode="auto">
        <a:xfrm flipH="1">
          <a:off x="4815728" y="4883957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456" name="Text Box 12"/>
        <xdr:cNvSpPr txBox="1">
          <a:spLocks noChangeArrowheads="1"/>
        </xdr:cNvSpPr>
      </xdr:nvSpPr>
      <xdr:spPr bwMode="auto">
        <a:xfrm flipH="1">
          <a:off x="4815728" y="4883663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13044</xdr:rowOff>
    </xdr:to>
    <xdr:sp macro="" textlink="">
      <xdr:nvSpPr>
        <xdr:cNvPr id="457" name="Text Box 4"/>
        <xdr:cNvSpPr txBox="1">
          <a:spLocks noChangeArrowheads="1"/>
        </xdr:cNvSpPr>
      </xdr:nvSpPr>
      <xdr:spPr bwMode="auto">
        <a:xfrm flipH="1">
          <a:off x="4815728" y="4883648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458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459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460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461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462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463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464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465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466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467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468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469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27557</xdr:rowOff>
    </xdr:to>
    <xdr:sp macro="" textlink="">
      <xdr:nvSpPr>
        <xdr:cNvPr id="470" name="Text Box 4"/>
        <xdr:cNvSpPr txBox="1">
          <a:spLocks noChangeArrowheads="1"/>
        </xdr:cNvSpPr>
      </xdr:nvSpPr>
      <xdr:spPr bwMode="auto">
        <a:xfrm flipH="1">
          <a:off x="5048250" y="4883013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471" name="Text Box 12"/>
        <xdr:cNvSpPr txBox="1">
          <a:spLocks noChangeArrowheads="1"/>
        </xdr:cNvSpPr>
      </xdr:nvSpPr>
      <xdr:spPr bwMode="auto">
        <a:xfrm flipH="1">
          <a:off x="5048250" y="4883854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472" name="Text Box 14"/>
        <xdr:cNvSpPr txBox="1">
          <a:spLocks noChangeArrowheads="1"/>
        </xdr:cNvSpPr>
      </xdr:nvSpPr>
      <xdr:spPr bwMode="auto">
        <a:xfrm flipH="1">
          <a:off x="5048250" y="4883957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473" name="Text Box 16"/>
        <xdr:cNvSpPr txBox="1">
          <a:spLocks noChangeArrowheads="1"/>
        </xdr:cNvSpPr>
      </xdr:nvSpPr>
      <xdr:spPr bwMode="auto">
        <a:xfrm flipH="1">
          <a:off x="5048250" y="4883957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474" name="Text Box 12"/>
        <xdr:cNvSpPr txBox="1">
          <a:spLocks noChangeArrowheads="1"/>
        </xdr:cNvSpPr>
      </xdr:nvSpPr>
      <xdr:spPr bwMode="auto">
        <a:xfrm flipH="1">
          <a:off x="5048250" y="4883663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13044</xdr:rowOff>
    </xdr:to>
    <xdr:sp macro="" textlink="">
      <xdr:nvSpPr>
        <xdr:cNvPr id="475" name="Text Box 4"/>
        <xdr:cNvSpPr txBox="1">
          <a:spLocks noChangeArrowheads="1"/>
        </xdr:cNvSpPr>
      </xdr:nvSpPr>
      <xdr:spPr bwMode="auto">
        <a:xfrm flipH="1">
          <a:off x="5048250" y="4883648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476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477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478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479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480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481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482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483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484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485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486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487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27557</xdr:rowOff>
    </xdr:to>
    <xdr:sp macro="" textlink="">
      <xdr:nvSpPr>
        <xdr:cNvPr id="488" name="Text Box 4"/>
        <xdr:cNvSpPr txBox="1">
          <a:spLocks noChangeArrowheads="1"/>
        </xdr:cNvSpPr>
      </xdr:nvSpPr>
      <xdr:spPr bwMode="auto">
        <a:xfrm flipH="1">
          <a:off x="4815728" y="4883013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489" name="Text Box 12"/>
        <xdr:cNvSpPr txBox="1">
          <a:spLocks noChangeArrowheads="1"/>
        </xdr:cNvSpPr>
      </xdr:nvSpPr>
      <xdr:spPr bwMode="auto">
        <a:xfrm flipH="1">
          <a:off x="4815728" y="4883854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490" name="Text Box 14"/>
        <xdr:cNvSpPr txBox="1">
          <a:spLocks noChangeArrowheads="1"/>
        </xdr:cNvSpPr>
      </xdr:nvSpPr>
      <xdr:spPr bwMode="auto">
        <a:xfrm flipH="1">
          <a:off x="4815728" y="4883957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491" name="Text Box 16"/>
        <xdr:cNvSpPr txBox="1">
          <a:spLocks noChangeArrowheads="1"/>
        </xdr:cNvSpPr>
      </xdr:nvSpPr>
      <xdr:spPr bwMode="auto">
        <a:xfrm flipH="1">
          <a:off x="4815728" y="4883957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492" name="Text Box 12"/>
        <xdr:cNvSpPr txBox="1">
          <a:spLocks noChangeArrowheads="1"/>
        </xdr:cNvSpPr>
      </xdr:nvSpPr>
      <xdr:spPr bwMode="auto">
        <a:xfrm flipH="1">
          <a:off x="4815728" y="4883663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13044</xdr:rowOff>
    </xdr:to>
    <xdr:sp macro="" textlink="">
      <xdr:nvSpPr>
        <xdr:cNvPr id="493" name="Text Box 4"/>
        <xdr:cNvSpPr txBox="1">
          <a:spLocks noChangeArrowheads="1"/>
        </xdr:cNvSpPr>
      </xdr:nvSpPr>
      <xdr:spPr bwMode="auto">
        <a:xfrm flipH="1">
          <a:off x="4815728" y="4883648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494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495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496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497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498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499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500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501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502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503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504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505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27557</xdr:rowOff>
    </xdr:to>
    <xdr:sp macro="" textlink="">
      <xdr:nvSpPr>
        <xdr:cNvPr id="506" name="Text Box 4"/>
        <xdr:cNvSpPr txBox="1">
          <a:spLocks noChangeArrowheads="1"/>
        </xdr:cNvSpPr>
      </xdr:nvSpPr>
      <xdr:spPr bwMode="auto">
        <a:xfrm flipH="1">
          <a:off x="5048250" y="4883013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507" name="Text Box 12"/>
        <xdr:cNvSpPr txBox="1">
          <a:spLocks noChangeArrowheads="1"/>
        </xdr:cNvSpPr>
      </xdr:nvSpPr>
      <xdr:spPr bwMode="auto">
        <a:xfrm flipH="1">
          <a:off x="5048250" y="4883854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508" name="Text Box 14"/>
        <xdr:cNvSpPr txBox="1">
          <a:spLocks noChangeArrowheads="1"/>
        </xdr:cNvSpPr>
      </xdr:nvSpPr>
      <xdr:spPr bwMode="auto">
        <a:xfrm flipH="1">
          <a:off x="5048250" y="4883957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509" name="Text Box 16"/>
        <xdr:cNvSpPr txBox="1">
          <a:spLocks noChangeArrowheads="1"/>
        </xdr:cNvSpPr>
      </xdr:nvSpPr>
      <xdr:spPr bwMode="auto">
        <a:xfrm flipH="1">
          <a:off x="5048250" y="4883957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510" name="Text Box 12"/>
        <xdr:cNvSpPr txBox="1">
          <a:spLocks noChangeArrowheads="1"/>
        </xdr:cNvSpPr>
      </xdr:nvSpPr>
      <xdr:spPr bwMode="auto">
        <a:xfrm flipH="1">
          <a:off x="5048250" y="4883663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13044</xdr:rowOff>
    </xdr:to>
    <xdr:sp macro="" textlink="">
      <xdr:nvSpPr>
        <xdr:cNvPr id="511" name="Text Box 4"/>
        <xdr:cNvSpPr txBox="1">
          <a:spLocks noChangeArrowheads="1"/>
        </xdr:cNvSpPr>
      </xdr:nvSpPr>
      <xdr:spPr bwMode="auto">
        <a:xfrm flipH="1">
          <a:off x="5048250" y="4883648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512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513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514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515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516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517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518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519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520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521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522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523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524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525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526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527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528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529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530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531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532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533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534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535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27557</xdr:rowOff>
    </xdr:to>
    <xdr:sp macro="" textlink="">
      <xdr:nvSpPr>
        <xdr:cNvPr id="536" name="Text Box 4"/>
        <xdr:cNvSpPr txBox="1">
          <a:spLocks noChangeArrowheads="1"/>
        </xdr:cNvSpPr>
      </xdr:nvSpPr>
      <xdr:spPr bwMode="auto">
        <a:xfrm flipH="1">
          <a:off x="4815728" y="4883013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537" name="Text Box 12"/>
        <xdr:cNvSpPr txBox="1">
          <a:spLocks noChangeArrowheads="1"/>
        </xdr:cNvSpPr>
      </xdr:nvSpPr>
      <xdr:spPr bwMode="auto">
        <a:xfrm flipH="1">
          <a:off x="4815728" y="4883854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538" name="Text Box 14"/>
        <xdr:cNvSpPr txBox="1">
          <a:spLocks noChangeArrowheads="1"/>
        </xdr:cNvSpPr>
      </xdr:nvSpPr>
      <xdr:spPr bwMode="auto">
        <a:xfrm flipH="1">
          <a:off x="4815728" y="4883957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539" name="Text Box 16"/>
        <xdr:cNvSpPr txBox="1">
          <a:spLocks noChangeArrowheads="1"/>
        </xdr:cNvSpPr>
      </xdr:nvSpPr>
      <xdr:spPr bwMode="auto">
        <a:xfrm flipH="1">
          <a:off x="4815728" y="4883957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540" name="Text Box 12"/>
        <xdr:cNvSpPr txBox="1">
          <a:spLocks noChangeArrowheads="1"/>
        </xdr:cNvSpPr>
      </xdr:nvSpPr>
      <xdr:spPr bwMode="auto">
        <a:xfrm flipH="1">
          <a:off x="4815728" y="4883663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13044</xdr:rowOff>
    </xdr:to>
    <xdr:sp macro="" textlink="">
      <xdr:nvSpPr>
        <xdr:cNvPr id="541" name="Text Box 4"/>
        <xdr:cNvSpPr txBox="1">
          <a:spLocks noChangeArrowheads="1"/>
        </xdr:cNvSpPr>
      </xdr:nvSpPr>
      <xdr:spPr bwMode="auto">
        <a:xfrm flipH="1">
          <a:off x="4815728" y="4883648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542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543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544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545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546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547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548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549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550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551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552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553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27557</xdr:rowOff>
    </xdr:to>
    <xdr:sp macro="" textlink="">
      <xdr:nvSpPr>
        <xdr:cNvPr id="554" name="Text Box 4"/>
        <xdr:cNvSpPr txBox="1">
          <a:spLocks noChangeArrowheads="1"/>
        </xdr:cNvSpPr>
      </xdr:nvSpPr>
      <xdr:spPr bwMode="auto">
        <a:xfrm flipH="1">
          <a:off x="5048250" y="4883013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555" name="Text Box 12"/>
        <xdr:cNvSpPr txBox="1">
          <a:spLocks noChangeArrowheads="1"/>
        </xdr:cNvSpPr>
      </xdr:nvSpPr>
      <xdr:spPr bwMode="auto">
        <a:xfrm flipH="1">
          <a:off x="5048250" y="4883854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556" name="Text Box 14"/>
        <xdr:cNvSpPr txBox="1">
          <a:spLocks noChangeArrowheads="1"/>
        </xdr:cNvSpPr>
      </xdr:nvSpPr>
      <xdr:spPr bwMode="auto">
        <a:xfrm flipH="1">
          <a:off x="5048250" y="4883957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557" name="Text Box 16"/>
        <xdr:cNvSpPr txBox="1">
          <a:spLocks noChangeArrowheads="1"/>
        </xdr:cNvSpPr>
      </xdr:nvSpPr>
      <xdr:spPr bwMode="auto">
        <a:xfrm flipH="1">
          <a:off x="5048250" y="4883957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558" name="Text Box 12"/>
        <xdr:cNvSpPr txBox="1">
          <a:spLocks noChangeArrowheads="1"/>
        </xdr:cNvSpPr>
      </xdr:nvSpPr>
      <xdr:spPr bwMode="auto">
        <a:xfrm flipH="1">
          <a:off x="5048250" y="4883663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13044</xdr:rowOff>
    </xdr:to>
    <xdr:sp macro="" textlink="">
      <xdr:nvSpPr>
        <xdr:cNvPr id="559" name="Text Box 4"/>
        <xdr:cNvSpPr txBox="1">
          <a:spLocks noChangeArrowheads="1"/>
        </xdr:cNvSpPr>
      </xdr:nvSpPr>
      <xdr:spPr bwMode="auto">
        <a:xfrm flipH="1">
          <a:off x="5048250" y="4883648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560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561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562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563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564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565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566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567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568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569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570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571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27557</xdr:rowOff>
    </xdr:to>
    <xdr:sp macro="" textlink="">
      <xdr:nvSpPr>
        <xdr:cNvPr id="572" name="Text Box 4"/>
        <xdr:cNvSpPr txBox="1">
          <a:spLocks noChangeArrowheads="1"/>
        </xdr:cNvSpPr>
      </xdr:nvSpPr>
      <xdr:spPr bwMode="auto">
        <a:xfrm flipH="1">
          <a:off x="4815728" y="4883013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573" name="Text Box 12"/>
        <xdr:cNvSpPr txBox="1">
          <a:spLocks noChangeArrowheads="1"/>
        </xdr:cNvSpPr>
      </xdr:nvSpPr>
      <xdr:spPr bwMode="auto">
        <a:xfrm flipH="1">
          <a:off x="4815728" y="4883854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574" name="Text Box 14"/>
        <xdr:cNvSpPr txBox="1">
          <a:spLocks noChangeArrowheads="1"/>
        </xdr:cNvSpPr>
      </xdr:nvSpPr>
      <xdr:spPr bwMode="auto">
        <a:xfrm flipH="1">
          <a:off x="4815728" y="4883957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575" name="Text Box 16"/>
        <xdr:cNvSpPr txBox="1">
          <a:spLocks noChangeArrowheads="1"/>
        </xdr:cNvSpPr>
      </xdr:nvSpPr>
      <xdr:spPr bwMode="auto">
        <a:xfrm flipH="1">
          <a:off x="4815728" y="4883957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576" name="Text Box 12"/>
        <xdr:cNvSpPr txBox="1">
          <a:spLocks noChangeArrowheads="1"/>
        </xdr:cNvSpPr>
      </xdr:nvSpPr>
      <xdr:spPr bwMode="auto">
        <a:xfrm flipH="1">
          <a:off x="4815728" y="4883663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13044</xdr:rowOff>
    </xdr:to>
    <xdr:sp macro="" textlink="">
      <xdr:nvSpPr>
        <xdr:cNvPr id="577" name="Text Box 4"/>
        <xdr:cNvSpPr txBox="1">
          <a:spLocks noChangeArrowheads="1"/>
        </xdr:cNvSpPr>
      </xdr:nvSpPr>
      <xdr:spPr bwMode="auto">
        <a:xfrm flipH="1">
          <a:off x="4815728" y="4883648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578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579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580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581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582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583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584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585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586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587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588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589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27557</xdr:rowOff>
    </xdr:to>
    <xdr:sp macro="" textlink="">
      <xdr:nvSpPr>
        <xdr:cNvPr id="590" name="Text Box 4"/>
        <xdr:cNvSpPr txBox="1">
          <a:spLocks noChangeArrowheads="1"/>
        </xdr:cNvSpPr>
      </xdr:nvSpPr>
      <xdr:spPr bwMode="auto">
        <a:xfrm flipH="1">
          <a:off x="5048250" y="4883013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591" name="Text Box 12"/>
        <xdr:cNvSpPr txBox="1">
          <a:spLocks noChangeArrowheads="1"/>
        </xdr:cNvSpPr>
      </xdr:nvSpPr>
      <xdr:spPr bwMode="auto">
        <a:xfrm flipH="1">
          <a:off x="5048250" y="4883854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592" name="Text Box 14"/>
        <xdr:cNvSpPr txBox="1">
          <a:spLocks noChangeArrowheads="1"/>
        </xdr:cNvSpPr>
      </xdr:nvSpPr>
      <xdr:spPr bwMode="auto">
        <a:xfrm flipH="1">
          <a:off x="5048250" y="4883957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593" name="Text Box 16"/>
        <xdr:cNvSpPr txBox="1">
          <a:spLocks noChangeArrowheads="1"/>
        </xdr:cNvSpPr>
      </xdr:nvSpPr>
      <xdr:spPr bwMode="auto">
        <a:xfrm flipH="1">
          <a:off x="5048250" y="4883957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594" name="Text Box 12"/>
        <xdr:cNvSpPr txBox="1">
          <a:spLocks noChangeArrowheads="1"/>
        </xdr:cNvSpPr>
      </xdr:nvSpPr>
      <xdr:spPr bwMode="auto">
        <a:xfrm flipH="1">
          <a:off x="5048250" y="4883663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13044</xdr:rowOff>
    </xdr:to>
    <xdr:sp macro="" textlink="">
      <xdr:nvSpPr>
        <xdr:cNvPr id="595" name="Text Box 4"/>
        <xdr:cNvSpPr txBox="1">
          <a:spLocks noChangeArrowheads="1"/>
        </xdr:cNvSpPr>
      </xdr:nvSpPr>
      <xdr:spPr bwMode="auto">
        <a:xfrm flipH="1">
          <a:off x="5048250" y="4883648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596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597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598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599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600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601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602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603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604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605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606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607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608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609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610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611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612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613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614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615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616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617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618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619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620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621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622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623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624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625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626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627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628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629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630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631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632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633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634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635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636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637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39283</xdr:rowOff>
    </xdr:to>
    <xdr:sp macro="" textlink="">
      <xdr:nvSpPr>
        <xdr:cNvPr id="638" name="Text Box 4"/>
        <xdr:cNvSpPr txBox="1">
          <a:spLocks noChangeArrowheads="1"/>
        </xdr:cNvSpPr>
      </xdr:nvSpPr>
      <xdr:spPr bwMode="auto">
        <a:xfrm flipH="1">
          <a:off x="5048250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32725</xdr:rowOff>
    </xdr:to>
    <xdr:sp macro="" textlink="">
      <xdr:nvSpPr>
        <xdr:cNvPr id="639" name="Text Box 12"/>
        <xdr:cNvSpPr txBox="1">
          <a:spLocks noChangeArrowheads="1"/>
        </xdr:cNvSpPr>
      </xdr:nvSpPr>
      <xdr:spPr bwMode="auto">
        <a:xfrm flipH="1">
          <a:off x="5048250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80456</xdr:rowOff>
    </xdr:to>
    <xdr:sp macro="" textlink="">
      <xdr:nvSpPr>
        <xdr:cNvPr id="640" name="Text Box 4"/>
        <xdr:cNvSpPr txBox="1">
          <a:spLocks noChangeArrowheads="1"/>
        </xdr:cNvSpPr>
      </xdr:nvSpPr>
      <xdr:spPr bwMode="auto">
        <a:xfrm flipH="1">
          <a:off x="5048250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24544</xdr:rowOff>
    </xdr:to>
    <xdr:sp macro="" textlink="">
      <xdr:nvSpPr>
        <xdr:cNvPr id="641" name="Text Box 12"/>
        <xdr:cNvSpPr txBox="1">
          <a:spLocks noChangeArrowheads="1"/>
        </xdr:cNvSpPr>
      </xdr:nvSpPr>
      <xdr:spPr bwMode="auto">
        <a:xfrm flipH="1">
          <a:off x="5048250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23162</xdr:rowOff>
    </xdr:to>
    <xdr:sp macro="" textlink="">
      <xdr:nvSpPr>
        <xdr:cNvPr id="642" name="Text Box 14"/>
        <xdr:cNvSpPr txBox="1">
          <a:spLocks noChangeArrowheads="1"/>
        </xdr:cNvSpPr>
      </xdr:nvSpPr>
      <xdr:spPr bwMode="auto">
        <a:xfrm flipH="1">
          <a:off x="5048250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23161</xdr:rowOff>
    </xdr:to>
    <xdr:sp macro="" textlink="">
      <xdr:nvSpPr>
        <xdr:cNvPr id="643" name="Text Box 16"/>
        <xdr:cNvSpPr txBox="1">
          <a:spLocks noChangeArrowheads="1"/>
        </xdr:cNvSpPr>
      </xdr:nvSpPr>
      <xdr:spPr bwMode="auto">
        <a:xfrm flipH="1">
          <a:off x="5048250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80989</xdr:rowOff>
    </xdr:to>
    <xdr:sp macro="" textlink="">
      <xdr:nvSpPr>
        <xdr:cNvPr id="644" name="Text Box 12"/>
        <xdr:cNvSpPr txBox="1">
          <a:spLocks noChangeArrowheads="1"/>
        </xdr:cNvSpPr>
      </xdr:nvSpPr>
      <xdr:spPr bwMode="auto">
        <a:xfrm flipH="1">
          <a:off x="5048250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30996</xdr:rowOff>
    </xdr:to>
    <xdr:sp macro="" textlink="">
      <xdr:nvSpPr>
        <xdr:cNvPr id="645" name="Text Box 4"/>
        <xdr:cNvSpPr txBox="1">
          <a:spLocks noChangeArrowheads="1"/>
        </xdr:cNvSpPr>
      </xdr:nvSpPr>
      <xdr:spPr bwMode="auto">
        <a:xfrm flipH="1">
          <a:off x="5048250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80456</xdr:rowOff>
    </xdr:to>
    <xdr:sp macro="" textlink="">
      <xdr:nvSpPr>
        <xdr:cNvPr id="646" name="Text Box 4"/>
        <xdr:cNvSpPr txBox="1">
          <a:spLocks noChangeArrowheads="1"/>
        </xdr:cNvSpPr>
      </xdr:nvSpPr>
      <xdr:spPr bwMode="auto">
        <a:xfrm flipH="1">
          <a:off x="5048250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24544</xdr:rowOff>
    </xdr:to>
    <xdr:sp macro="" textlink="">
      <xdr:nvSpPr>
        <xdr:cNvPr id="647" name="Text Box 12"/>
        <xdr:cNvSpPr txBox="1">
          <a:spLocks noChangeArrowheads="1"/>
        </xdr:cNvSpPr>
      </xdr:nvSpPr>
      <xdr:spPr bwMode="auto">
        <a:xfrm flipH="1">
          <a:off x="5048250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23162</xdr:rowOff>
    </xdr:to>
    <xdr:sp macro="" textlink="">
      <xdr:nvSpPr>
        <xdr:cNvPr id="648" name="Text Box 14"/>
        <xdr:cNvSpPr txBox="1">
          <a:spLocks noChangeArrowheads="1"/>
        </xdr:cNvSpPr>
      </xdr:nvSpPr>
      <xdr:spPr bwMode="auto">
        <a:xfrm flipH="1">
          <a:off x="5048250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23161</xdr:rowOff>
    </xdr:to>
    <xdr:sp macro="" textlink="">
      <xdr:nvSpPr>
        <xdr:cNvPr id="649" name="Text Box 16"/>
        <xdr:cNvSpPr txBox="1">
          <a:spLocks noChangeArrowheads="1"/>
        </xdr:cNvSpPr>
      </xdr:nvSpPr>
      <xdr:spPr bwMode="auto">
        <a:xfrm flipH="1">
          <a:off x="5048250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80989</xdr:rowOff>
    </xdr:to>
    <xdr:sp macro="" textlink="">
      <xdr:nvSpPr>
        <xdr:cNvPr id="650" name="Text Box 12"/>
        <xdr:cNvSpPr txBox="1">
          <a:spLocks noChangeArrowheads="1"/>
        </xdr:cNvSpPr>
      </xdr:nvSpPr>
      <xdr:spPr bwMode="auto">
        <a:xfrm flipH="1">
          <a:off x="5048250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30996</xdr:rowOff>
    </xdr:to>
    <xdr:sp macro="" textlink="">
      <xdr:nvSpPr>
        <xdr:cNvPr id="651" name="Text Box 4"/>
        <xdr:cNvSpPr txBox="1">
          <a:spLocks noChangeArrowheads="1"/>
        </xdr:cNvSpPr>
      </xdr:nvSpPr>
      <xdr:spPr bwMode="auto">
        <a:xfrm flipH="1">
          <a:off x="5048250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652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653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654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655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656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657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658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659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660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661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662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663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664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665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666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667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668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669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39283</xdr:rowOff>
    </xdr:to>
    <xdr:sp macro="" textlink="">
      <xdr:nvSpPr>
        <xdr:cNvPr id="670" name="Text Box 4"/>
        <xdr:cNvSpPr txBox="1">
          <a:spLocks noChangeArrowheads="1"/>
        </xdr:cNvSpPr>
      </xdr:nvSpPr>
      <xdr:spPr bwMode="auto">
        <a:xfrm flipH="1">
          <a:off x="5048250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32725</xdr:rowOff>
    </xdr:to>
    <xdr:sp macro="" textlink="">
      <xdr:nvSpPr>
        <xdr:cNvPr id="671" name="Text Box 12"/>
        <xdr:cNvSpPr txBox="1">
          <a:spLocks noChangeArrowheads="1"/>
        </xdr:cNvSpPr>
      </xdr:nvSpPr>
      <xdr:spPr bwMode="auto">
        <a:xfrm flipH="1">
          <a:off x="5048250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34743</xdr:rowOff>
    </xdr:to>
    <xdr:sp macro="" textlink="">
      <xdr:nvSpPr>
        <xdr:cNvPr id="672" name="Text Box 14"/>
        <xdr:cNvSpPr txBox="1">
          <a:spLocks noChangeArrowheads="1"/>
        </xdr:cNvSpPr>
      </xdr:nvSpPr>
      <xdr:spPr bwMode="auto">
        <a:xfrm flipH="1">
          <a:off x="5048250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34742</xdr:rowOff>
    </xdr:to>
    <xdr:sp macro="" textlink="">
      <xdr:nvSpPr>
        <xdr:cNvPr id="673" name="Text Box 16"/>
        <xdr:cNvSpPr txBox="1">
          <a:spLocks noChangeArrowheads="1"/>
        </xdr:cNvSpPr>
      </xdr:nvSpPr>
      <xdr:spPr bwMode="auto">
        <a:xfrm flipH="1">
          <a:off x="5048250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30162</xdr:rowOff>
    </xdr:to>
    <xdr:sp macro="" textlink="">
      <xdr:nvSpPr>
        <xdr:cNvPr id="674" name="Text Box 12"/>
        <xdr:cNvSpPr txBox="1">
          <a:spLocks noChangeArrowheads="1"/>
        </xdr:cNvSpPr>
      </xdr:nvSpPr>
      <xdr:spPr bwMode="auto">
        <a:xfrm flipH="1">
          <a:off x="5048250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20664</xdr:rowOff>
    </xdr:to>
    <xdr:sp macro="" textlink="">
      <xdr:nvSpPr>
        <xdr:cNvPr id="675" name="Text Box 4"/>
        <xdr:cNvSpPr txBox="1">
          <a:spLocks noChangeArrowheads="1"/>
        </xdr:cNvSpPr>
      </xdr:nvSpPr>
      <xdr:spPr bwMode="auto">
        <a:xfrm flipH="1">
          <a:off x="5048250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80456</xdr:rowOff>
    </xdr:to>
    <xdr:sp macro="" textlink="">
      <xdr:nvSpPr>
        <xdr:cNvPr id="676" name="Text Box 4"/>
        <xdr:cNvSpPr txBox="1">
          <a:spLocks noChangeArrowheads="1"/>
        </xdr:cNvSpPr>
      </xdr:nvSpPr>
      <xdr:spPr bwMode="auto">
        <a:xfrm flipH="1">
          <a:off x="5048250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24544</xdr:rowOff>
    </xdr:to>
    <xdr:sp macro="" textlink="">
      <xdr:nvSpPr>
        <xdr:cNvPr id="677" name="Text Box 12"/>
        <xdr:cNvSpPr txBox="1">
          <a:spLocks noChangeArrowheads="1"/>
        </xdr:cNvSpPr>
      </xdr:nvSpPr>
      <xdr:spPr bwMode="auto">
        <a:xfrm flipH="1">
          <a:off x="5048250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23162</xdr:rowOff>
    </xdr:to>
    <xdr:sp macro="" textlink="">
      <xdr:nvSpPr>
        <xdr:cNvPr id="678" name="Text Box 14"/>
        <xdr:cNvSpPr txBox="1">
          <a:spLocks noChangeArrowheads="1"/>
        </xdr:cNvSpPr>
      </xdr:nvSpPr>
      <xdr:spPr bwMode="auto">
        <a:xfrm flipH="1">
          <a:off x="5048250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23161</xdr:rowOff>
    </xdr:to>
    <xdr:sp macro="" textlink="">
      <xdr:nvSpPr>
        <xdr:cNvPr id="679" name="Text Box 16"/>
        <xdr:cNvSpPr txBox="1">
          <a:spLocks noChangeArrowheads="1"/>
        </xdr:cNvSpPr>
      </xdr:nvSpPr>
      <xdr:spPr bwMode="auto">
        <a:xfrm flipH="1">
          <a:off x="5048250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80989</xdr:rowOff>
    </xdr:to>
    <xdr:sp macro="" textlink="">
      <xdr:nvSpPr>
        <xdr:cNvPr id="680" name="Text Box 12"/>
        <xdr:cNvSpPr txBox="1">
          <a:spLocks noChangeArrowheads="1"/>
        </xdr:cNvSpPr>
      </xdr:nvSpPr>
      <xdr:spPr bwMode="auto">
        <a:xfrm flipH="1">
          <a:off x="5048250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30996</xdr:rowOff>
    </xdr:to>
    <xdr:sp macro="" textlink="">
      <xdr:nvSpPr>
        <xdr:cNvPr id="681" name="Text Box 4"/>
        <xdr:cNvSpPr txBox="1">
          <a:spLocks noChangeArrowheads="1"/>
        </xdr:cNvSpPr>
      </xdr:nvSpPr>
      <xdr:spPr bwMode="auto">
        <a:xfrm flipH="1">
          <a:off x="5048250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80456</xdr:rowOff>
    </xdr:to>
    <xdr:sp macro="" textlink="">
      <xdr:nvSpPr>
        <xdr:cNvPr id="682" name="Text Box 4"/>
        <xdr:cNvSpPr txBox="1">
          <a:spLocks noChangeArrowheads="1"/>
        </xdr:cNvSpPr>
      </xdr:nvSpPr>
      <xdr:spPr bwMode="auto">
        <a:xfrm flipH="1">
          <a:off x="5048250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24544</xdr:rowOff>
    </xdr:to>
    <xdr:sp macro="" textlink="">
      <xdr:nvSpPr>
        <xdr:cNvPr id="683" name="Text Box 12"/>
        <xdr:cNvSpPr txBox="1">
          <a:spLocks noChangeArrowheads="1"/>
        </xdr:cNvSpPr>
      </xdr:nvSpPr>
      <xdr:spPr bwMode="auto">
        <a:xfrm flipH="1">
          <a:off x="5048250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23162</xdr:rowOff>
    </xdr:to>
    <xdr:sp macro="" textlink="">
      <xdr:nvSpPr>
        <xdr:cNvPr id="684" name="Text Box 14"/>
        <xdr:cNvSpPr txBox="1">
          <a:spLocks noChangeArrowheads="1"/>
        </xdr:cNvSpPr>
      </xdr:nvSpPr>
      <xdr:spPr bwMode="auto">
        <a:xfrm flipH="1">
          <a:off x="5048250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23161</xdr:rowOff>
    </xdr:to>
    <xdr:sp macro="" textlink="">
      <xdr:nvSpPr>
        <xdr:cNvPr id="685" name="Text Box 16"/>
        <xdr:cNvSpPr txBox="1">
          <a:spLocks noChangeArrowheads="1"/>
        </xdr:cNvSpPr>
      </xdr:nvSpPr>
      <xdr:spPr bwMode="auto">
        <a:xfrm flipH="1">
          <a:off x="5048250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80989</xdr:rowOff>
    </xdr:to>
    <xdr:sp macro="" textlink="">
      <xdr:nvSpPr>
        <xdr:cNvPr id="686" name="Text Box 12"/>
        <xdr:cNvSpPr txBox="1">
          <a:spLocks noChangeArrowheads="1"/>
        </xdr:cNvSpPr>
      </xdr:nvSpPr>
      <xdr:spPr bwMode="auto">
        <a:xfrm flipH="1">
          <a:off x="5048250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30996</xdr:rowOff>
    </xdr:to>
    <xdr:sp macro="" textlink="">
      <xdr:nvSpPr>
        <xdr:cNvPr id="687" name="Text Box 4"/>
        <xdr:cNvSpPr txBox="1">
          <a:spLocks noChangeArrowheads="1"/>
        </xdr:cNvSpPr>
      </xdr:nvSpPr>
      <xdr:spPr bwMode="auto">
        <a:xfrm flipH="1">
          <a:off x="5048250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688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689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690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691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692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693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694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695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696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697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698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699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700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701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702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703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704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705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06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07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08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09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10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11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1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1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1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1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1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1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1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1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2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2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2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2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24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25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26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27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28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29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730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731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732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733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734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735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36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37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38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39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40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41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4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4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4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4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4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4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4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4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5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5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5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5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54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55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56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57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58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59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760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761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762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763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764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765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66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67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68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69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70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71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7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7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7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7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7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7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7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7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8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8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8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8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84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85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86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87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88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789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790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791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792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793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794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795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796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797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798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799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800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801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802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803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804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805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806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807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0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0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1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1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1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1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14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15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16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17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18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19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20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21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22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23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24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25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26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27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28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29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30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31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3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3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3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3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3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3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3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3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4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4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4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4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44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45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46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47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48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49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50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51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52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53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54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55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56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57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58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59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60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61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6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6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6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6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6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6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6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6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7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7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7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7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74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75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76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77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78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879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880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881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882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883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884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885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886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887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888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889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890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891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892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893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894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895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896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897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27557</xdr:rowOff>
    </xdr:to>
    <xdr:sp macro="" textlink="">
      <xdr:nvSpPr>
        <xdr:cNvPr id="898" name="Text Box 4"/>
        <xdr:cNvSpPr txBox="1">
          <a:spLocks noChangeArrowheads="1"/>
        </xdr:cNvSpPr>
      </xdr:nvSpPr>
      <xdr:spPr bwMode="auto">
        <a:xfrm flipH="1">
          <a:off x="4815728" y="4883013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899" name="Text Box 12"/>
        <xdr:cNvSpPr txBox="1">
          <a:spLocks noChangeArrowheads="1"/>
        </xdr:cNvSpPr>
      </xdr:nvSpPr>
      <xdr:spPr bwMode="auto">
        <a:xfrm flipH="1">
          <a:off x="4815728" y="4883854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00" name="Text Box 14"/>
        <xdr:cNvSpPr txBox="1">
          <a:spLocks noChangeArrowheads="1"/>
        </xdr:cNvSpPr>
      </xdr:nvSpPr>
      <xdr:spPr bwMode="auto">
        <a:xfrm flipH="1">
          <a:off x="4815728" y="4883957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01" name="Text Box 16"/>
        <xdr:cNvSpPr txBox="1">
          <a:spLocks noChangeArrowheads="1"/>
        </xdr:cNvSpPr>
      </xdr:nvSpPr>
      <xdr:spPr bwMode="auto">
        <a:xfrm flipH="1">
          <a:off x="4815728" y="4883957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02" name="Text Box 12"/>
        <xdr:cNvSpPr txBox="1">
          <a:spLocks noChangeArrowheads="1"/>
        </xdr:cNvSpPr>
      </xdr:nvSpPr>
      <xdr:spPr bwMode="auto">
        <a:xfrm flipH="1">
          <a:off x="4815728" y="4883663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13044</xdr:rowOff>
    </xdr:to>
    <xdr:sp macro="" textlink="">
      <xdr:nvSpPr>
        <xdr:cNvPr id="903" name="Text Box 4"/>
        <xdr:cNvSpPr txBox="1">
          <a:spLocks noChangeArrowheads="1"/>
        </xdr:cNvSpPr>
      </xdr:nvSpPr>
      <xdr:spPr bwMode="auto">
        <a:xfrm flipH="1">
          <a:off x="4815728" y="4883648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904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905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906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907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08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909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910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911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912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913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14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915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27557</xdr:rowOff>
    </xdr:to>
    <xdr:sp macro="" textlink="">
      <xdr:nvSpPr>
        <xdr:cNvPr id="916" name="Text Box 4"/>
        <xdr:cNvSpPr txBox="1">
          <a:spLocks noChangeArrowheads="1"/>
        </xdr:cNvSpPr>
      </xdr:nvSpPr>
      <xdr:spPr bwMode="auto">
        <a:xfrm flipH="1">
          <a:off x="5048250" y="4883013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917" name="Text Box 12"/>
        <xdr:cNvSpPr txBox="1">
          <a:spLocks noChangeArrowheads="1"/>
        </xdr:cNvSpPr>
      </xdr:nvSpPr>
      <xdr:spPr bwMode="auto">
        <a:xfrm flipH="1">
          <a:off x="5048250" y="4883854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918" name="Text Box 14"/>
        <xdr:cNvSpPr txBox="1">
          <a:spLocks noChangeArrowheads="1"/>
        </xdr:cNvSpPr>
      </xdr:nvSpPr>
      <xdr:spPr bwMode="auto">
        <a:xfrm flipH="1">
          <a:off x="5048250" y="4883957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919" name="Text Box 16"/>
        <xdr:cNvSpPr txBox="1">
          <a:spLocks noChangeArrowheads="1"/>
        </xdr:cNvSpPr>
      </xdr:nvSpPr>
      <xdr:spPr bwMode="auto">
        <a:xfrm flipH="1">
          <a:off x="5048250" y="4883957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920" name="Text Box 12"/>
        <xdr:cNvSpPr txBox="1">
          <a:spLocks noChangeArrowheads="1"/>
        </xdr:cNvSpPr>
      </xdr:nvSpPr>
      <xdr:spPr bwMode="auto">
        <a:xfrm flipH="1">
          <a:off x="5048250" y="4883663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13044</xdr:rowOff>
    </xdr:to>
    <xdr:sp macro="" textlink="">
      <xdr:nvSpPr>
        <xdr:cNvPr id="921" name="Text Box 4"/>
        <xdr:cNvSpPr txBox="1">
          <a:spLocks noChangeArrowheads="1"/>
        </xdr:cNvSpPr>
      </xdr:nvSpPr>
      <xdr:spPr bwMode="auto">
        <a:xfrm flipH="1">
          <a:off x="5048250" y="4883648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922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923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924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925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926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927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928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929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930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931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932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933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27557</xdr:rowOff>
    </xdr:to>
    <xdr:sp macro="" textlink="">
      <xdr:nvSpPr>
        <xdr:cNvPr id="934" name="Text Box 4"/>
        <xdr:cNvSpPr txBox="1">
          <a:spLocks noChangeArrowheads="1"/>
        </xdr:cNvSpPr>
      </xdr:nvSpPr>
      <xdr:spPr bwMode="auto">
        <a:xfrm flipH="1">
          <a:off x="4815728" y="4883013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35" name="Text Box 12"/>
        <xdr:cNvSpPr txBox="1">
          <a:spLocks noChangeArrowheads="1"/>
        </xdr:cNvSpPr>
      </xdr:nvSpPr>
      <xdr:spPr bwMode="auto">
        <a:xfrm flipH="1">
          <a:off x="4815728" y="4883854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36" name="Text Box 14"/>
        <xdr:cNvSpPr txBox="1">
          <a:spLocks noChangeArrowheads="1"/>
        </xdr:cNvSpPr>
      </xdr:nvSpPr>
      <xdr:spPr bwMode="auto">
        <a:xfrm flipH="1">
          <a:off x="4815728" y="4883957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37" name="Text Box 16"/>
        <xdr:cNvSpPr txBox="1">
          <a:spLocks noChangeArrowheads="1"/>
        </xdr:cNvSpPr>
      </xdr:nvSpPr>
      <xdr:spPr bwMode="auto">
        <a:xfrm flipH="1">
          <a:off x="4815728" y="4883957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38" name="Text Box 12"/>
        <xdr:cNvSpPr txBox="1">
          <a:spLocks noChangeArrowheads="1"/>
        </xdr:cNvSpPr>
      </xdr:nvSpPr>
      <xdr:spPr bwMode="auto">
        <a:xfrm flipH="1">
          <a:off x="4815728" y="4883663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13044</xdr:rowOff>
    </xdr:to>
    <xdr:sp macro="" textlink="">
      <xdr:nvSpPr>
        <xdr:cNvPr id="939" name="Text Box 4"/>
        <xdr:cNvSpPr txBox="1">
          <a:spLocks noChangeArrowheads="1"/>
        </xdr:cNvSpPr>
      </xdr:nvSpPr>
      <xdr:spPr bwMode="auto">
        <a:xfrm flipH="1">
          <a:off x="4815728" y="4883648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940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941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942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943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44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945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946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947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948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949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50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951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27557</xdr:rowOff>
    </xdr:to>
    <xdr:sp macro="" textlink="">
      <xdr:nvSpPr>
        <xdr:cNvPr id="952" name="Text Box 4"/>
        <xdr:cNvSpPr txBox="1">
          <a:spLocks noChangeArrowheads="1"/>
        </xdr:cNvSpPr>
      </xdr:nvSpPr>
      <xdr:spPr bwMode="auto">
        <a:xfrm flipH="1">
          <a:off x="5048250" y="4883013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953" name="Text Box 12"/>
        <xdr:cNvSpPr txBox="1">
          <a:spLocks noChangeArrowheads="1"/>
        </xdr:cNvSpPr>
      </xdr:nvSpPr>
      <xdr:spPr bwMode="auto">
        <a:xfrm flipH="1">
          <a:off x="5048250" y="4883854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954" name="Text Box 14"/>
        <xdr:cNvSpPr txBox="1">
          <a:spLocks noChangeArrowheads="1"/>
        </xdr:cNvSpPr>
      </xdr:nvSpPr>
      <xdr:spPr bwMode="auto">
        <a:xfrm flipH="1">
          <a:off x="5048250" y="4883957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955" name="Text Box 16"/>
        <xdr:cNvSpPr txBox="1">
          <a:spLocks noChangeArrowheads="1"/>
        </xdr:cNvSpPr>
      </xdr:nvSpPr>
      <xdr:spPr bwMode="auto">
        <a:xfrm flipH="1">
          <a:off x="5048250" y="4883957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956" name="Text Box 12"/>
        <xdr:cNvSpPr txBox="1">
          <a:spLocks noChangeArrowheads="1"/>
        </xdr:cNvSpPr>
      </xdr:nvSpPr>
      <xdr:spPr bwMode="auto">
        <a:xfrm flipH="1">
          <a:off x="5048250" y="4883663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13044</xdr:rowOff>
    </xdr:to>
    <xdr:sp macro="" textlink="">
      <xdr:nvSpPr>
        <xdr:cNvPr id="957" name="Text Box 4"/>
        <xdr:cNvSpPr txBox="1">
          <a:spLocks noChangeArrowheads="1"/>
        </xdr:cNvSpPr>
      </xdr:nvSpPr>
      <xdr:spPr bwMode="auto">
        <a:xfrm flipH="1">
          <a:off x="5048250" y="4883648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958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959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960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961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962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963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964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965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966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967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968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969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970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971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972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973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74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975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976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977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978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979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80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981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27557</xdr:rowOff>
    </xdr:to>
    <xdr:sp macro="" textlink="">
      <xdr:nvSpPr>
        <xdr:cNvPr id="982" name="Text Box 4"/>
        <xdr:cNvSpPr txBox="1">
          <a:spLocks noChangeArrowheads="1"/>
        </xdr:cNvSpPr>
      </xdr:nvSpPr>
      <xdr:spPr bwMode="auto">
        <a:xfrm flipH="1">
          <a:off x="4815728" y="4883013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83" name="Text Box 12"/>
        <xdr:cNvSpPr txBox="1">
          <a:spLocks noChangeArrowheads="1"/>
        </xdr:cNvSpPr>
      </xdr:nvSpPr>
      <xdr:spPr bwMode="auto">
        <a:xfrm flipH="1">
          <a:off x="4815728" y="4883854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84" name="Text Box 14"/>
        <xdr:cNvSpPr txBox="1">
          <a:spLocks noChangeArrowheads="1"/>
        </xdr:cNvSpPr>
      </xdr:nvSpPr>
      <xdr:spPr bwMode="auto">
        <a:xfrm flipH="1">
          <a:off x="4815728" y="4883957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85" name="Text Box 16"/>
        <xdr:cNvSpPr txBox="1">
          <a:spLocks noChangeArrowheads="1"/>
        </xdr:cNvSpPr>
      </xdr:nvSpPr>
      <xdr:spPr bwMode="auto">
        <a:xfrm flipH="1">
          <a:off x="4815728" y="4883957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86" name="Text Box 12"/>
        <xdr:cNvSpPr txBox="1">
          <a:spLocks noChangeArrowheads="1"/>
        </xdr:cNvSpPr>
      </xdr:nvSpPr>
      <xdr:spPr bwMode="auto">
        <a:xfrm flipH="1">
          <a:off x="4815728" y="4883663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13044</xdr:rowOff>
    </xdr:to>
    <xdr:sp macro="" textlink="">
      <xdr:nvSpPr>
        <xdr:cNvPr id="987" name="Text Box 4"/>
        <xdr:cNvSpPr txBox="1">
          <a:spLocks noChangeArrowheads="1"/>
        </xdr:cNvSpPr>
      </xdr:nvSpPr>
      <xdr:spPr bwMode="auto">
        <a:xfrm flipH="1">
          <a:off x="4815728" y="4883648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988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989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990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991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92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993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994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995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996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997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998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999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27557</xdr:rowOff>
    </xdr:to>
    <xdr:sp macro="" textlink="">
      <xdr:nvSpPr>
        <xdr:cNvPr id="1000" name="Text Box 4"/>
        <xdr:cNvSpPr txBox="1">
          <a:spLocks noChangeArrowheads="1"/>
        </xdr:cNvSpPr>
      </xdr:nvSpPr>
      <xdr:spPr bwMode="auto">
        <a:xfrm flipH="1">
          <a:off x="5048250" y="4883013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001" name="Text Box 12"/>
        <xdr:cNvSpPr txBox="1">
          <a:spLocks noChangeArrowheads="1"/>
        </xdr:cNvSpPr>
      </xdr:nvSpPr>
      <xdr:spPr bwMode="auto">
        <a:xfrm flipH="1">
          <a:off x="5048250" y="4883854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002" name="Text Box 14"/>
        <xdr:cNvSpPr txBox="1">
          <a:spLocks noChangeArrowheads="1"/>
        </xdr:cNvSpPr>
      </xdr:nvSpPr>
      <xdr:spPr bwMode="auto">
        <a:xfrm flipH="1">
          <a:off x="5048250" y="4883957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003" name="Text Box 16"/>
        <xdr:cNvSpPr txBox="1">
          <a:spLocks noChangeArrowheads="1"/>
        </xdr:cNvSpPr>
      </xdr:nvSpPr>
      <xdr:spPr bwMode="auto">
        <a:xfrm flipH="1">
          <a:off x="5048250" y="4883957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004" name="Text Box 12"/>
        <xdr:cNvSpPr txBox="1">
          <a:spLocks noChangeArrowheads="1"/>
        </xdr:cNvSpPr>
      </xdr:nvSpPr>
      <xdr:spPr bwMode="auto">
        <a:xfrm flipH="1">
          <a:off x="5048250" y="4883663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13044</xdr:rowOff>
    </xdr:to>
    <xdr:sp macro="" textlink="">
      <xdr:nvSpPr>
        <xdr:cNvPr id="1005" name="Text Box 4"/>
        <xdr:cNvSpPr txBox="1">
          <a:spLocks noChangeArrowheads="1"/>
        </xdr:cNvSpPr>
      </xdr:nvSpPr>
      <xdr:spPr bwMode="auto">
        <a:xfrm flipH="1">
          <a:off x="5048250" y="4883648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006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007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008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009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010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011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012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013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014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015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016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017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27557</xdr:rowOff>
    </xdr:to>
    <xdr:sp macro="" textlink="">
      <xdr:nvSpPr>
        <xdr:cNvPr id="1018" name="Text Box 4"/>
        <xdr:cNvSpPr txBox="1">
          <a:spLocks noChangeArrowheads="1"/>
        </xdr:cNvSpPr>
      </xdr:nvSpPr>
      <xdr:spPr bwMode="auto">
        <a:xfrm flipH="1">
          <a:off x="4815728" y="4883013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019" name="Text Box 12"/>
        <xdr:cNvSpPr txBox="1">
          <a:spLocks noChangeArrowheads="1"/>
        </xdr:cNvSpPr>
      </xdr:nvSpPr>
      <xdr:spPr bwMode="auto">
        <a:xfrm flipH="1">
          <a:off x="4815728" y="4883854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020" name="Text Box 14"/>
        <xdr:cNvSpPr txBox="1">
          <a:spLocks noChangeArrowheads="1"/>
        </xdr:cNvSpPr>
      </xdr:nvSpPr>
      <xdr:spPr bwMode="auto">
        <a:xfrm flipH="1">
          <a:off x="4815728" y="4883957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021" name="Text Box 16"/>
        <xdr:cNvSpPr txBox="1">
          <a:spLocks noChangeArrowheads="1"/>
        </xdr:cNvSpPr>
      </xdr:nvSpPr>
      <xdr:spPr bwMode="auto">
        <a:xfrm flipH="1">
          <a:off x="4815728" y="4883957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022" name="Text Box 12"/>
        <xdr:cNvSpPr txBox="1">
          <a:spLocks noChangeArrowheads="1"/>
        </xdr:cNvSpPr>
      </xdr:nvSpPr>
      <xdr:spPr bwMode="auto">
        <a:xfrm flipH="1">
          <a:off x="4815728" y="4883663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13044</xdr:rowOff>
    </xdr:to>
    <xdr:sp macro="" textlink="">
      <xdr:nvSpPr>
        <xdr:cNvPr id="1023" name="Text Box 4"/>
        <xdr:cNvSpPr txBox="1">
          <a:spLocks noChangeArrowheads="1"/>
        </xdr:cNvSpPr>
      </xdr:nvSpPr>
      <xdr:spPr bwMode="auto">
        <a:xfrm flipH="1">
          <a:off x="4815728" y="4883648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024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025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026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027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028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029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030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031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032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033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034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035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27557</xdr:rowOff>
    </xdr:to>
    <xdr:sp macro="" textlink="">
      <xdr:nvSpPr>
        <xdr:cNvPr id="1036" name="Text Box 4"/>
        <xdr:cNvSpPr txBox="1">
          <a:spLocks noChangeArrowheads="1"/>
        </xdr:cNvSpPr>
      </xdr:nvSpPr>
      <xdr:spPr bwMode="auto">
        <a:xfrm flipH="1">
          <a:off x="5048250" y="4883013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037" name="Text Box 12"/>
        <xdr:cNvSpPr txBox="1">
          <a:spLocks noChangeArrowheads="1"/>
        </xdr:cNvSpPr>
      </xdr:nvSpPr>
      <xdr:spPr bwMode="auto">
        <a:xfrm flipH="1">
          <a:off x="5048250" y="4883854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038" name="Text Box 14"/>
        <xdr:cNvSpPr txBox="1">
          <a:spLocks noChangeArrowheads="1"/>
        </xdr:cNvSpPr>
      </xdr:nvSpPr>
      <xdr:spPr bwMode="auto">
        <a:xfrm flipH="1">
          <a:off x="5048250" y="4883957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039" name="Text Box 16"/>
        <xdr:cNvSpPr txBox="1">
          <a:spLocks noChangeArrowheads="1"/>
        </xdr:cNvSpPr>
      </xdr:nvSpPr>
      <xdr:spPr bwMode="auto">
        <a:xfrm flipH="1">
          <a:off x="5048250" y="4883957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040" name="Text Box 12"/>
        <xdr:cNvSpPr txBox="1">
          <a:spLocks noChangeArrowheads="1"/>
        </xdr:cNvSpPr>
      </xdr:nvSpPr>
      <xdr:spPr bwMode="auto">
        <a:xfrm flipH="1">
          <a:off x="5048250" y="4883663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13044</xdr:rowOff>
    </xdr:to>
    <xdr:sp macro="" textlink="">
      <xdr:nvSpPr>
        <xdr:cNvPr id="1041" name="Text Box 4"/>
        <xdr:cNvSpPr txBox="1">
          <a:spLocks noChangeArrowheads="1"/>
        </xdr:cNvSpPr>
      </xdr:nvSpPr>
      <xdr:spPr bwMode="auto">
        <a:xfrm flipH="1">
          <a:off x="5048250" y="4883648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042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043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044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045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046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047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048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049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050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051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052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053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054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055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056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057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058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059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060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061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062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063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064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065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066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067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068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069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070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071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1072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1073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1074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1075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1076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1077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1078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1079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1080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1081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1082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1083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39283</xdr:rowOff>
    </xdr:to>
    <xdr:sp macro="" textlink="">
      <xdr:nvSpPr>
        <xdr:cNvPr id="1084" name="Text Box 4"/>
        <xdr:cNvSpPr txBox="1">
          <a:spLocks noChangeArrowheads="1"/>
        </xdr:cNvSpPr>
      </xdr:nvSpPr>
      <xdr:spPr bwMode="auto">
        <a:xfrm flipH="1">
          <a:off x="5048250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32725</xdr:rowOff>
    </xdr:to>
    <xdr:sp macro="" textlink="">
      <xdr:nvSpPr>
        <xdr:cNvPr id="1085" name="Text Box 12"/>
        <xdr:cNvSpPr txBox="1">
          <a:spLocks noChangeArrowheads="1"/>
        </xdr:cNvSpPr>
      </xdr:nvSpPr>
      <xdr:spPr bwMode="auto">
        <a:xfrm flipH="1">
          <a:off x="5048250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34743</xdr:rowOff>
    </xdr:to>
    <xdr:sp macro="" textlink="">
      <xdr:nvSpPr>
        <xdr:cNvPr id="1086" name="Text Box 14"/>
        <xdr:cNvSpPr txBox="1">
          <a:spLocks noChangeArrowheads="1"/>
        </xdr:cNvSpPr>
      </xdr:nvSpPr>
      <xdr:spPr bwMode="auto">
        <a:xfrm flipH="1">
          <a:off x="5048250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34742</xdr:rowOff>
    </xdr:to>
    <xdr:sp macro="" textlink="">
      <xdr:nvSpPr>
        <xdr:cNvPr id="1087" name="Text Box 16"/>
        <xdr:cNvSpPr txBox="1">
          <a:spLocks noChangeArrowheads="1"/>
        </xdr:cNvSpPr>
      </xdr:nvSpPr>
      <xdr:spPr bwMode="auto">
        <a:xfrm flipH="1">
          <a:off x="5048250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30162</xdr:rowOff>
    </xdr:to>
    <xdr:sp macro="" textlink="">
      <xdr:nvSpPr>
        <xdr:cNvPr id="1088" name="Text Box 12"/>
        <xdr:cNvSpPr txBox="1">
          <a:spLocks noChangeArrowheads="1"/>
        </xdr:cNvSpPr>
      </xdr:nvSpPr>
      <xdr:spPr bwMode="auto">
        <a:xfrm flipH="1">
          <a:off x="5048250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20664</xdr:rowOff>
    </xdr:to>
    <xdr:sp macro="" textlink="">
      <xdr:nvSpPr>
        <xdr:cNvPr id="1089" name="Text Box 4"/>
        <xdr:cNvSpPr txBox="1">
          <a:spLocks noChangeArrowheads="1"/>
        </xdr:cNvSpPr>
      </xdr:nvSpPr>
      <xdr:spPr bwMode="auto">
        <a:xfrm flipH="1">
          <a:off x="5048250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80456</xdr:rowOff>
    </xdr:to>
    <xdr:sp macro="" textlink="">
      <xdr:nvSpPr>
        <xdr:cNvPr id="1090" name="Text Box 4"/>
        <xdr:cNvSpPr txBox="1">
          <a:spLocks noChangeArrowheads="1"/>
        </xdr:cNvSpPr>
      </xdr:nvSpPr>
      <xdr:spPr bwMode="auto">
        <a:xfrm flipH="1">
          <a:off x="5048250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24544</xdr:rowOff>
    </xdr:to>
    <xdr:sp macro="" textlink="">
      <xdr:nvSpPr>
        <xdr:cNvPr id="1091" name="Text Box 12"/>
        <xdr:cNvSpPr txBox="1">
          <a:spLocks noChangeArrowheads="1"/>
        </xdr:cNvSpPr>
      </xdr:nvSpPr>
      <xdr:spPr bwMode="auto">
        <a:xfrm flipH="1">
          <a:off x="5048250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23162</xdr:rowOff>
    </xdr:to>
    <xdr:sp macro="" textlink="">
      <xdr:nvSpPr>
        <xdr:cNvPr id="1092" name="Text Box 14"/>
        <xdr:cNvSpPr txBox="1">
          <a:spLocks noChangeArrowheads="1"/>
        </xdr:cNvSpPr>
      </xdr:nvSpPr>
      <xdr:spPr bwMode="auto">
        <a:xfrm flipH="1">
          <a:off x="5048250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23161</xdr:rowOff>
    </xdr:to>
    <xdr:sp macro="" textlink="">
      <xdr:nvSpPr>
        <xdr:cNvPr id="1093" name="Text Box 16"/>
        <xdr:cNvSpPr txBox="1">
          <a:spLocks noChangeArrowheads="1"/>
        </xdr:cNvSpPr>
      </xdr:nvSpPr>
      <xdr:spPr bwMode="auto">
        <a:xfrm flipH="1">
          <a:off x="5048250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80989</xdr:rowOff>
    </xdr:to>
    <xdr:sp macro="" textlink="">
      <xdr:nvSpPr>
        <xdr:cNvPr id="1094" name="Text Box 12"/>
        <xdr:cNvSpPr txBox="1">
          <a:spLocks noChangeArrowheads="1"/>
        </xdr:cNvSpPr>
      </xdr:nvSpPr>
      <xdr:spPr bwMode="auto">
        <a:xfrm flipH="1">
          <a:off x="5048250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30996</xdr:rowOff>
    </xdr:to>
    <xdr:sp macro="" textlink="">
      <xdr:nvSpPr>
        <xdr:cNvPr id="1095" name="Text Box 4"/>
        <xdr:cNvSpPr txBox="1">
          <a:spLocks noChangeArrowheads="1"/>
        </xdr:cNvSpPr>
      </xdr:nvSpPr>
      <xdr:spPr bwMode="auto">
        <a:xfrm flipH="1">
          <a:off x="5048250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80456</xdr:rowOff>
    </xdr:to>
    <xdr:sp macro="" textlink="">
      <xdr:nvSpPr>
        <xdr:cNvPr id="1096" name="Text Box 4"/>
        <xdr:cNvSpPr txBox="1">
          <a:spLocks noChangeArrowheads="1"/>
        </xdr:cNvSpPr>
      </xdr:nvSpPr>
      <xdr:spPr bwMode="auto">
        <a:xfrm flipH="1">
          <a:off x="5048250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24544</xdr:rowOff>
    </xdr:to>
    <xdr:sp macro="" textlink="">
      <xdr:nvSpPr>
        <xdr:cNvPr id="1097" name="Text Box 12"/>
        <xdr:cNvSpPr txBox="1">
          <a:spLocks noChangeArrowheads="1"/>
        </xdr:cNvSpPr>
      </xdr:nvSpPr>
      <xdr:spPr bwMode="auto">
        <a:xfrm flipH="1">
          <a:off x="5048250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23162</xdr:rowOff>
    </xdr:to>
    <xdr:sp macro="" textlink="">
      <xdr:nvSpPr>
        <xdr:cNvPr id="1098" name="Text Box 14"/>
        <xdr:cNvSpPr txBox="1">
          <a:spLocks noChangeArrowheads="1"/>
        </xdr:cNvSpPr>
      </xdr:nvSpPr>
      <xdr:spPr bwMode="auto">
        <a:xfrm flipH="1">
          <a:off x="5048250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23161</xdr:rowOff>
    </xdr:to>
    <xdr:sp macro="" textlink="">
      <xdr:nvSpPr>
        <xdr:cNvPr id="1099" name="Text Box 16"/>
        <xdr:cNvSpPr txBox="1">
          <a:spLocks noChangeArrowheads="1"/>
        </xdr:cNvSpPr>
      </xdr:nvSpPr>
      <xdr:spPr bwMode="auto">
        <a:xfrm flipH="1">
          <a:off x="5048250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80989</xdr:rowOff>
    </xdr:to>
    <xdr:sp macro="" textlink="">
      <xdr:nvSpPr>
        <xdr:cNvPr id="1100" name="Text Box 12"/>
        <xdr:cNvSpPr txBox="1">
          <a:spLocks noChangeArrowheads="1"/>
        </xdr:cNvSpPr>
      </xdr:nvSpPr>
      <xdr:spPr bwMode="auto">
        <a:xfrm flipH="1">
          <a:off x="5048250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30996</xdr:rowOff>
    </xdr:to>
    <xdr:sp macro="" textlink="">
      <xdr:nvSpPr>
        <xdr:cNvPr id="1101" name="Text Box 4"/>
        <xdr:cNvSpPr txBox="1">
          <a:spLocks noChangeArrowheads="1"/>
        </xdr:cNvSpPr>
      </xdr:nvSpPr>
      <xdr:spPr bwMode="auto">
        <a:xfrm flipH="1">
          <a:off x="5048250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102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103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104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105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106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107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1108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1109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1110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1111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1112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1113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1114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1115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1116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1117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1118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1119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39283</xdr:rowOff>
    </xdr:to>
    <xdr:sp macro="" textlink="">
      <xdr:nvSpPr>
        <xdr:cNvPr id="1120" name="Text Box 4"/>
        <xdr:cNvSpPr txBox="1">
          <a:spLocks noChangeArrowheads="1"/>
        </xdr:cNvSpPr>
      </xdr:nvSpPr>
      <xdr:spPr bwMode="auto">
        <a:xfrm flipH="1">
          <a:off x="5048250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32725</xdr:rowOff>
    </xdr:to>
    <xdr:sp macro="" textlink="">
      <xdr:nvSpPr>
        <xdr:cNvPr id="1121" name="Text Box 12"/>
        <xdr:cNvSpPr txBox="1">
          <a:spLocks noChangeArrowheads="1"/>
        </xdr:cNvSpPr>
      </xdr:nvSpPr>
      <xdr:spPr bwMode="auto">
        <a:xfrm flipH="1">
          <a:off x="5048250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34743</xdr:rowOff>
    </xdr:to>
    <xdr:sp macro="" textlink="">
      <xdr:nvSpPr>
        <xdr:cNvPr id="1122" name="Text Box 14"/>
        <xdr:cNvSpPr txBox="1">
          <a:spLocks noChangeArrowheads="1"/>
        </xdr:cNvSpPr>
      </xdr:nvSpPr>
      <xdr:spPr bwMode="auto">
        <a:xfrm flipH="1">
          <a:off x="5048250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34742</xdr:rowOff>
    </xdr:to>
    <xdr:sp macro="" textlink="">
      <xdr:nvSpPr>
        <xdr:cNvPr id="1123" name="Text Box 16"/>
        <xdr:cNvSpPr txBox="1">
          <a:spLocks noChangeArrowheads="1"/>
        </xdr:cNvSpPr>
      </xdr:nvSpPr>
      <xdr:spPr bwMode="auto">
        <a:xfrm flipH="1">
          <a:off x="5048250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30162</xdr:rowOff>
    </xdr:to>
    <xdr:sp macro="" textlink="">
      <xdr:nvSpPr>
        <xdr:cNvPr id="1124" name="Text Box 12"/>
        <xdr:cNvSpPr txBox="1">
          <a:spLocks noChangeArrowheads="1"/>
        </xdr:cNvSpPr>
      </xdr:nvSpPr>
      <xdr:spPr bwMode="auto">
        <a:xfrm flipH="1">
          <a:off x="5048250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20664</xdr:rowOff>
    </xdr:to>
    <xdr:sp macro="" textlink="">
      <xdr:nvSpPr>
        <xdr:cNvPr id="1125" name="Text Box 4"/>
        <xdr:cNvSpPr txBox="1">
          <a:spLocks noChangeArrowheads="1"/>
        </xdr:cNvSpPr>
      </xdr:nvSpPr>
      <xdr:spPr bwMode="auto">
        <a:xfrm flipH="1">
          <a:off x="5048250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80456</xdr:rowOff>
    </xdr:to>
    <xdr:sp macro="" textlink="">
      <xdr:nvSpPr>
        <xdr:cNvPr id="1126" name="Text Box 4"/>
        <xdr:cNvSpPr txBox="1">
          <a:spLocks noChangeArrowheads="1"/>
        </xdr:cNvSpPr>
      </xdr:nvSpPr>
      <xdr:spPr bwMode="auto">
        <a:xfrm flipH="1">
          <a:off x="5048250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24544</xdr:rowOff>
    </xdr:to>
    <xdr:sp macro="" textlink="">
      <xdr:nvSpPr>
        <xdr:cNvPr id="1127" name="Text Box 12"/>
        <xdr:cNvSpPr txBox="1">
          <a:spLocks noChangeArrowheads="1"/>
        </xdr:cNvSpPr>
      </xdr:nvSpPr>
      <xdr:spPr bwMode="auto">
        <a:xfrm flipH="1">
          <a:off x="5048250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23162</xdr:rowOff>
    </xdr:to>
    <xdr:sp macro="" textlink="">
      <xdr:nvSpPr>
        <xdr:cNvPr id="1128" name="Text Box 14"/>
        <xdr:cNvSpPr txBox="1">
          <a:spLocks noChangeArrowheads="1"/>
        </xdr:cNvSpPr>
      </xdr:nvSpPr>
      <xdr:spPr bwMode="auto">
        <a:xfrm flipH="1">
          <a:off x="5048250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23161</xdr:rowOff>
    </xdr:to>
    <xdr:sp macro="" textlink="">
      <xdr:nvSpPr>
        <xdr:cNvPr id="1129" name="Text Box 16"/>
        <xdr:cNvSpPr txBox="1">
          <a:spLocks noChangeArrowheads="1"/>
        </xdr:cNvSpPr>
      </xdr:nvSpPr>
      <xdr:spPr bwMode="auto">
        <a:xfrm flipH="1">
          <a:off x="5048250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80989</xdr:rowOff>
    </xdr:to>
    <xdr:sp macro="" textlink="">
      <xdr:nvSpPr>
        <xdr:cNvPr id="1130" name="Text Box 12"/>
        <xdr:cNvSpPr txBox="1">
          <a:spLocks noChangeArrowheads="1"/>
        </xdr:cNvSpPr>
      </xdr:nvSpPr>
      <xdr:spPr bwMode="auto">
        <a:xfrm flipH="1">
          <a:off x="5048250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30996</xdr:rowOff>
    </xdr:to>
    <xdr:sp macro="" textlink="">
      <xdr:nvSpPr>
        <xdr:cNvPr id="1131" name="Text Box 4"/>
        <xdr:cNvSpPr txBox="1">
          <a:spLocks noChangeArrowheads="1"/>
        </xdr:cNvSpPr>
      </xdr:nvSpPr>
      <xdr:spPr bwMode="auto">
        <a:xfrm flipH="1">
          <a:off x="5048250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80456</xdr:rowOff>
    </xdr:to>
    <xdr:sp macro="" textlink="">
      <xdr:nvSpPr>
        <xdr:cNvPr id="1132" name="Text Box 4"/>
        <xdr:cNvSpPr txBox="1">
          <a:spLocks noChangeArrowheads="1"/>
        </xdr:cNvSpPr>
      </xdr:nvSpPr>
      <xdr:spPr bwMode="auto">
        <a:xfrm flipH="1">
          <a:off x="5048250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24544</xdr:rowOff>
    </xdr:to>
    <xdr:sp macro="" textlink="">
      <xdr:nvSpPr>
        <xdr:cNvPr id="1133" name="Text Box 12"/>
        <xdr:cNvSpPr txBox="1">
          <a:spLocks noChangeArrowheads="1"/>
        </xdr:cNvSpPr>
      </xdr:nvSpPr>
      <xdr:spPr bwMode="auto">
        <a:xfrm flipH="1">
          <a:off x="5048250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23162</xdr:rowOff>
    </xdr:to>
    <xdr:sp macro="" textlink="">
      <xdr:nvSpPr>
        <xdr:cNvPr id="1134" name="Text Box 14"/>
        <xdr:cNvSpPr txBox="1">
          <a:spLocks noChangeArrowheads="1"/>
        </xdr:cNvSpPr>
      </xdr:nvSpPr>
      <xdr:spPr bwMode="auto">
        <a:xfrm flipH="1">
          <a:off x="5048250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23161</xdr:rowOff>
    </xdr:to>
    <xdr:sp macro="" textlink="">
      <xdr:nvSpPr>
        <xdr:cNvPr id="1135" name="Text Box 16"/>
        <xdr:cNvSpPr txBox="1">
          <a:spLocks noChangeArrowheads="1"/>
        </xdr:cNvSpPr>
      </xdr:nvSpPr>
      <xdr:spPr bwMode="auto">
        <a:xfrm flipH="1">
          <a:off x="5048250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80989</xdr:rowOff>
    </xdr:to>
    <xdr:sp macro="" textlink="">
      <xdr:nvSpPr>
        <xdr:cNvPr id="1136" name="Text Box 12"/>
        <xdr:cNvSpPr txBox="1">
          <a:spLocks noChangeArrowheads="1"/>
        </xdr:cNvSpPr>
      </xdr:nvSpPr>
      <xdr:spPr bwMode="auto">
        <a:xfrm flipH="1">
          <a:off x="5048250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30996</xdr:rowOff>
    </xdr:to>
    <xdr:sp macro="" textlink="">
      <xdr:nvSpPr>
        <xdr:cNvPr id="1137" name="Text Box 4"/>
        <xdr:cNvSpPr txBox="1">
          <a:spLocks noChangeArrowheads="1"/>
        </xdr:cNvSpPr>
      </xdr:nvSpPr>
      <xdr:spPr bwMode="auto">
        <a:xfrm flipH="1">
          <a:off x="5048250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1138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1139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1140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1141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1142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1143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1144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1145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1146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1147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1148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1149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150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151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152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153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154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155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56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57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58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59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60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61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6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6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6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6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6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6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6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6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7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7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7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7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74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75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76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77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78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79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180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181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182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183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184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185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86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87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88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89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90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91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9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9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9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9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9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9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9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19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0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0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0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0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04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05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06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07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08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09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210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211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212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213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214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215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16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17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18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19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20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21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2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2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2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2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2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2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2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2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3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3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3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3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234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235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236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237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238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239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240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241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242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243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244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245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246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247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248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249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250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251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5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5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5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5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5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5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5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5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6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6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6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6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64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65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66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67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68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69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70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71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72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73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74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75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76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77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78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79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80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81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8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8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8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8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8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8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8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8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9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9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9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9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94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95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96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97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98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299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00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01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02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03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04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05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06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07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08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09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10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11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1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1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1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1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1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1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1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1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2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2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2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32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324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325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326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327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328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329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330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331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332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333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334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335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336" name="Text Box 4"/>
        <xdr:cNvSpPr txBox="1">
          <a:spLocks noChangeArrowheads="1"/>
        </xdr:cNvSpPr>
      </xdr:nvSpPr>
      <xdr:spPr bwMode="auto">
        <a:xfrm flipH="1">
          <a:off x="4815728" y="488301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337" name="Text Box 12"/>
        <xdr:cNvSpPr txBox="1">
          <a:spLocks noChangeArrowheads="1"/>
        </xdr:cNvSpPr>
      </xdr:nvSpPr>
      <xdr:spPr bwMode="auto">
        <a:xfrm flipH="1">
          <a:off x="4815728" y="488385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338" name="Text Box 14"/>
        <xdr:cNvSpPr txBox="1">
          <a:spLocks noChangeArrowheads="1"/>
        </xdr:cNvSpPr>
      </xdr:nvSpPr>
      <xdr:spPr bwMode="auto">
        <a:xfrm flipH="1">
          <a:off x="4815728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339" name="Text Box 16"/>
        <xdr:cNvSpPr txBox="1">
          <a:spLocks noChangeArrowheads="1"/>
        </xdr:cNvSpPr>
      </xdr:nvSpPr>
      <xdr:spPr bwMode="auto">
        <a:xfrm flipH="1">
          <a:off x="4815728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340" name="Text Box 12"/>
        <xdr:cNvSpPr txBox="1">
          <a:spLocks noChangeArrowheads="1"/>
        </xdr:cNvSpPr>
      </xdr:nvSpPr>
      <xdr:spPr bwMode="auto">
        <a:xfrm flipH="1">
          <a:off x="4815728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341" name="Text Box 4"/>
        <xdr:cNvSpPr txBox="1">
          <a:spLocks noChangeArrowheads="1"/>
        </xdr:cNvSpPr>
      </xdr:nvSpPr>
      <xdr:spPr bwMode="auto">
        <a:xfrm flipH="1">
          <a:off x="4815728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27557</xdr:rowOff>
    </xdr:to>
    <xdr:sp macro="" textlink="">
      <xdr:nvSpPr>
        <xdr:cNvPr id="1342" name="Text Box 4"/>
        <xdr:cNvSpPr txBox="1">
          <a:spLocks noChangeArrowheads="1"/>
        </xdr:cNvSpPr>
      </xdr:nvSpPr>
      <xdr:spPr bwMode="auto">
        <a:xfrm flipH="1">
          <a:off x="4815728" y="4917303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343" name="Text Box 12"/>
        <xdr:cNvSpPr txBox="1">
          <a:spLocks noChangeArrowheads="1"/>
        </xdr:cNvSpPr>
      </xdr:nvSpPr>
      <xdr:spPr bwMode="auto">
        <a:xfrm flipH="1">
          <a:off x="4815728" y="4918144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344" name="Text Box 14"/>
        <xdr:cNvSpPr txBox="1">
          <a:spLocks noChangeArrowheads="1"/>
        </xdr:cNvSpPr>
      </xdr:nvSpPr>
      <xdr:spPr bwMode="auto">
        <a:xfrm flipH="1">
          <a:off x="4815728" y="4918247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345" name="Text Box 16"/>
        <xdr:cNvSpPr txBox="1">
          <a:spLocks noChangeArrowheads="1"/>
        </xdr:cNvSpPr>
      </xdr:nvSpPr>
      <xdr:spPr bwMode="auto">
        <a:xfrm flipH="1">
          <a:off x="4815728" y="4918247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346" name="Text Box 12"/>
        <xdr:cNvSpPr txBox="1">
          <a:spLocks noChangeArrowheads="1"/>
        </xdr:cNvSpPr>
      </xdr:nvSpPr>
      <xdr:spPr bwMode="auto">
        <a:xfrm flipH="1">
          <a:off x="4815728" y="4917953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13044</xdr:rowOff>
    </xdr:to>
    <xdr:sp macro="" textlink="">
      <xdr:nvSpPr>
        <xdr:cNvPr id="1347" name="Text Box 4"/>
        <xdr:cNvSpPr txBox="1">
          <a:spLocks noChangeArrowheads="1"/>
        </xdr:cNvSpPr>
      </xdr:nvSpPr>
      <xdr:spPr bwMode="auto">
        <a:xfrm flipH="1">
          <a:off x="4815728" y="4917938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348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349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350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351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352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353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354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355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356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357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358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359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27557</xdr:rowOff>
    </xdr:to>
    <xdr:sp macro="" textlink="">
      <xdr:nvSpPr>
        <xdr:cNvPr id="1360" name="Text Box 4"/>
        <xdr:cNvSpPr txBox="1">
          <a:spLocks noChangeArrowheads="1"/>
        </xdr:cNvSpPr>
      </xdr:nvSpPr>
      <xdr:spPr bwMode="auto">
        <a:xfrm flipH="1">
          <a:off x="5048250" y="4917303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361" name="Text Box 12"/>
        <xdr:cNvSpPr txBox="1">
          <a:spLocks noChangeArrowheads="1"/>
        </xdr:cNvSpPr>
      </xdr:nvSpPr>
      <xdr:spPr bwMode="auto">
        <a:xfrm flipH="1">
          <a:off x="5048250" y="4918144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362" name="Text Box 14"/>
        <xdr:cNvSpPr txBox="1">
          <a:spLocks noChangeArrowheads="1"/>
        </xdr:cNvSpPr>
      </xdr:nvSpPr>
      <xdr:spPr bwMode="auto">
        <a:xfrm flipH="1">
          <a:off x="5048250" y="4918247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363" name="Text Box 16"/>
        <xdr:cNvSpPr txBox="1">
          <a:spLocks noChangeArrowheads="1"/>
        </xdr:cNvSpPr>
      </xdr:nvSpPr>
      <xdr:spPr bwMode="auto">
        <a:xfrm flipH="1">
          <a:off x="5048250" y="4918247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364" name="Text Box 12"/>
        <xdr:cNvSpPr txBox="1">
          <a:spLocks noChangeArrowheads="1"/>
        </xdr:cNvSpPr>
      </xdr:nvSpPr>
      <xdr:spPr bwMode="auto">
        <a:xfrm flipH="1">
          <a:off x="5048250" y="4917953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13044</xdr:rowOff>
    </xdr:to>
    <xdr:sp macro="" textlink="">
      <xdr:nvSpPr>
        <xdr:cNvPr id="1365" name="Text Box 4"/>
        <xdr:cNvSpPr txBox="1">
          <a:spLocks noChangeArrowheads="1"/>
        </xdr:cNvSpPr>
      </xdr:nvSpPr>
      <xdr:spPr bwMode="auto">
        <a:xfrm flipH="1">
          <a:off x="5048250" y="4917938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366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367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368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369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370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371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372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373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374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375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376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377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27557</xdr:rowOff>
    </xdr:to>
    <xdr:sp macro="" textlink="">
      <xdr:nvSpPr>
        <xdr:cNvPr id="1378" name="Text Box 4"/>
        <xdr:cNvSpPr txBox="1">
          <a:spLocks noChangeArrowheads="1"/>
        </xdr:cNvSpPr>
      </xdr:nvSpPr>
      <xdr:spPr bwMode="auto">
        <a:xfrm flipH="1">
          <a:off x="4815728" y="4917303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379" name="Text Box 12"/>
        <xdr:cNvSpPr txBox="1">
          <a:spLocks noChangeArrowheads="1"/>
        </xdr:cNvSpPr>
      </xdr:nvSpPr>
      <xdr:spPr bwMode="auto">
        <a:xfrm flipH="1">
          <a:off x="4815728" y="4918144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380" name="Text Box 14"/>
        <xdr:cNvSpPr txBox="1">
          <a:spLocks noChangeArrowheads="1"/>
        </xdr:cNvSpPr>
      </xdr:nvSpPr>
      <xdr:spPr bwMode="auto">
        <a:xfrm flipH="1">
          <a:off x="4815728" y="4918247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381" name="Text Box 16"/>
        <xdr:cNvSpPr txBox="1">
          <a:spLocks noChangeArrowheads="1"/>
        </xdr:cNvSpPr>
      </xdr:nvSpPr>
      <xdr:spPr bwMode="auto">
        <a:xfrm flipH="1">
          <a:off x="4815728" y="4918247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382" name="Text Box 12"/>
        <xdr:cNvSpPr txBox="1">
          <a:spLocks noChangeArrowheads="1"/>
        </xdr:cNvSpPr>
      </xdr:nvSpPr>
      <xdr:spPr bwMode="auto">
        <a:xfrm flipH="1">
          <a:off x="4815728" y="4917953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13044</xdr:rowOff>
    </xdr:to>
    <xdr:sp macro="" textlink="">
      <xdr:nvSpPr>
        <xdr:cNvPr id="1383" name="Text Box 4"/>
        <xdr:cNvSpPr txBox="1">
          <a:spLocks noChangeArrowheads="1"/>
        </xdr:cNvSpPr>
      </xdr:nvSpPr>
      <xdr:spPr bwMode="auto">
        <a:xfrm flipH="1">
          <a:off x="4815728" y="4917938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384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385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386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387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388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389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390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391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392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393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394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395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27557</xdr:rowOff>
    </xdr:to>
    <xdr:sp macro="" textlink="">
      <xdr:nvSpPr>
        <xdr:cNvPr id="1396" name="Text Box 4"/>
        <xdr:cNvSpPr txBox="1">
          <a:spLocks noChangeArrowheads="1"/>
        </xdr:cNvSpPr>
      </xdr:nvSpPr>
      <xdr:spPr bwMode="auto">
        <a:xfrm flipH="1">
          <a:off x="5048250" y="4917303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397" name="Text Box 12"/>
        <xdr:cNvSpPr txBox="1">
          <a:spLocks noChangeArrowheads="1"/>
        </xdr:cNvSpPr>
      </xdr:nvSpPr>
      <xdr:spPr bwMode="auto">
        <a:xfrm flipH="1">
          <a:off x="5048250" y="4918144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398" name="Text Box 14"/>
        <xdr:cNvSpPr txBox="1">
          <a:spLocks noChangeArrowheads="1"/>
        </xdr:cNvSpPr>
      </xdr:nvSpPr>
      <xdr:spPr bwMode="auto">
        <a:xfrm flipH="1">
          <a:off x="5048250" y="4918247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399" name="Text Box 16"/>
        <xdr:cNvSpPr txBox="1">
          <a:spLocks noChangeArrowheads="1"/>
        </xdr:cNvSpPr>
      </xdr:nvSpPr>
      <xdr:spPr bwMode="auto">
        <a:xfrm flipH="1">
          <a:off x="5048250" y="4918247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400" name="Text Box 12"/>
        <xdr:cNvSpPr txBox="1">
          <a:spLocks noChangeArrowheads="1"/>
        </xdr:cNvSpPr>
      </xdr:nvSpPr>
      <xdr:spPr bwMode="auto">
        <a:xfrm flipH="1">
          <a:off x="5048250" y="4917953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13044</xdr:rowOff>
    </xdr:to>
    <xdr:sp macro="" textlink="">
      <xdr:nvSpPr>
        <xdr:cNvPr id="1401" name="Text Box 4"/>
        <xdr:cNvSpPr txBox="1">
          <a:spLocks noChangeArrowheads="1"/>
        </xdr:cNvSpPr>
      </xdr:nvSpPr>
      <xdr:spPr bwMode="auto">
        <a:xfrm flipH="1">
          <a:off x="5048250" y="4917938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402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403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404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405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406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407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408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409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410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411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412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413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414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415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416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417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418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419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420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421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422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423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424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425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27557</xdr:rowOff>
    </xdr:to>
    <xdr:sp macro="" textlink="">
      <xdr:nvSpPr>
        <xdr:cNvPr id="1426" name="Text Box 4"/>
        <xdr:cNvSpPr txBox="1">
          <a:spLocks noChangeArrowheads="1"/>
        </xdr:cNvSpPr>
      </xdr:nvSpPr>
      <xdr:spPr bwMode="auto">
        <a:xfrm flipH="1">
          <a:off x="4815728" y="4917303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427" name="Text Box 12"/>
        <xdr:cNvSpPr txBox="1">
          <a:spLocks noChangeArrowheads="1"/>
        </xdr:cNvSpPr>
      </xdr:nvSpPr>
      <xdr:spPr bwMode="auto">
        <a:xfrm flipH="1">
          <a:off x="4815728" y="4918144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428" name="Text Box 14"/>
        <xdr:cNvSpPr txBox="1">
          <a:spLocks noChangeArrowheads="1"/>
        </xdr:cNvSpPr>
      </xdr:nvSpPr>
      <xdr:spPr bwMode="auto">
        <a:xfrm flipH="1">
          <a:off x="4815728" y="4918247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429" name="Text Box 16"/>
        <xdr:cNvSpPr txBox="1">
          <a:spLocks noChangeArrowheads="1"/>
        </xdr:cNvSpPr>
      </xdr:nvSpPr>
      <xdr:spPr bwMode="auto">
        <a:xfrm flipH="1">
          <a:off x="4815728" y="4918247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430" name="Text Box 12"/>
        <xdr:cNvSpPr txBox="1">
          <a:spLocks noChangeArrowheads="1"/>
        </xdr:cNvSpPr>
      </xdr:nvSpPr>
      <xdr:spPr bwMode="auto">
        <a:xfrm flipH="1">
          <a:off x="4815728" y="4917953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13044</xdr:rowOff>
    </xdr:to>
    <xdr:sp macro="" textlink="">
      <xdr:nvSpPr>
        <xdr:cNvPr id="1431" name="Text Box 4"/>
        <xdr:cNvSpPr txBox="1">
          <a:spLocks noChangeArrowheads="1"/>
        </xdr:cNvSpPr>
      </xdr:nvSpPr>
      <xdr:spPr bwMode="auto">
        <a:xfrm flipH="1">
          <a:off x="4815728" y="4917938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432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433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434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435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436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437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438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439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440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441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442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443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27557</xdr:rowOff>
    </xdr:to>
    <xdr:sp macro="" textlink="">
      <xdr:nvSpPr>
        <xdr:cNvPr id="1444" name="Text Box 4"/>
        <xdr:cNvSpPr txBox="1">
          <a:spLocks noChangeArrowheads="1"/>
        </xdr:cNvSpPr>
      </xdr:nvSpPr>
      <xdr:spPr bwMode="auto">
        <a:xfrm flipH="1">
          <a:off x="5048250" y="4917303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445" name="Text Box 12"/>
        <xdr:cNvSpPr txBox="1">
          <a:spLocks noChangeArrowheads="1"/>
        </xdr:cNvSpPr>
      </xdr:nvSpPr>
      <xdr:spPr bwMode="auto">
        <a:xfrm flipH="1">
          <a:off x="5048250" y="4918144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446" name="Text Box 14"/>
        <xdr:cNvSpPr txBox="1">
          <a:spLocks noChangeArrowheads="1"/>
        </xdr:cNvSpPr>
      </xdr:nvSpPr>
      <xdr:spPr bwMode="auto">
        <a:xfrm flipH="1">
          <a:off x="5048250" y="4918247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447" name="Text Box 16"/>
        <xdr:cNvSpPr txBox="1">
          <a:spLocks noChangeArrowheads="1"/>
        </xdr:cNvSpPr>
      </xdr:nvSpPr>
      <xdr:spPr bwMode="auto">
        <a:xfrm flipH="1">
          <a:off x="5048250" y="4918247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448" name="Text Box 12"/>
        <xdr:cNvSpPr txBox="1">
          <a:spLocks noChangeArrowheads="1"/>
        </xdr:cNvSpPr>
      </xdr:nvSpPr>
      <xdr:spPr bwMode="auto">
        <a:xfrm flipH="1">
          <a:off x="5048250" y="4917953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13044</xdr:rowOff>
    </xdr:to>
    <xdr:sp macro="" textlink="">
      <xdr:nvSpPr>
        <xdr:cNvPr id="1449" name="Text Box 4"/>
        <xdr:cNvSpPr txBox="1">
          <a:spLocks noChangeArrowheads="1"/>
        </xdr:cNvSpPr>
      </xdr:nvSpPr>
      <xdr:spPr bwMode="auto">
        <a:xfrm flipH="1">
          <a:off x="5048250" y="4917938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450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451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452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453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454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455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456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457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458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459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460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461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27557</xdr:rowOff>
    </xdr:to>
    <xdr:sp macro="" textlink="">
      <xdr:nvSpPr>
        <xdr:cNvPr id="1462" name="Text Box 4"/>
        <xdr:cNvSpPr txBox="1">
          <a:spLocks noChangeArrowheads="1"/>
        </xdr:cNvSpPr>
      </xdr:nvSpPr>
      <xdr:spPr bwMode="auto">
        <a:xfrm flipH="1">
          <a:off x="4815728" y="4917303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463" name="Text Box 12"/>
        <xdr:cNvSpPr txBox="1">
          <a:spLocks noChangeArrowheads="1"/>
        </xdr:cNvSpPr>
      </xdr:nvSpPr>
      <xdr:spPr bwMode="auto">
        <a:xfrm flipH="1">
          <a:off x="4815728" y="4918144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464" name="Text Box 14"/>
        <xdr:cNvSpPr txBox="1">
          <a:spLocks noChangeArrowheads="1"/>
        </xdr:cNvSpPr>
      </xdr:nvSpPr>
      <xdr:spPr bwMode="auto">
        <a:xfrm flipH="1">
          <a:off x="4815728" y="4918247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465" name="Text Box 16"/>
        <xdr:cNvSpPr txBox="1">
          <a:spLocks noChangeArrowheads="1"/>
        </xdr:cNvSpPr>
      </xdr:nvSpPr>
      <xdr:spPr bwMode="auto">
        <a:xfrm flipH="1">
          <a:off x="4815728" y="4918247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466" name="Text Box 12"/>
        <xdr:cNvSpPr txBox="1">
          <a:spLocks noChangeArrowheads="1"/>
        </xdr:cNvSpPr>
      </xdr:nvSpPr>
      <xdr:spPr bwMode="auto">
        <a:xfrm flipH="1">
          <a:off x="4815728" y="4917953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13044</xdr:rowOff>
    </xdr:to>
    <xdr:sp macro="" textlink="">
      <xdr:nvSpPr>
        <xdr:cNvPr id="1467" name="Text Box 4"/>
        <xdr:cNvSpPr txBox="1">
          <a:spLocks noChangeArrowheads="1"/>
        </xdr:cNvSpPr>
      </xdr:nvSpPr>
      <xdr:spPr bwMode="auto">
        <a:xfrm flipH="1">
          <a:off x="4815728" y="4917938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468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469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470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471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472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473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474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475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476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477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478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479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27557</xdr:rowOff>
    </xdr:to>
    <xdr:sp macro="" textlink="">
      <xdr:nvSpPr>
        <xdr:cNvPr id="1480" name="Text Box 4"/>
        <xdr:cNvSpPr txBox="1">
          <a:spLocks noChangeArrowheads="1"/>
        </xdr:cNvSpPr>
      </xdr:nvSpPr>
      <xdr:spPr bwMode="auto">
        <a:xfrm flipH="1">
          <a:off x="5048250" y="4917303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481" name="Text Box 12"/>
        <xdr:cNvSpPr txBox="1">
          <a:spLocks noChangeArrowheads="1"/>
        </xdr:cNvSpPr>
      </xdr:nvSpPr>
      <xdr:spPr bwMode="auto">
        <a:xfrm flipH="1">
          <a:off x="5048250" y="4918144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482" name="Text Box 14"/>
        <xdr:cNvSpPr txBox="1">
          <a:spLocks noChangeArrowheads="1"/>
        </xdr:cNvSpPr>
      </xdr:nvSpPr>
      <xdr:spPr bwMode="auto">
        <a:xfrm flipH="1">
          <a:off x="5048250" y="4918247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483" name="Text Box 16"/>
        <xdr:cNvSpPr txBox="1">
          <a:spLocks noChangeArrowheads="1"/>
        </xdr:cNvSpPr>
      </xdr:nvSpPr>
      <xdr:spPr bwMode="auto">
        <a:xfrm flipH="1">
          <a:off x="5048250" y="4918247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484" name="Text Box 12"/>
        <xdr:cNvSpPr txBox="1">
          <a:spLocks noChangeArrowheads="1"/>
        </xdr:cNvSpPr>
      </xdr:nvSpPr>
      <xdr:spPr bwMode="auto">
        <a:xfrm flipH="1">
          <a:off x="5048250" y="4917953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13044</xdr:rowOff>
    </xdr:to>
    <xdr:sp macro="" textlink="">
      <xdr:nvSpPr>
        <xdr:cNvPr id="1485" name="Text Box 4"/>
        <xdr:cNvSpPr txBox="1">
          <a:spLocks noChangeArrowheads="1"/>
        </xdr:cNvSpPr>
      </xdr:nvSpPr>
      <xdr:spPr bwMode="auto">
        <a:xfrm flipH="1">
          <a:off x="5048250" y="4917938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486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487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488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489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490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491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492" name="Text Box 4"/>
        <xdr:cNvSpPr txBox="1">
          <a:spLocks noChangeArrowheads="1"/>
        </xdr:cNvSpPr>
      </xdr:nvSpPr>
      <xdr:spPr bwMode="auto">
        <a:xfrm flipH="1">
          <a:off x="5048250" y="442055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493" name="Text Box 12"/>
        <xdr:cNvSpPr txBox="1">
          <a:spLocks noChangeArrowheads="1"/>
        </xdr:cNvSpPr>
      </xdr:nvSpPr>
      <xdr:spPr bwMode="auto">
        <a:xfrm flipH="1">
          <a:off x="5048250" y="442155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494" name="Text Box 14"/>
        <xdr:cNvSpPr txBox="1">
          <a:spLocks noChangeArrowheads="1"/>
        </xdr:cNvSpPr>
      </xdr:nvSpPr>
      <xdr:spPr bwMode="auto">
        <a:xfrm flipH="1">
          <a:off x="5048250" y="442165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495" name="Text Box 16"/>
        <xdr:cNvSpPr txBox="1">
          <a:spLocks noChangeArrowheads="1"/>
        </xdr:cNvSpPr>
      </xdr:nvSpPr>
      <xdr:spPr bwMode="auto">
        <a:xfrm flipH="1">
          <a:off x="5048250" y="442165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496" name="Text Box 12"/>
        <xdr:cNvSpPr txBox="1">
          <a:spLocks noChangeArrowheads="1"/>
        </xdr:cNvSpPr>
      </xdr:nvSpPr>
      <xdr:spPr bwMode="auto">
        <a:xfrm flipH="1">
          <a:off x="5048250" y="442041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497" name="Text Box 4"/>
        <xdr:cNvSpPr txBox="1">
          <a:spLocks noChangeArrowheads="1"/>
        </xdr:cNvSpPr>
      </xdr:nvSpPr>
      <xdr:spPr bwMode="auto">
        <a:xfrm flipH="1">
          <a:off x="5048250" y="442135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498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499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500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501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502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503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504" name="Text Box 4"/>
        <xdr:cNvSpPr txBox="1">
          <a:spLocks noChangeArrowheads="1"/>
        </xdr:cNvSpPr>
      </xdr:nvSpPr>
      <xdr:spPr bwMode="auto">
        <a:xfrm flipH="1">
          <a:off x="5048250" y="442055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505" name="Text Box 12"/>
        <xdr:cNvSpPr txBox="1">
          <a:spLocks noChangeArrowheads="1"/>
        </xdr:cNvSpPr>
      </xdr:nvSpPr>
      <xdr:spPr bwMode="auto">
        <a:xfrm flipH="1">
          <a:off x="4815728" y="442155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506" name="Text Box 14"/>
        <xdr:cNvSpPr txBox="1">
          <a:spLocks noChangeArrowheads="1"/>
        </xdr:cNvSpPr>
      </xdr:nvSpPr>
      <xdr:spPr bwMode="auto">
        <a:xfrm flipH="1">
          <a:off x="4815728" y="442165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507" name="Text Box 16"/>
        <xdr:cNvSpPr txBox="1">
          <a:spLocks noChangeArrowheads="1"/>
        </xdr:cNvSpPr>
      </xdr:nvSpPr>
      <xdr:spPr bwMode="auto">
        <a:xfrm flipH="1">
          <a:off x="4815728" y="442165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508" name="Text Box 12"/>
        <xdr:cNvSpPr txBox="1">
          <a:spLocks noChangeArrowheads="1"/>
        </xdr:cNvSpPr>
      </xdr:nvSpPr>
      <xdr:spPr bwMode="auto">
        <a:xfrm flipH="1">
          <a:off x="4815728" y="442041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509" name="Text Box 4"/>
        <xdr:cNvSpPr txBox="1">
          <a:spLocks noChangeArrowheads="1"/>
        </xdr:cNvSpPr>
      </xdr:nvSpPr>
      <xdr:spPr bwMode="auto">
        <a:xfrm flipH="1">
          <a:off x="4815728" y="442135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510" name="Text Box 4"/>
        <xdr:cNvSpPr txBox="1">
          <a:spLocks noChangeArrowheads="1"/>
        </xdr:cNvSpPr>
      </xdr:nvSpPr>
      <xdr:spPr bwMode="auto">
        <a:xfrm flipH="1">
          <a:off x="4815728" y="491730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511" name="Text Box 12"/>
        <xdr:cNvSpPr txBox="1">
          <a:spLocks noChangeArrowheads="1"/>
        </xdr:cNvSpPr>
      </xdr:nvSpPr>
      <xdr:spPr bwMode="auto">
        <a:xfrm flipH="1">
          <a:off x="4815728" y="491814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512" name="Text Box 14"/>
        <xdr:cNvSpPr txBox="1">
          <a:spLocks noChangeArrowheads="1"/>
        </xdr:cNvSpPr>
      </xdr:nvSpPr>
      <xdr:spPr bwMode="auto">
        <a:xfrm flipH="1">
          <a:off x="4815728" y="491824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513" name="Text Box 16"/>
        <xdr:cNvSpPr txBox="1">
          <a:spLocks noChangeArrowheads="1"/>
        </xdr:cNvSpPr>
      </xdr:nvSpPr>
      <xdr:spPr bwMode="auto">
        <a:xfrm flipH="1">
          <a:off x="4815728" y="491824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514" name="Text Box 12"/>
        <xdr:cNvSpPr txBox="1">
          <a:spLocks noChangeArrowheads="1"/>
        </xdr:cNvSpPr>
      </xdr:nvSpPr>
      <xdr:spPr bwMode="auto">
        <a:xfrm flipH="1">
          <a:off x="4815728" y="491795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515" name="Text Box 4"/>
        <xdr:cNvSpPr txBox="1">
          <a:spLocks noChangeArrowheads="1"/>
        </xdr:cNvSpPr>
      </xdr:nvSpPr>
      <xdr:spPr bwMode="auto">
        <a:xfrm flipH="1">
          <a:off x="4815728" y="491793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1516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1517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1518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1519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1520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1521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1522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1523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1524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1525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1526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1527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39283</xdr:rowOff>
    </xdr:to>
    <xdr:sp macro="" textlink="">
      <xdr:nvSpPr>
        <xdr:cNvPr id="1528" name="Text Box 4"/>
        <xdr:cNvSpPr txBox="1">
          <a:spLocks noChangeArrowheads="1"/>
        </xdr:cNvSpPr>
      </xdr:nvSpPr>
      <xdr:spPr bwMode="auto">
        <a:xfrm flipH="1">
          <a:off x="5048250" y="491730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32725</xdr:rowOff>
    </xdr:to>
    <xdr:sp macro="" textlink="">
      <xdr:nvSpPr>
        <xdr:cNvPr id="1529" name="Text Box 12"/>
        <xdr:cNvSpPr txBox="1">
          <a:spLocks noChangeArrowheads="1"/>
        </xdr:cNvSpPr>
      </xdr:nvSpPr>
      <xdr:spPr bwMode="auto">
        <a:xfrm flipH="1">
          <a:off x="5048250" y="491814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34743</xdr:rowOff>
    </xdr:to>
    <xdr:sp macro="" textlink="">
      <xdr:nvSpPr>
        <xdr:cNvPr id="1530" name="Text Box 14"/>
        <xdr:cNvSpPr txBox="1">
          <a:spLocks noChangeArrowheads="1"/>
        </xdr:cNvSpPr>
      </xdr:nvSpPr>
      <xdr:spPr bwMode="auto">
        <a:xfrm flipH="1">
          <a:off x="5048250" y="491824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34742</xdr:rowOff>
    </xdr:to>
    <xdr:sp macro="" textlink="">
      <xdr:nvSpPr>
        <xdr:cNvPr id="1531" name="Text Box 16"/>
        <xdr:cNvSpPr txBox="1">
          <a:spLocks noChangeArrowheads="1"/>
        </xdr:cNvSpPr>
      </xdr:nvSpPr>
      <xdr:spPr bwMode="auto">
        <a:xfrm flipH="1">
          <a:off x="5048250" y="491824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30162</xdr:rowOff>
    </xdr:to>
    <xdr:sp macro="" textlink="">
      <xdr:nvSpPr>
        <xdr:cNvPr id="1532" name="Text Box 12"/>
        <xdr:cNvSpPr txBox="1">
          <a:spLocks noChangeArrowheads="1"/>
        </xdr:cNvSpPr>
      </xdr:nvSpPr>
      <xdr:spPr bwMode="auto">
        <a:xfrm flipH="1">
          <a:off x="5048250" y="491795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20664</xdr:rowOff>
    </xdr:to>
    <xdr:sp macro="" textlink="">
      <xdr:nvSpPr>
        <xdr:cNvPr id="1533" name="Text Box 4"/>
        <xdr:cNvSpPr txBox="1">
          <a:spLocks noChangeArrowheads="1"/>
        </xdr:cNvSpPr>
      </xdr:nvSpPr>
      <xdr:spPr bwMode="auto">
        <a:xfrm flipH="1">
          <a:off x="5048250" y="491793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80456</xdr:rowOff>
    </xdr:to>
    <xdr:sp macro="" textlink="">
      <xdr:nvSpPr>
        <xdr:cNvPr id="1534" name="Text Box 4"/>
        <xdr:cNvSpPr txBox="1">
          <a:spLocks noChangeArrowheads="1"/>
        </xdr:cNvSpPr>
      </xdr:nvSpPr>
      <xdr:spPr bwMode="auto">
        <a:xfrm flipH="1">
          <a:off x="5048250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24544</xdr:rowOff>
    </xdr:to>
    <xdr:sp macro="" textlink="">
      <xdr:nvSpPr>
        <xdr:cNvPr id="1535" name="Text Box 12"/>
        <xdr:cNvSpPr txBox="1">
          <a:spLocks noChangeArrowheads="1"/>
        </xdr:cNvSpPr>
      </xdr:nvSpPr>
      <xdr:spPr bwMode="auto">
        <a:xfrm flipH="1">
          <a:off x="5048250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23162</xdr:rowOff>
    </xdr:to>
    <xdr:sp macro="" textlink="">
      <xdr:nvSpPr>
        <xdr:cNvPr id="1536" name="Text Box 14"/>
        <xdr:cNvSpPr txBox="1">
          <a:spLocks noChangeArrowheads="1"/>
        </xdr:cNvSpPr>
      </xdr:nvSpPr>
      <xdr:spPr bwMode="auto">
        <a:xfrm flipH="1">
          <a:off x="5048250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23161</xdr:rowOff>
    </xdr:to>
    <xdr:sp macro="" textlink="">
      <xdr:nvSpPr>
        <xdr:cNvPr id="1537" name="Text Box 16"/>
        <xdr:cNvSpPr txBox="1">
          <a:spLocks noChangeArrowheads="1"/>
        </xdr:cNvSpPr>
      </xdr:nvSpPr>
      <xdr:spPr bwMode="auto">
        <a:xfrm flipH="1">
          <a:off x="5048250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80989</xdr:rowOff>
    </xdr:to>
    <xdr:sp macro="" textlink="">
      <xdr:nvSpPr>
        <xdr:cNvPr id="1538" name="Text Box 12"/>
        <xdr:cNvSpPr txBox="1">
          <a:spLocks noChangeArrowheads="1"/>
        </xdr:cNvSpPr>
      </xdr:nvSpPr>
      <xdr:spPr bwMode="auto">
        <a:xfrm flipH="1">
          <a:off x="5048250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30996</xdr:rowOff>
    </xdr:to>
    <xdr:sp macro="" textlink="">
      <xdr:nvSpPr>
        <xdr:cNvPr id="1539" name="Text Box 4"/>
        <xdr:cNvSpPr txBox="1">
          <a:spLocks noChangeArrowheads="1"/>
        </xdr:cNvSpPr>
      </xdr:nvSpPr>
      <xdr:spPr bwMode="auto">
        <a:xfrm flipH="1">
          <a:off x="5048250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80456</xdr:rowOff>
    </xdr:to>
    <xdr:sp macro="" textlink="">
      <xdr:nvSpPr>
        <xdr:cNvPr id="1540" name="Text Box 4"/>
        <xdr:cNvSpPr txBox="1">
          <a:spLocks noChangeArrowheads="1"/>
        </xdr:cNvSpPr>
      </xdr:nvSpPr>
      <xdr:spPr bwMode="auto">
        <a:xfrm flipH="1">
          <a:off x="5048250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24544</xdr:rowOff>
    </xdr:to>
    <xdr:sp macro="" textlink="">
      <xdr:nvSpPr>
        <xdr:cNvPr id="1541" name="Text Box 12"/>
        <xdr:cNvSpPr txBox="1">
          <a:spLocks noChangeArrowheads="1"/>
        </xdr:cNvSpPr>
      </xdr:nvSpPr>
      <xdr:spPr bwMode="auto">
        <a:xfrm flipH="1">
          <a:off x="5048250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23162</xdr:rowOff>
    </xdr:to>
    <xdr:sp macro="" textlink="">
      <xdr:nvSpPr>
        <xdr:cNvPr id="1542" name="Text Box 14"/>
        <xdr:cNvSpPr txBox="1">
          <a:spLocks noChangeArrowheads="1"/>
        </xdr:cNvSpPr>
      </xdr:nvSpPr>
      <xdr:spPr bwMode="auto">
        <a:xfrm flipH="1">
          <a:off x="5048250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23161</xdr:rowOff>
    </xdr:to>
    <xdr:sp macro="" textlink="">
      <xdr:nvSpPr>
        <xdr:cNvPr id="1543" name="Text Box 16"/>
        <xdr:cNvSpPr txBox="1">
          <a:spLocks noChangeArrowheads="1"/>
        </xdr:cNvSpPr>
      </xdr:nvSpPr>
      <xdr:spPr bwMode="auto">
        <a:xfrm flipH="1">
          <a:off x="5048250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80989</xdr:rowOff>
    </xdr:to>
    <xdr:sp macro="" textlink="">
      <xdr:nvSpPr>
        <xdr:cNvPr id="1544" name="Text Box 12"/>
        <xdr:cNvSpPr txBox="1">
          <a:spLocks noChangeArrowheads="1"/>
        </xdr:cNvSpPr>
      </xdr:nvSpPr>
      <xdr:spPr bwMode="auto">
        <a:xfrm flipH="1">
          <a:off x="5048250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30996</xdr:rowOff>
    </xdr:to>
    <xdr:sp macro="" textlink="">
      <xdr:nvSpPr>
        <xdr:cNvPr id="1545" name="Text Box 4"/>
        <xdr:cNvSpPr txBox="1">
          <a:spLocks noChangeArrowheads="1"/>
        </xdr:cNvSpPr>
      </xdr:nvSpPr>
      <xdr:spPr bwMode="auto">
        <a:xfrm flipH="1">
          <a:off x="5048250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546" name="Text Box 4"/>
        <xdr:cNvSpPr txBox="1">
          <a:spLocks noChangeArrowheads="1"/>
        </xdr:cNvSpPr>
      </xdr:nvSpPr>
      <xdr:spPr bwMode="auto">
        <a:xfrm flipH="1">
          <a:off x="4815728" y="491730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547" name="Text Box 12"/>
        <xdr:cNvSpPr txBox="1">
          <a:spLocks noChangeArrowheads="1"/>
        </xdr:cNvSpPr>
      </xdr:nvSpPr>
      <xdr:spPr bwMode="auto">
        <a:xfrm flipH="1">
          <a:off x="4815728" y="491814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548" name="Text Box 14"/>
        <xdr:cNvSpPr txBox="1">
          <a:spLocks noChangeArrowheads="1"/>
        </xdr:cNvSpPr>
      </xdr:nvSpPr>
      <xdr:spPr bwMode="auto">
        <a:xfrm flipH="1">
          <a:off x="4815728" y="491824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549" name="Text Box 16"/>
        <xdr:cNvSpPr txBox="1">
          <a:spLocks noChangeArrowheads="1"/>
        </xdr:cNvSpPr>
      </xdr:nvSpPr>
      <xdr:spPr bwMode="auto">
        <a:xfrm flipH="1">
          <a:off x="4815728" y="491824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550" name="Text Box 12"/>
        <xdr:cNvSpPr txBox="1">
          <a:spLocks noChangeArrowheads="1"/>
        </xdr:cNvSpPr>
      </xdr:nvSpPr>
      <xdr:spPr bwMode="auto">
        <a:xfrm flipH="1">
          <a:off x="4815728" y="491795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551" name="Text Box 4"/>
        <xdr:cNvSpPr txBox="1">
          <a:spLocks noChangeArrowheads="1"/>
        </xdr:cNvSpPr>
      </xdr:nvSpPr>
      <xdr:spPr bwMode="auto">
        <a:xfrm flipH="1">
          <a:off x="4815728" y="491793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1552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1553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1554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1555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1556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1557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1558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1559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1560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1561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1562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1563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39283</xdr:rowOff>
    </xdr:to>
    <xdr:sp macro="" textlink="">
      <xdr:nvSpPr>
        <xdr:cNvPr id="1564" name="Text Box 4"/>
        <xdr:cNvSpPr txBox="1">
          <a:spLocks noChangeArrowheads="1"/>
        </xdr:cNvSpPr>
      </xdr:nvSpPr>
      <xdr:spPr bwMode="auto">
        <a:xfrm flipH="1">
          <a:off x="5048250" y="491730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32725</xdr:rowOff>
    </xdr:to>
    <xdr:sp macro="" textlink="">
      <xdr:nvSpPr>
        <xdr:cNvPr id="1565" name="Text Box 12"/>
        <xdr:cNvSpPr txBox="1">
          <a:spLocks noChangeArrowheads="1"/>
        </xdr:cNvSpPr>
      </xdr:nvSpPr>
      <xdr:spPr bwMode="auto">
        <a:xfrm flipH="1">
          <a:off x="5048250" y="491814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34743</xdr:rowOff>
    </xdr:to>
    <xdr:sp macro="" textlink="">
      <xdr:nvSpPr>
        <xdr:cNvPr id="1566" name="Text Box 14"/>
        <xdr:cNvSpPr txBox="1">
          <a:spLocks noChangeArrowheads="1"/>
        </xdr:cNvSpPr>
      </xdr:nvSpPr>
      <xdr:spPr bwMode="auto">
        <a:xfrm flipH="1">
          <a:off x="5048250" y="491824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34742</xdr:rowOff>
    </xdr:to>
    <xdr:sp macro="" textlink="">
      <xdr:nvSpPr>
        <xdr:cNvPr id="1567" name="Text Box 16"/>
        <xdr:cNvSpPr txBox="1">
          <a:spLocks noChangeArrowheads="1"/>
        </xdr:cNvSpPr>
      </xdr:nvSpPr>
      <xdr:spPr bwMode="auto">
        <a:xfrm flipH="1">
          <a:off x="5048250" y="491824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30162</xdr:rowOff>
    </xdr:to>
    <xdr:sp macro="" textlink="">
      <xdr:nvSpPr>
        <xdr:cNvPr id="1568" name="Text Box 12"/>
        <xdr:cNvSpPr txBox="1">
          <a:spLocks noChangeArrowheads="1"/>
        </xdr:cNvSpPr>
      </xdr:nvSpPr>
      <xdr:spPr bwMode="auto">
        <a:xfrm flipH="1">
          <a:off x="5048250" y="491795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20664</xdr:rowOff>
    </xdr:to>
    <xdr:sp macro="" textlink="">
      <xdr:nvSpPr>
        <xdr:cNvPr id="1569" name="Text Box 4"/>
        <xdr:cNvSpPr txBox="1">
          <a:spLocks noChangeArrowheads="1"/>
        </xdr:cNvSpPr>
      </xdr:nvSpPr>
      <xdr:spPr bwMode="auto">
        <a:xfrm flipH="1">
          <a:off x="5048250" y="491793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80456</xdr:rowOff>
    </xdr:to>
    <xdr:sp macro="" textlink="">
      <xdr:nvSpPr>
        <xdr:cNvPr id="1570" name="Text Box 4"/>
        <xdr:cNvSpPr txBox="1">
          <a:spLocks noChangeArrowheads="1"/>
        </xdr:cNvSpPr>
      </xdr:nvSpPr>
      <xdr:spPr bwMode="auto">
        <a:xfrm flipH="1">
          <a:off x="5048250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24544</xdr:rowOff>
    </xdr:to>
    <xdr:sp macro="" textlink="">
      <xdr:nvSpPr>
        <xdr:cNvPr id="1571" name="Text Box 12"/>
        <xdr:cNvSpPr txBox="1">
          <a:spLocks noChangeArrowheads="1"/>
        </xdr:cNvSpPr>
      </xdr:nvSpPr>
      <xdr:spPr bwMode="auto">
        <a:xfrm flipH="1">
          <a:off x="5048250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23162</xdr:rowOff>
    </xdr:to>
    <xdr:sp macro="" textlink="">
      <xdr:nvSpPr>
        <xdr:cNvPr id="1572" name="Text Box 14"/>
        <xdr:cNvSpPr txBox="1">
          <a:spLocks noChangeArrowheads="1"/>
        </xdr:cNvSpPr>
      </xdr:nvSpPr>
      <xdr:spPr bwMode="auto">
        <a:xfrm flipH="1">
          <a:off x="5048250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23161</xdr:rowOff>
    </xdr:to>
    <xdr:sp macro="" textlink="">
      <xdr:nvSpPr>
        <xdr:cNvPr id="1573" name="Text Box 16"/>
        <xdr:cNvSpPr txBox="1">
          <a:spLocks noChangeArrowheads="1"/>
        </xdr:cNvSpPr>
      </xdr:nvSpPr>
      <xdr:spPr bwMode="auto">
        <a:xfrm flipH="1">
          <a:off x="5048250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80989</xdr:rowOff>
    </xdr:to>
    <xdr:sp macro="" textlink="">
      <xdr:nvSpPr>
        <xdr:cNvPr id="1574" name="Text Box 12"/>
        <xdr:cNvSpPr txBox="1">
          <a:spLocks noChangeArrowheads="1"/>
        </xdr:cNvSpPr>
      </xdr:nvSpPr>
      <xdr:spPr bwMode="auto">
        <a:xfrm flipH="1">
          <a:off x="5048250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30996</xdr:rowOff>
    </xdr:to>
    <xdr:sp macro="" textlink="">
      <xdr:nvSpPr>
        <xdr:cNvPr id="1575" name="Text Box 4"/>
        <xdr:cNvSpPr txBox="1">
          <a:spLocks noChangeArrowheads="1"/>
        </xdr:cNvSpPr>
      </xdr:nvSpPr>
      <xdr:spPr bwMode="auto">
        <a:xfrm flipH="1">
          <a:off x="5048250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80456</xdr:rowOff>
    </xdr:to>
    <xdr:sp macro="" textlink="">
      <xdr:nvSpPr>
        <xdr:cNvPr id="1576" name="Text Box 4"/>
        <xdr:cNvSpPr txBox="1">
          <a:spLocks noChangeArrowheads="1"/>
        </xdr:cNvSpPr>
      </xdr:nvSpPr>
      <xdr:spPr bwMode="auto">
        <a:xfrm flipH="1">
          <a:off x="5048250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24544</xdr:rowOff>
    </xdr:to>
    <xdr:sp macro="" textlink="">
      <xdr:nvSpPr>
        <xdr:cNvPr id="1577" name="Text Box 12"/>
        <xdr:cNvSpPr txBox="1">
          <a:spLocks noChangeArrowheads="1"/>
        </xdr:cNvSpPr>
      </xdr:nvSpPr>
      <xdr:spPr bwMode="auto">
        <a:xfrm flipH="1">
          <a:off x="5048250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23162</xdr:rowOff>
    </xdr:to>
    <xdr:sp macro="" textlink="">
      <xdr:nvSpPr>
        <xdr:cNvPr id="1578" name="Text Box 14"/>
        <xdr:cNvSpPr txBox="1">
          <a:spLocks noChangeArrowheads="1"/>
        </xdr:cNvSpPr>
      </xdr:nvSpPr>
      <xdr:spPr bwMode="auto">
        <a:xfrm flipH="1">
          <a:off x="5048250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23161</xdr:rowOff>
    </xdr:to>
    <xdr:sp macro="" textlink="">
      <xdr:nvSpPr>
        <xdr:cNvPr id="1579" name="Text Box 16"/>
        <xdr:cNvSpPr txBox="1">
          <a:spLocks noChangeArrowheads="1"/>
        </xdr:cNvSpPr>
      </xdr:nvSpPr>
      <xdr:spPr bwMode="auto">
        <a:xfrm flipH="1">
          <a:off x="5048250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80989</xdr:rowOff>
    </xdr:to>
    <xdr:sp macro="" textlink="">
      <xdr:nvSpPr>
        <xdr:cNvPr id="1580" name="Text Box 12"/>
        <xdr:cNvSpPr txBox="1">
          <a:spLocks noChangeArrowheads="1"/>
        </xdr:cNvSpPr>
      </xdr:nvSpPr>
      <xdr:spPr bwMode="auto">
        <a:xfrm flipH="1">
          <a:off x="5048250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30996</xdr:rowOff>
    </xdr:to>
    <xdr:sp macro="" textlink="">
      <xdr:nvSpPr>
        <xdr:cNvPr id="1581" name="Text Box 4"/>
        <xdr:cNvSpPr txBox="1">
          <a:spLocks noChangeArrowheads="1"/>
        </xdr:cNvSpPr>
      </xdr:nvSpPr>
      <xdr:spPr bwMode="auto">
        <a:xfrm flipH="1">
          <a:off x="5048250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1582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1583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1584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1585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1586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1587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1588" name="Text Box 4"/>
        <xdr:cNvSpPr txBox="1">
          <a:spLocks noChangeArrowheads="1"/>
        </xdr:cNvSpPr>
      </xdr:nvSpPr>
      <xdr:spPr bwMode="auto">
        <a:xfrm flipH="1">
          <a:off x="4815728" y="442071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1589" name="Text Box 12"/>
        <xdr:cNvSpPr txBox="1">
          <a:spLocks noChangeArrowheads="1"/>
        </xdr:cNvSpPr>
      </xdr:nvSpPr>
      <xdr:spPr bwMode="auto">
        <a:xfrm flipH="1">
          <a:off x="4815728" y="442155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1590" name="Text Box 14"/>
        <xdr:cNvSpPr txBox="1">
          <a:spLocks noChangeArrowheads="1"/>
        </xdr:cNvSpPr>
      </xdr:nvSpPr>
      <xdr:spPr bwMode="auto">
        <a:xfrm flipH="1">
          <a:off x="4815728" y="442165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1591" name="Text Box 16"/>
        <xdr:cNvSpPr txBox="1">
          <a:spLocks noChangeArrowheads="1"/>
        </xdr:cNvSpPr>
      </xdr:nvSpPr>
      <xdr:spPr bwMode="auto">
        <a:xfrm flipH="1">
          <a:off x="4815728" y="442165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1592" name="Text Box 12"/>
        <xdr:cNvSpPr txBox="1">
          <a:spLocks noChangeArrowheads="1"/>
        </xdr:cNvSpPr>
      </xdr:nvSpPr>
      <xdr:spPr bwMode="auto">
        <a:xfrm flipH="1">
          <a:off x="4815728" y="442041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1593" name="Text Box 4"/>
        <xdr:cNvSpPr txBox="1">
          <a:spLocks noChangeArrowheads="1"/>
        </xdr:cNvSpPr>
      </xdr:nvSpPr>
      <xdr:spPr bwMode="auto">
        <a:xfrm flipH="1">
          <a:off x="4815728" y="442135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594" name="Text Box 4"/>
        <xdr:cNvSpPr txBox="1">
          <a:spLocks noChangeArrowheads="1"/>
        </xdr:cNvSpPr>
      </xdr:nvSpPr>
      <xdr:spPr bwMode="auto">
        <a:xfrm flipH="1">
          <a:off x="4815728" y="491730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595" name="Text Box 12"/>
        <xdr:cNvSpPr txBox="1">
          <a:spLocks noChangeArrowheads="1"/>
        </xdr:cNvSpPr>
      </xdr:nvSpPr>
      <xdr:spPr bwMode="auto">
        <a:xfrm flipH="1">
          <a:off x="4815728" y="491814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596" name="Text Box 14"/>
        <xdr:cNvSpPr txBox="1">
          <a:spLocks noChangeArrowheads="1"/>
        </xdr:cNvSpPr>
      </xdr:nvSpPr>
      <xdr:spPr bwMode="auto">
        <a:xfrm flipH="1">
          <a:off x="4815728" y="491824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597" name="Text Box 16"/>
        <xdr:cNvSpPr txBox="1">
          <a:spLocks noChangeArrowheads="1"/>
        </xdr:cNvSpPr>
      </xdr:nvSpPr>
      <xdr:spPr bwMode="auto">
        <a:xfrm flipH="1">
          <a:off x="4815728" y="491824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598" name="Text Box 12"/>
        <xdr:cNvSpPr txBox="1">
          <a:spLocks noChangeArrowheads="1"/>
        </xdr:cNvSpPr>
      </xdr:nvSpPr>
      <xdr:spPr bwMode="auto">
        <a:xfrm flipH="1">
          <a:off x="4815728" y="491795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599" name="Text Box 4"/>
        <xdr:cNvSpPr txBox="1">
          <a:spLocks noChangeArrowheads="1"/>
        </xdr:cNvSpPr>
      </xdr:nvSpPr>
      <xdr:spPr bwMode="auto">
        <a:xfrm flipH="1">
          <a:off x="4815728" y="491793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00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01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02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03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04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05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06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07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08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09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10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11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1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1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1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1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1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1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1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1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2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2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2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2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624" name="Text Box 4"/>
        <xdr:cNvSpPr txBox="1">
          <a:spLocks noChangeArrowheads="1"/>
        </xdr:cNvSpPr>
      </xdr:nvSpPr>
      <xdr:spPr bwMode="auto">
        <a:xfrm flipH="1">
          <a:off x="4815728" y="491730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625" name="Text Box 12"/>
        <xdr:cNvSpPr txBox="1">
          <a:spLocks noChangeArrowheads="1"/>
        </xdr:cNvSpPr>
      </xdr:nvSpPr>
      <xdr:spPr bwMode="auto">
        <a:xfrm flipH="1">
          <a:off x="4815728" y="491814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626" name="Text Box 14"/>
        <xdr:cNvSpPr txBox="1">
          <a:spLocks noChangeArrowheads="1"/>
        </xdr:cNvSpPr>
      </xdr:nvSpPr>
      <xdr:spPr bwMode="auto">
        <a:xfrm flipH="1">
          <a:off x="4815728" y="491824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627" name="Text Box 16"/>
        <xdr:cNvSpPr txBox="1">
          <a:spLocks noChangeArrowheads="1"/>
        </xdr:cNvSpPr>
      </xdr:nvSpPr>
      <xdr:spPr bwMode="auto">
        <a:xfrm flipH="1">
          <a:off x="4815728" y="491824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628" name="Text Box 12"/>
        <xdr:cNvSpPr txBox="1">
          <a:spLocks noChangeArrowheads="1"/>
        </xdr:cNvSpPr>
      </xdr:nvSpPr>
      <xdr:spPr bwMode="auto">
        <a:xfrm flipH="1">
          <a:off x="4815728" y="491795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629" name="Text Box 4"/>
        <xdr:cNvSpPr txBox="1">
          <a:spLocks noChangeArrowheads="1"/>
        </xdr:cNvSpPr>
      </xdr:nvSpPr>
      <xdr:spPr bwMode="auto">
        <a:xfrm flipH="1">
          <a:off x="4815728" y="491793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30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31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32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33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34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35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36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37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38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39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40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41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4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4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4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4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4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4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4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4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5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5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5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5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654" name="Text Box 4"/>
        <xdr:cNvSpPr txBox="1">
          <a:spLocks noChangeArrowheads="1"/>
        </xdr:cNvSpPr>
      </xdr:nvSpPr>
      <xdr:spPr bwMode="auto">
        <a:xfrm flipH="1">
          <a:off x="4815728" y="491730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655" name="Text Box 12"/>
        <xdr:cNvSpPr txBox="1">
          <a:spLocks noChangeArrowheads="1"/>
        </xdr:cNvSpPr>
      </xdr:nvSpPr>
      <xdr:spPr bwMode="auto">
        <a:xfrm flipH="1">
          <a:off x="4815728" y="491814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656" name="Text Box 14"/>
        <xdr:cNvSpPr txBox="1">
          <a:spLocks noChangeArrowheads="1"/>
        </xdr:cNvSpPr>
      </xdr:nvSpPr>
      <xdr:spPr bwMode="auto">
        <a:xfrm flipH="1">
          <a:off x="4815728" y="491824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657" name="Text Box 16"/>
        <xdr:cNvSpPr txBox="1">
          <a:spLocks noChangeArrowheads="1"/>
        </xdr:cNvSpPr>
      </xdr:nvSpPr>
      <xdr:spPr bwMode="auto">
        <a:xfrm flipH="1">
          <a:off x="4815728" y="491824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658" name="Text Box 12"/>
        <xdr:cNvSpPr txBox="1">
          <a:spLocks noChangeArrowheads="1"/>
        </xdr:cNvSpPr>
      </xdr:nvSpPr>
      <xdr:spPr bwMode="auto">
        <a:xfrm flipH="1">
          <a:off x="4815728" y="491795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659" name="Text Box 4"/>
        <xdr:cNvSpPr txBox="1">
          <a:spLocks noChangeArrowheads="1"/>
        </xdr:cNvSpPr>
      </xdr:nvSpPr>
      <xdr:spPr bwMode="auto">
        <a:xfrm flipH="1">
          <a:off x="4815728" y="491793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60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61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62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63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64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65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66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67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68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69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70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71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7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7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7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7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7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7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7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7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8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8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8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68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684" name="Text Box 4"/>
        <xdr:cNvSpPr txBox="1">
          <a:spLocks noChangeArrowheads="1"/>
        </xdr:cNvSpPr>
      </xdr:nvSpPr>
      <xdr:spPr bwMode="auto">
        <a:xfrm flipH="1">
          <a:off x="4815728" y="491730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685" name="Text Box 12"/>
        <xdr:cNvSpPr txBox="1">
          <a:spLocks noChangeArrowheads="1"/>
        </xdr:cNvSpPr>
      </xdr:nvSpPr>
      <xdr:spPr bwMode="auto">
        <a:xfrm flipH="1">
          <a:off x="4815728" y="491814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686" name="Text Box 14"/>
        <xdr:cNvSpPr txBox="1">
          <a:spLocks noChangeArrowheads="1"/>
        </xdr:cNvSpPr>
      </xdr:nvSpPr>
      <xdr:spPr bwMode="auto">
        <a:xfrm flipH="1">
          <a:off x="4815728" y="491824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687" name="Text Box 16"/>
        <xdr:cNvSpPr txBox="1">
          <a:spLocks noChangeArrowheads="1"/>
        </xdr:cNvSpPr>
      </xdr:nvSpPr>
      <xdr:spPr bwMode="auto">
        <a:xfrm flipH="1">
          <a:off x="4815728" y="491824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688" name="Text Box 12"/>
        <xdr:cNvSpPr txBox="1">
          <a:spLocks noChangeArrowheads="1"/>
        </xdr:cNvSpPr>
      </xdr:nvSpPr>
      <xdr:spPr bwMode="auto">
        <a:xfrm flipH="1">
          <a:off x="4815728" y="491795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689" name="Text Box 4"/>
        <xdr:cNvSpPr txBox="1">
          <a:spLocks noChangeArrowheads="1"/>
        </xdr:cNvSpPr>
      </xdr:nvSpPr>
      <xdr:spPr bwMode="auto">
        <a:xfrm flipH="1">
          <a:off x="4815728" y="491793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690" name="Text Box 4"/>
        <xdr:cNvSpPr txBox="1">
          <a:spLocks noChangeArrowheads="1"/>
        </xdr:cNvSpPr>
      </xdr:nvSpPr>
      <xdr:spPr bwMode="auto">
        <a:xfrm flipH="1">
          <a:off x="4815728" y="491730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691" name="Text Box 12"/>
        <xdr:cNvSpPr txBox="1">
          <a:spLocks noChangeArrowheads="1"/>
        </xdr:cNvSpPr>
      </xdr:nvSpPr>
      <xdr:spPr bwMode="auto">
        <a:xfrm flipH="1">
          <a:off x="4815728" y="491814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692" name="Text Box 14"/>
        <xdr:cNvSpPr txBox="1">
          <a:spLocks noChangeArrowheads="1"/>
        </xdr:cNvSpPr>
      </xdr:nvSpPr>
      <xdr:spPr bwMode="auto">
        <a:xfrm flipH="1">
          <a:off x="4815728" y="491824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693" name="Text Box 16"/>
        <xdr:cNvSpPr txBox="1">
          <a:spLocks noChangeArrowheads="1"/>
        </xdr:cNvSpPr>
      </xdr:nvSpPr>
      <xdr:spPr bwMode="auto">
        <a:xfrm flipH="1">
          <a:off x="4815728" y="491824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694" name="Text Box 12"/>
        <xdr:cNvSpPr txBox="1">
          <a:spLocks noChangeArrowheads="1"/>
        </xdr:cNvSpPr>
      </xdr:nvSpPr>
      <xdr:spPr bwMode="auto">
        <a:xfrm flipH="1">
          <a:off x="4815728" y="491795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695" name="Text Box 4"/>
        <xdr:cNvSpPr txBox="1">
          <a:spLocks noChangeArrowheads="1"/>
        </xdr:cNvSpPr>
      </xdr:nvSpPr>
      <xdr:spPr bwMode="auto">
        <a:xfrm flipH="1">
          <a:off x="4815728" y="491793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696" name="Text Box 4"/>
        <xdr:cNvSpPr txBox="1">
          <a:spLocks noChangeArrowheads="1"/>
        </xdr:cNvSpPr>
      </xdr:nvSpPr>
      <xdr:spPr bwMode="auto">
        <a:xfrm flipH="1">
          <a:off x="4815728" y="491730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697" name="Text Box 12"/>
        <xdr:cNvSpPr txBox="1">
          <a:spLocks noChangeArrowheads="1"/>
        </xdr:cNvSpPr>
      </xdr:nvSpPr>
      <xdr:spPr bwMode="auto">
        <a:xfrm flipH="1">
          <a:off x="4815728" y="491814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698" name="Text Box 14"/>
        <xdr:cNvSpPr txBox="1">
          <a:spLocks noChangeArrowheads="1"/>
        </xdr:cNvSpPr>
      </xdr:nvSpPr>
      <xdr:spPr bwMode="auto">
        <a:xfrm flipH="1">
          <a:off x="4815728" y="491824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699" name="Text Box 16"/>
        <xdr:cNvSpPr txBox="1">
          <a:spLocks noChangeArrowheads="1"/>
        </xdr:cNvSpPr>
      </xdr:nvSpPr>
      <xdr:spPr bwMode="auto">
        <a:xfrm flipH="1">
          <a:off x="4815728" y="491824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700" name="Text Box 12"/>
        <xdr:cNvSpPr txBox="1">
          <a:spLocks noChangeArrowheads="1"/>
        </xdr:cNvSpPr>
      </xdr:nvSpPr>
      <xdr:spPr bwMode="auto">
        <a:xfrm flipH="1">
          <a:off x="4815728" y="491795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701" name="Text Box 4"/>
        <xdr:cNvSpPr txBox="1">
          <a:spLocks noChangeArrowheads="1"/>
        </xdr:cNvSpPr>
      </xdr:nvSpPr>
      <xdr:spPr bwMode="auto">
        <a:xfrm flipH="1">
          <a:off x="4815728" y="491793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0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0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0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0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0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0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0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0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1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1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1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1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14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15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16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17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18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19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20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21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22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23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24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25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26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27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28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29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30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31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3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3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3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3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3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3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3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3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4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4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4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4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44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45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46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47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48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49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50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51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52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53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54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55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56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57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58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59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60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61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6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6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6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6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6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6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68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69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70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71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72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73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774" name="Text Box 4"/>
        <xdr:cNvSpPr txBox="1">
          <a:spLocks noChangeArrowheads="1"/>
        </xdr:cNvSpPr>
      </xdr:nvSpPr>
      <xdr:spPr bwMode="auto">
        <a:xfrm flipH="1">
          <a:off x="4815728" y="491730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775" name="Text Box 12"/>
        <xdr:cNvSpPr txBox="1">
          <a:spLocks noChangeArrowheads="1"/>
        </xdr:cNvSpPr>
      </xdr:nvSpPr>
      <xdr:spPr bwMode="auto">
        <a:xfrm flipH="1">
          <a:off x="4815728" y="491814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776" name="Text Box 14"/>
        <xdr:cNvSpPr txBox="1">
          <a:spLocks noChangeArrowheads="1"/>
        </xdr:cNvSpPr>
      </xdr:nvSpPr>
      <xdr:spPr bwMode="auto">
        <a:xfrm flipH="1">
          <a:off x="4815728" y="491824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777" name="Text Box 16"/>
        <xdr:cNvSpPr txBox="1">
          <a:spLocks noChangeArrowheads="1"/>
        </xdr:cNvSpPr>
      </xdr:nvSpPr>
      <xdr:spPr bwMode="auto">
        <a:xfrm flipH="1">
          <a:off x="4815728" y="491824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778" name="Text Box 12"/>
        <xdr:cNvSpPr txBox="1">
          <a:spLocks noChangeArrowheads="1"/>
        </xdr:cNvSpPr>
      </xdr:nvSpPr>
      <xdr:spPr bwMode="auto">
        <a:xfrm flipH="1">
          <a:off x="4815728" y="491795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779" name="Text Box 4"/>
        <xdr:cNvSpPr txBox="1">
          <a:spLocks noChangeArrowheads="1"/>
        </xdr:cNvSpPr>
      </xdr:nvSpPr>
      <xdr:spPr bwMode="auto">
        <a:xfrm flipH="1">
          <a:off x="4815728" y="491793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780" name="Text Box 4"/>
        <xdr:cNvSpPr txBox="1">
          <a:spLocks noChangeArrowheads="1"/>
        </xdr:cNvSpPr>
      </xdr:nvSpPr>
      <xdr:spPr bwMode="auto">
        <a:xfrm flipH="1">
          <a:off x="4815728" y="491730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781" name="Text Box 12"/>
        <xdr:cNvSpPr txBox="1">
          <a:spLocks noChangeArrowheads="1"/>
        </xdr:cNvSpPr>
      </xdr:nvSpPr>
      <xdr:spPr bwMode="auto">
        <a:xfrm flipH="1">
          <a:off x="4815728" y="491814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782" name="Text Box 14"/>
        <xdr:cNvSpPr txBox="1">
          <a:spLocks noChangeArrowheads="1"/>
        </xdr:cNvSpPr>
      </xdr:nvSpPr>
      <xdr:spPr bwMode="auto">
        <a:xfrm flipH="1">
          <a:off x="4815728" y="491824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783" name="Text Box 16"/>
        <xdr:cNvSpPr txBox="1">
          <a:spLocks noChangeArrowheads="1"/>
        </xdr:cNvSpPr>
      </xdr:nvSpPr>
      <xdr:spPr bwMode="auto">
        <a:xfrm flipH="1">
          <a:off x="4815728" y="491824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784" name="Text Box 12"/>
        <xdr:cNvSpPr txBox="1">
          <a:spLocks noChangeArrowheads="1"/>
        </xdr:cNvSpPr>
      </xdr:nvSpPr>
      <xdr:spPr bwMode="auto">
        <a:xfrm flipH="1">
          <a:off x="4815728" y="491795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785" name="Text Box 4"/>
        <xdr:cNvSpPr txBox="1">
          <a:spLocks noChangeArrowheads="1"/>
        </xdr:cNvSpPr>
      </xdr:nvSpPr>
      <xdr:spPr bwMode="auto">
        <a:xfrm flipH="1">
          <a:off x="4815728" y="491793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786" name="Text Box 4"/>
        <xdr:cNvSpPr txBox="1">
          <a:spLocks noChangeArrowheads="1"/>
        </xdr:cNvSpPr>
      </xdr:nvSpPr>
      <xdr:spPr bwMode="auto">
        <a:xfrm flipH="1">
          <a:off x="4815728" y="491730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787" name="Text Box 12"/>
        <xdr:cNvSpPr txBox="1">
          <a:spLocks noChangeArrowheads="1"/>
        </xdr:cNvSpPr>
      </xdr:nvSpPr>
      <xdr:spPr bwMode="auto">
        <a:xfrm flipH="1">
          <a:off x="4815728" y="491814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788" name="Text Box 14"/>
        <xdr:cNvSpPr txBox="1">
          <a:spLocks noChangeArrowheads="1"/>
        </xdr:cNvSpPr>
      </xdr:nvSpPr>
      <xdr:spPr bwMode="auto">
        <a:xfrm flipH="1">
          <a:off x="4815728" y="491824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789" name="Text Box 16"/>
        <xdr:cNvSpPr txBox="1">
          <a:spLocks noChangeArrowheads="1"/>
        </xdr:cNvSpPr>
      </xdr:nvSpPr>
      <xdr:spPr bwMode="auto">
        <a:xfrm flipH="1">
          <a:off x="4815728" y="491824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790" name="Text Box 12"/>
        <xdr:cNvSpPr txBox="1">
          <a:spLocks noChangeArrowheads="1"/>
        </xdr:cNvSpPr>
      </xdr:nvSpPr>
      <xdr:spPr bwMode="auto">
        <a:xfrm flipH="1">
          <a:off x="4815728" y="491795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791" name="Text Box 4"/>
        <xdr:cNvSpPr txBox="1">
          <a:spLocks noChangeArrowheads="1"/>
        </xdr:cNvSpPr>
      </xdr:nvSpPr>
      <xdr:spPr bwMode="auto">
        <a:xfrm flipH="1">
          <a:off x="4815728" y="491793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92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93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94" name="Text Box 1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95" name="Text Box 16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96" name="Text Box 12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1797" name="Text Box 4"/>
        <xdr:cNvSpPr txBox="1">
          <a:spLocks noChangeArrowheads="1"/>
        </xdr:cNvSpPr>
      </xdr:nvSpPr>
      <xdr:spPr bwMode="auto">
        <a:xfrm flipH="1">
          <a:off x="4815728" y="43005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34743</xdr:rowOff>
    </xdr:to>
    <xdr:sp macro="" textlink="">
      <xdr:nvSpPr>
        <xdr:cNvPr id="1798" name="Text Box 14"/>
        <xdr:cNvSpPr txBox="1">
          <a:spLocks noChangeArrowheads="1"/>
        </xdr:cNvSpPr>
      </xdr:nvSpPr>
      <xdr:spPr bwMode="auto">
        <a:xfrm flipH="1">
          <a:off x="5048250" y="488395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34742</xdr:rowOff>
    </xdr:to>
    <xdr:sp macro="" textlink="">
      <xdr:nvSpPr>
        <xdr:cNvPr id="1799" name="Text Box 16"/>
        <xdr:cNvSpPr txBox="1">
          <a:spLocks noChangeArrowheads="1"/>
        </xdr:cNvSpPr>
      </xdr:nvSpPr>
      <xdr:spPr bwMode="auto">
        <a:xfrm flipH="1">
          <a:off x="5048250" y="488395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30162</xdr:rowOff>
    </xdr:to>
    <xdr:sp macro="" textlink="">
      <xdr:nvSpPr>
        <xdr:cNvPr id="1800" name="Text Box 12"/>
        <xdr:cNvSpPr txBox="1">
          <a:spLocks noChangeArrowheads="1"/>
        </xdr:cNvSpPr>
      </xdr:nvSpPr>
      <xdr:spPr bwMode="auto">
        <a:xfrm flipH="1">
          <a:off x="5048250" y="488366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20664</xdr:rowOff>
    </xdr:to>
    <xdr:sp macro="" textlink="">
      <xdr:nvSpPr>
        <xdr:cNvPr id="1801" name="Text Box 4"/>
        <xdr:cNvSpPr txBox="1">
          <a:spLocks noChangeArrowheads="1"/>
        </xdr:cNvSpPr>
      </xdr:nvSpPr>
      <xdr:spPr bwMode="auto">
        <a:xfrm flipH="1">
          <a:off x="5048250" y="488364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27557</xdr:rowOff>
    </xdr:to>
    <xdr:sp macro="" textlink="">
      <xdr:nvSpPr>
        <xdr:cNvPr id="1802" name="Text Box 4"/>
        <xdr:cNvSpPr txBox="1">
          <a:spLocks noChangeArrowheads="1"/>
        </xdr:cNvSpPr>
      </xdr:nvSpPr>
      <xdr:spPr bwMode="auto">
        <a:xfrm flipH="1">
          <a:off x="4815728" y="4402953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03" name="Text Box 12"/>
        <xdr:cNvSpPr txBox="1">
          <a:spLocks noChangeArrowheads="1"/>
        </xdr:cNvSpPr>
      </xdr:nvSpPr>
      <xdr:spPr bwMode="auto">
        <a:xfrm flipH="1">
          <a:off x="4815728" y="4403794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04" name="Text Box 14"/>
        <xdr:cNvSpPr txBox="1">
          <a:spLocks noChangeArrowheads="1"/>
        </xdr:cNvSpPr>
      </xdr:nvSpPr>
      <xdr:spPr bwMode="auto">
        <a:xfrm flipH="1">
          <a:off x="4815728" y="4403897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05" name="Text Box 16"/>
        <xdr:cNvSpPr txBox="1">
          <a:spLocks noChangeArrowheads="1"/>
        </xdr:cNvSpPr>
      </xdr:nvSpPr>
      <xdr:spPr bwMode="auto">
        <a:xfrm flipH="1">
          <a:off x="4815728" y="4403897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06" name="Text Box 12"/>
        <xdr:cNvSpPr txBox="1">
          <a:spLocks noChangeArrowheads="1"/>
        </xdr:cNvSpPr>
      </xdr:nvSpPr>
      <xdr:spPr bwMode="auto">
        <a:xfrm flipH="1">
          <a:off x="4815728" y="4403603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13044</xdr:rowOff>
    </xdr:to>
    <xdr:sp macro="" textlink="">
      <xdr:nvSpPr>
        <xdr:cNvPr id="1807" name="Text Box 4"/>
        <xdr:cNvSpPr txBox="1">
          <a:spLocks noChangeArrowheads="1"/>
        </xdr:cNvSpPr>
      </xdr:nvSpPr>
      <xdr:spPr bwMode="auto">
        <a:xfrm flipH="1">
          <a:off x="4815728" y="4403588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808" name="Text Box 4"/>
        <xdr:cNvSpPr txBox="1">
          <a:spLocks noChangeArrowheads="1"/>
        </xdr:cNvSpPr>
      </xdr:nvSpPr>
      <xdr:spPr bwMode="auto">
        <a:xfrm flipH="1">
          <a:off x="5048250" y="390620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809" name="Text Box 12"/>
        <xdr:cNvSpPr txBox="1">
          <a:spLocks noChangeArrowheads="1"/>
        </xdr:cNvSpPr>
      </xdr:nvSpPr>
      <xdr:spPr bwMode="auto">
        <a:xfrm flipH="1">
          <a:off x="4815728" y="390720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810" name="Text Box 14"/>
        <xdr:cNvSpPr txBox="1">
          <a:spLocks noChangeArrowheads="1"/>
        </xdr:cNvSpPr>
      </xdr:nvSpPr>
      <xdr:spPr bwMode="auto">
        <a:xfrm flipH="1">
          <a:off x="4815728" y="390730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811" name="Text Box 16"/>
        <xdr:cNvSpPr txBox="1">
          <a:spLocks noChangeArrowheads="1"/>
        </xdr:cNvSpPr>
      </xdr:nvSpPr>
      <xdr:spPr bwMode="auto">
        <a:xfrm flipH="1">
          <a:off x="4815728" y="390730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12" name="Text Box 12"/>
        <xdr:cNvSpPr txBox="1">
          <a:spLocks noChangeArrowheads="1"/>
        </xdr:cNvSpPr>
      </xdr:nvSpPr>
      <xdr:spPr bwMode="auto">
        <a:xfrm flipH="1">
          <a:off x="4815728" y="390606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813" name="Text Box 4"/>
        <xdr:cNvSpPr txBox="1">
          <a:spLocks noChangeArrowheads="1"/>
        </xdr:cNvSpPr>
      </xdr:nvSpPr>
      <xdr:spPr bwMode="auto">
        <a:xfrm flipH="1">
          <a:off x="4815728" y="390700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814" name="Text Box 4"/>
        <xdr:cNvSpPr txBox="1">
          <a:spLocks noChangeArrowheads="1"/>
        </xdr:cNvSpPr>
      </xdr:nvSpPr>
      <xdr:spPr bwMode="auto">
        <a:xfrm flipH="1">
          <a:off x="5048250" y="390620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815" name="Text Box 12"/>
        <xdr:cNvSpPr txBox="1">
          <a:spLocks noChangeArrowheads="1"/>
        </xdr:cNvSpPr>
      </xdr:nvSpPr>
      <xdr:spPr bwMode="auto">
        <a:xfrm flipH="1">
          <a:off x="4815728" y="390720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816" name="Text Box 14"/>
        <xdr:cNvSpPr txBox="1">
          <a:spLocks noChangeArrowheads="1"/>
        </xdr:cNvSpPr>
      </xdr:nvSpPr>
      <xdr:spPr bwMode="auto">
        <a:xfrm flipH="1">
          <a:off x="4815728" y="390730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817" name="Text Box 16"/>
        <xdr:cNvSpPr txBox="1">
          <a:spLocks noChangeArrowheads="1"/>
        </xdr:cNvSpPr>
      </xdr:nvSpPr>
      <xdr:spPr bwMode="auto">
        <a:xfrm flipH="1">
          <a:off x="4815728" y="390730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18" name="Text Box 12"/>
        <xdr:cNvSpPr txBox="1">
          <a:spLocks noChangeArrowheads="1"/>
        </xdr:cNvSpPr>
      </xdr:nvSpPr>
      <xdr:spPr bwMode="auto">
        <a:xfrm flipH="1">
          <a:off x="4815728" y="390606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819" name="Text Box 4"/>
        <xdr:cNvSpPr txBox="1">
          <a:spLocks noChangeArrowheads="1"/>
        </xdr:cNvSpPr>
      </xdr:nvSpPr>
      <xdr:spPr bwMode="auto">
        <a:xfrm flipH="1">
          <a:off x="4815728" y="390700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27557</xdr:rowOff>
    </xdr:to>
    <xdr:sp macro="" textlink="">
      <xdr:nvSpPr>
        <xdr:cNvPr id="1820" name="Text Box 4"/>
        <xdr:cNvSpPr txBox="1">
          <a:spLocks noChangeArrowheads="1"/>
        </xdr:cNvSpPr>
      </xdr:nvSpPr>
      <xdr:spPr bwMode="auto">
        <a:xfrm flipH="1">
          <a:off x="5048250" y="4402953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821" name="Text Box 12"/>
        <xdr:cNvSpPr txBox="1">
          <a:spLocks noChangeArrowheads="1"/>
        </xdr:cNvSpPr>
      </xdr:nvSpPr>
      <xdr:spPr bwMode="auto">
        <a:xfrm flipH="1">
          <a:off x="5048250" y="4403794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822" name="Text Box 14"/>
        <xdr:cNvSpPr txBox="1">
          <a:spLocks noChangeArrowheads="1"/>
        </xdr:cNvSpPr>
      </xdr:nvSpPr>
      <xdr:spPr bwMode="auto">
        <a:xfrm flipH="1">
          <a:off x="5048250" y="4403897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823" name="Text Box 16"/>
        <xdr:cNvSpPr txBox="1">
          <a:spLocks noChangeArrowheads="1"/>
        </xdr:cNvSpPr>
      </xdr:nvSpPr>
      <xdr:spPr bwMode="auto">
        <a:xfrm flipH="1">
          <a:off x="5048250" y="4403897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824" name="Text Box 12"/>
        <xdr:cNvSpPr txBox="1">
          <a:spLocks noChangeArrowheads="1"/>
        </xdr:cNvSpPr>
      </xdr:nvSpPr>
      <xdr:spPr bwMode="auto">
        <a:xfrm flipH="1">
          <a:off x="5048250" y="4403603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13044</xdr:rowOff>
    </xdr:to>
    <xdr:sp macro="" textlink="">
      <xdr:nvSpPr>
        <xdr:cNvPr id="1825" name="Text Box 4"/>
        <xdr:cNvSpPr txBox="1">
          <a:spLocks noChangeArrowheads="1"/>
        </xdr:cNvSpPr>
      </xdr:nvSpPr>
      <xdr:spPr bwMode="auto">
        <a:xfrm flipH="1">
          <a:off x="5048250" y="4403588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826" name="Text Box 4"/>
        <xdr:cNvSpPr txBox="1">
          <a:spLocks noChangeArrowheads="1"/>
        </xdr:cNvSpPr>
      </xdr:nvSpPr>
      <xdr:spPr bwMode="auto">
        <a:xfrm flipH="1">
          <a:off x="5048250" y="390620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827" name="Text Box 12"/>
        <xdr:cNvSpPr txBox="1">
          <a:spLocks noChangeArrowheads="1"/>
        </xdr:cNvSpPr>
      </xdr:nvSpPr>
      <xdr:spPr bwMode="auto">
        <a:xfrm flipH="1">
          <a:off x="5048250" y="390720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828" name="Text Box 14"/>
        <xdr:cNvSpPr txBox="1">
          <a:spLocks noChangeArrowheads="1"/>
        </xdr:cNvSpPr>
      </xdr:nvSpPr>
      <xdr:spPr bwMode="auto">
        <a:xfrm flipH="1">
          <a:off x="5048250" y="390730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829" name="Text Box 16"/>
        <xdr:cNvSpPr txBox="1">
          <a:spLocks noChangeArrowheads="1"/>
        </xdr:cNvSpPr>
      </xdr:nvSpPr>
      <xdr:spPr bwMode="auto">
        <a:xfrm flipH="1">
          <a:off x="5048250" y="390730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830" name="Text Box 12"/>
        <xdr:cNvSpPr txBox="1">
          <a:spLocks noChangeArrowheads="1"/>
        </xdr:cNvSpPr>
      </xdr:nvSpPr>
      <xdr:spPr bwMode="auto">
        <a:xfrm flipH="1">
          <a:off x="5048250" y="390606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831" name="Text Box 4"/>
        <xdr:cNvSpPr txBox="1">
          <a:spLocks noChangeArrowheads="1"/>
        </xdr:cNvSpPr>
      </xdr:nvSpPr>
      <xdr:spPr bwMode="auto">
        <a:xfrm flipH="1">
          <a:off x="5048250" y="390700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832" name="Text Box 4"/>
        <xdr:cNvSpPr txBox="1">
          <a:spLocks noChangeArrowheads="1"/>
        </xdr:cNvSpPr>
      </xdr:nvSpPr>
      <xdr:spPr bwMode="auto">
        <a:xfrm flipH="1">
          <a:off x="5048250" y="390620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833" name="Text Box 12"/>
        <xdr:cNvSpPr txBox="1">
          <a:spLocks noChangeArrowheads="1"/>
        </xdr:cNvSpPr>
      </xdr:nvSpPr>
      <xdr:spPr bwMode="auto">
        <a:xfrm flipH="1">
          <a:off x="5048250" y="390720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834" name="Text Box 14"/>
        <xdr:cNvSpPr txBox="1">
          <a:spLocks noChangeArrowheads="1"/>
        </xdr:cNvSpPr>
      </xdr:nvSpPr>
      <xdr:spPr bwMode="auto">
        <a:xfrm flipH="1">
          <a:off x="5048250" y="390730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835" name="Text Box 16"/>
        <xdr:cNvSpPr txBox="1">
          <a:spLocks noChangeArrowheads="1"/>
        </xdr:cNvSpPr>
      </xdr:nvSpPr>
      <xdr:spPr bwMode="auto">
        <a:xfrm flipH="1">
          <a:off x="5048250" y="390730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836" name="Text Box 12"/>
        <xdr:cNvSpPr txBox="1">
          <a:spLocks noChangeArrowheads="1"/>
        </xdr:cNvSpPr>
      </xdr:nvSpPr>
      <xdr:spPr bwMode="auto">
        <a:xfrm flipH="1">
          <a:off x="5048250" y="390606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837" name="Text Box 4"/>
        <xdr:cNvSpPr txBox="1">
          <a:spLocks noChangeArrowheads="1"/>
        </xdr:cNvSpPr>
      </xdr:nvSpPr>
      <xdr:spPr bwMode="auto">
        <a:xfrm flipH="1">
          <a:off x="5048250" y="390700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27557</xdr:rowOff>
    </xdr:to>
    <xdr:sp macro="" textlink="">
      <xdr:nvSpPr>
        <xdr:cNvPr id="1838" name="Text Box 4"/>
        <xdr:cNvSpPr txBox="1">
          <a:spLocks noChangeArrowheads="1"/>
        </xdr:cNvSpPr>
      </xdr:nvSpPr>
      <xdr:spPr bwMode="auto">
        <a:xfrm flipH="1">
          <a:off x="4815728" y="4402953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39" name="Text Box 12"/>
        <xdr:cNvSpPr txBox="1">
          <a:spLocks noChangeArrowheads="1"/>
        </xdr:cNvSpPr>
      </xdr:nvSpPr>
      <xdr:spPr bwMode="auto">
        <a:xfrm flipH="1">
          <a:off x="4815728" y="4403794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40" name="Text Box 14"/>
        <xdr:cNvSpPr txBox="1">
          <a:spLocks noChangeArrowheads="1"/>
        </xdr:cNvSpPr>
      </xdr:nvSpPr>
      <xdr:spPr bwMode="auto">
        <a:xfrm flipH="1">
          <a:off x="4815728" y="4403897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41" name="Text Box 16"/>
        <xdr:cNvSpPr txBox="1">
          <a:spLocks noChangeArrowheads="1"/>
        </xdr:cNvSpPr>
      </xdr:nvSpPr>
      <xdr:spPr bwMode="auto">
        <a:xfrm flipH="1">
          <a:off x="4815728" y="4403897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42" name="Text Box 12"/>
        <xdr:cNvSpPr txBox="1">
          <a:spLocks noChangeArrowheads="1"/>
        </xdr:cNvSpPr>
      </xdr:nvSpPr>
      <xdr:spPr bwMode="auto">
        <a:xfrm flipH="1">
          <a:off x="4815728" y="4403603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13044</xdr:rowOff>
    </xdr:to>
    <xdr:sp macro="" textlink="">
      <xdr:nvSpPr>
        <xdr:cNvPr id="1843" name="Text Box 4"/>
        <xdr:cNvSpPr txBox="1">
          <a:spLocks noChangeArrowheads="1"/>
        </xdr:cNvSpPr>
      </xdr:nvSpPr>
      <xdr:spPr bwMode="auto">
        <a:xfrm flipH="1">
          <a:off x="4815728" y="4403588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844" name="Text Box 4"/>
        <xdr:cNvSpPr txBox="1">
          <a:spLocks noChangeArrowheads="1"/>
        </xdr:cNvSpPr>
      </xdr:nvSpPr>
      <xdr:spPr bwMode="auto">
        <a:xfrm flipH="1">
          <a:off x="5048250" y="390620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845" name="Text Box 12"/>
        <xdr:cNvSpPr txBox="1">
          <a:spLocks noChangeArrowheads="1"/>
        </xdr:cNvSpPr>
      </xdr:nvSpPr>
      <xdr:spPr bwMode="auto">
        <a:xfrm flipH="1">
          <a:off x="4815728" y="390720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846" name="Text Box 14"/>
        <xdr:cNvSpPr txBox="1">
          <a:spLocks noChangeArrowheads="1"/>
        </xdr:cNvSpPr>
      </xdr:nvSpPr>
      <xdr:spPr bwMode="auto">
        <a:xfrm flipH="1">
          <a:off x="4815728" y="390730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847" name="Text Box 16"/>
        <xdr:cNvSpPr txBox="1">
          <a:spLocks noChangeArrowheads="1"/>
        </xdr:cNvSpPr>
      </xdr:nvSpPr>
      <xdr:spPr bwMode="auto">
        <a:xfrm flipH="1">
          <a:off x="4815728" y="390730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48" name="Text Box 12"/>
        <xdr:cNvSpPr txBox="1">
          <a:spLocks noChangeArrowheads="1"/>
        </xdr:cNvSpPr>
      </xdr:nvSpPr>
      <xdr:spPr bwMode="auto">
        <a:xfrm flipH="1">
          <a:off x="4815728" y="390606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849" name="Text Box 4"/>
        <xdr:cNvSpPr txBox="1">
          <a:spLocks noChangeArrowheads="1"/>
        </xdr:cNvSpPr>
      </xdr:nvSpPr>
      <xdr:spPr bwMode="auto">
        <a:xfrm flipH="1">
          <a:off x="4815728" y="390700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850" name="Text Box 4"/>
        <xdr:cNvSpPr txBox="1">
          <a:spLocks noChangeArrowheads="1"/>
        </xdr:cNvSpPr>
      </xdr:nvSpPr>
      <xdr:spPr bwMode="auto">
        <a:xfrm flipH="1">
          <a:off x="5048250" y="390620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851" name="Text Box 12"/>
        <xdr:cNvSpPr txBox="1">
          <a:spLocks noChangeArrowheads="1"/>
        </xdr:cNvSpPr>
      </xdr:nvSpPr>
      <xdr:spPr bwMode="auto">
        <a:xfrm flipH="1">
          <a:off x="4815728" y="390720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852" name="Text Box 14"/>
        <xdr:cNvSpPr txBox="1">
          <a:spLocks noChangeArrowheads="1"/>
        </xdr:cNvSpPr>
      </xdr:nvSpPr>
      <xdr:spPr bwMode="auto">
        <a:xfrm flipH="1">
          <a:off x="4815728" y="390730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853" name="Text Box 16"/>
        <xdr:cNvSpPr txBox="1">
          <a:spLocks noChangeArrowheads="1"/>
        </xdr:cNvSpPr>
      </xdr:nvSpPr>
      <xdr:spPr bwMode="auto">
        <a:xfrm flipH="1">
          <a:off x="4815728" y="390730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54" name="Text Box 12"/>
        <xdr:cNvSpPr txBox="1">
          <a:spLocks noChangeArrowheads="1"/>
        </xdr:cNvSpPr>
      </xdr:nvSpPr>
      <xdr:spPr bwMode="auto">
        <a:xfrm flipH="1">
          <a:off x="4815728" y="390606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855" name="Text Box 4"/>
        <xdr:cNvSpPr txBox="1">
          <a:spLocks noChangeArrowheads="1"/>
        </xdr:cNvSpPr>
      </xdr:nvSpPr>
      <xdr:spPr bwMode="auto">
        <a:xfrm flipH="1">
          <a:off x="4815728" y="390700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27557</xdr:rowOff>
    </xdr:to>
    <xdr:sp macro="" textlink="">
      <xdr:nvSpPr>
        <xdr:cNvPr id="1856" name="Text Box 4"/>
        <xdr:cNvSpPr txBox="1">
          <a:spLocks noChangeArrowheads="1"/>
        </xdr:cNvSpPr>
      </xdr:nvSpPr>
      <xdr:spPr bwMode="auto">
        <a:xfrm flipH="1">
          <a:off x="5048250" y="4402953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857" name="Text Box 12"/>
        <xdr:cNvSpPr txBox="1">
          <a:spLocks noChangeArrowheads="1"/>
        </xdr:cNvSpPr>
      </xdr:nvSpPr>
      <xdr:spPr bwMode="auto">
        <a:xfrm flipH="1">
          <a:off x="5048250" y="4403794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858" name="Text Box 14"/>
        <xdr:cNvSpPr txBox="1">
          <a:spLocks noChangeArrowheads="1"/>
        </xdr:cNvSpPr>
      </xdr:nvSpPr>
      <xdr:spPr bwMode="auto">
        <a:xfrm flipH="1">
          <a:off x="5048250" y="4403897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859" name="Text Box 16"/>
        <xdr:cNvSpPr txBox="1">
          <a:spLocks noChangeArrowheads="1"/>
        </xdr:cNvSpPr>
      </xdr:nvSpPr>
      <xdr:spPr bwMode="auto">
        <a:xfrm flipH="1">
          <a:off x="5048250" y="4403897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860" name="Text Box 12"/>
        <xdr:cNvSpPr txBox="1">
          <a:spLocks noChangeArrowheads="1"/>
        </xdr:cNvSpPr>
      </xdr:nvSpPr>
      <xdr:spPr bwMode="auto">
        <a:xfrm flipH="1">
          <a:off x="5048250" y="4403603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13044</xdr:rowOff>
    </xdr:to>
    <xdr:sp macro="" textlink="">
      <xdr:nvSpPr>
        <xdr:cNvPr id="1861" name="Text Box 4"/>
        <xdr:cNvSpPr txBox="1">
          <a:spLocks noChangeArrowheads="1"/>
        </xdr:cNvSpPr>
      </xdr:nvSpPr>
      <xdr:spPr bwMode="auto">
        <a:xfrm flipH="1">
          <a:off x="5048250" y="4403588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862" name="Text Box 4"/>
        <xdr:cNvSpPr txBox="1">
          <a:spLocks noChangeArrowheads="1"/>
        </xdr:cNvSpPr>
      </xdr:nvSpPr>
      <xdr:spPr bwMode="auto">
        <a:xfrm flipH="1">
          <a:off x="5048250" y="390620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863" name="Text Box 12"/>
        <xdr:cNvSpPr txBox="1">
          <a:spLocks noChangeArrowheads="1"/>
        </xdr:cNvSpPr>
      </xdr:nvSpPr>
      <xdr:spPr bwMode="auto">
        <a:xfrm flipH="1">
          <a:off x="5048250" y="390720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864" name="Text Box 14"/>
        <xdr:cNvSpPr txBox="1">
          <a:spLocks noChangeArrowheads="1"/>
        </xdr:cNvSpPr>
      </xdr:nvSpPr>
      <xdr:spPr bwMode="auto">
        <a:xfrm flipH="1">
          <a:off x="5048250" y="390730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865" name="Text Box 16"/>
        <xdr:cNvSpPr txBox="1">
          <a:spLocks noChangeArrowheads="1"/>
        </xdr:cNvSpPr>
      </xdr:nvSpPr>
      <xdr:spPr bwMode="auto">
        <a:xfrm flipH="1">
          <a:off x="5048250" y="390730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866" name="Text Box 12"/>
        <xdr:cNvSpPr txBox="1">
          <a:spLocks noChangeArrowheads="1"/>
        </xdr:cNvSpPr>
      </xdr:nvSpPr>
      <xdr:spPr bwMode="auto">
        <a:xfrm flipH="1">
          <a:off x="5048250" y="390606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867" name="Text Box 4"/>
        <xdr:cNvSpPr txBox="1">
          <a:spLocks noChangeArrowheads="1"/>
        </xdr:cNvSpPr>
      </xdr:nvSpPr>
      <xdr:spPr bwMode="auto">
        <a:xfrm flipH="1">
          <a:off x="5048250" y="390700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868" name="Text Box 4"/>
        <xdr:cNvSpPr txBox="1">
          <a:spLocks noChangeArrowheads="1"/>
        </xdr:cNvSpPr>
      </xdr:nvSpPr>
      <xdr:spPr bwMode="auto">
        <a:xfrm flipH="1">
          <a:off x="5048250" y="390620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869" name="Text Box 12"/>
        <xdr:cNvSpPr txBox="1">
          <a:spLocks noChangeArrowheads="1"/>
        </xdr:cNvSpPr>
      </xdr:nvSpPr>
      <xdr:spPr bwMode="auto">
        <a:xfrm flipH="1">
          <a:off x="5048250" y="390720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870" name="Text Box 14"/>
        <xdr:cNvSpPr txBox="1">
          <a:spLocks noChangeArrowheads="1"/>
        </xdr:cNvSpPr>
      </xdr:nvSpPr>
      <xdr:spPr bwMode="auto">
        <a:xfrm flipH="1">
          <a:off x="5048250" y="390730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871" name="Text Box 16"/>
        <xdr:cNvSpPr txBox="1">
          <a:spLocks noChangeArrowheads="1"/>
        </xdr:cNvSpPr>
      </xdr:nvSpPr>
      <xdr:spPr bwMode="auto">
        <a:xfrm flipH="1">
          <a:off x="5048250" y="390730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872" name="Text Box 12"/>
        <xdr:cNvSpPr txBox="1">
          <a:spLocks noChangeArrowheads="1"/>
        </xdr:cNvSpPr>
      </xdr:nvSpPr>
      <xdr:spPr bwMode="auto">
        <a:xfrm flipH="1">
          <a:off x="5048250" y="390606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873" name="Text Box 4"/>
        <xdr:cNvSpPr txBox="1">
          <a:spLocks noChangeArrowheads="1"/>
        </xdr:cNvSpPr>
      </xdr:nvSpPr>
      <xdr:spPr bwMode="auto">
        <a:xfrm flipH="1">
          <a:off x="5048250" y="390700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874" name="Text Box 4"/>
        <xdr:cNvSpPr txBox="1">
          <a:spLocks noChangeArrowheads="1"/>
        </xdr:cNvSpPr>
      </xdr:nvSpPr>
      <xdr:spPr bwMode="auto">
        <a:xfrm flipH="1">
          <a:off x="5048250" y="390620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875" name="Text Box 12"/>
        <xdr:cNvSpPr txBox="1">
          <a:spLocks noChangeArrowheads="1"/>
        </xdr:cNvSpPr>
      </xdr:nvSpPr>
      <xdr:spPr bwMode="auto">
        <a:xfrm flipH="1">
          <a:off x="4815728" y="390720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876" name="Text Box 14"/>
        <xdr:cNvSpPr txBox="1">
          <a:spLocks noChangeArrowheads="1"/>
        </xdr:cNvSpPr>
      </xdr:nvSpPr>
      <xdr:spPr bwMode="auto">
        <a:xfrm flipH="1">
          <a:off x="4815728" y="390730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877" name="Text Box 16"/>
        <xdr:cNvSpPr txBox="1">
          <a:spLocks noChangeArrowheads="1"/>
        </xdr:cNvSpPr>
      </xdr:nvSpPr>
      <xdr:spPr bwMode="auto">
        <a:xfrm flipH="1">
          <a:off x="4815728" y="390730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78" name="Text Box 12"/>
        <xdr:cNvSpPr txBox="1">
          <a:spLocks noChangeArrowheads="1"/>
        </xdr:cNvSpPr>
      </xdr:nvSpPr>
      <xdr:spPr bwMode="auto">
        <a:xfrm flipH="1">
          <a:off x="4815728" y="390606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879" name="Text Box 4"/>
        <xdr:cNvSpPr txBox="1">
          <a:spLocks noChangeArrowheads="1"/>
        </xdr:cNvSpPr>
      </xdr:nvSpPr>
      <xdr:spPr bwMode="auto">
        <a:xfrm flipH="1">
          <a:off x="4815728" y="390700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880" name="Text Box 4"/>
        <xdr:cNvSpPr txBox="1">
          <a:spLocks noChangeArrowheads="1"/>
        </xdr:cNvSpPr>
      </xdr:nvSpPr>
      <xdr:spPr bwMode="auto">
        <a:xfrm flipH="1">
          <a:off x="5048250" y="390620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881" name="Text Box 12"/>
        <xdr:cNvSpPr txBox="1">
          <a:spLocks noChangeArrowheads="1"/>
        </xdr:cNvSpPr>
      </xdr:nvSpPr>
      <xdr:spPr bwMode="auto">
        <a:xfrm flipH="1">
          <a:off x="4815728" y="390720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882" name="Text Box 14"/>
        <xdr:cNvSpPr txBox="1">
          <a:spLocks noChangeArrowheads="1"/>
        </xdr:cNvSpPr>
      </xdr:nvSpPr>
      <xdr:spPr bwMode="auto">
        <a:xfrm flipH="1">
          <a:off x="4815728" y="390730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883" name="Text Box 16"/>
        <xdr:cNvSpPr txBox="1">
          <a:spLocks noChangeArrowheads="1"/>
        </xdr:cNvSpPr>
      </xdr:nvSpPr>
      <xdr:spPr bwMode="auto">
        <a:xfrm flipH="1">
          <a:off x="4815728" y="390730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84" name="Text Box 12"/>
        <xdr:cNvSpPr txBox="1">
          <a:spLocks noChangeArrowheads="1"/>
        </xdr:cNvSpPr>
      </xdr:nvSpPr>
      <xdr:spPr bwMode="auto">
        <a:xfrm flipH="1">
          <a:off x="4815728" y="390606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885" name="Text Box 4"/>
        <xdr:cNvSpPr txBox="1">
          <a:spLocks noChangeArrowheads="1"/>
        </xdr:cNvSpPr>
      </xdr:nvSpPr>
      <xdr:spPr bwMode="auto">
        <a:xfrm flipH="1">
          <a:off x="4815728" y="390700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27557</xdr:rowOff>
    </xdr:to>
    <xdr:sp macro="" textlink="">
      <xdr:nvSpPr>
        <xdr:cNvPr id="1886" name="Text Box 4"/>
        <xdr:cNvSpPr txBox="1">
          <a:spLocks noChangeArrowheads="1"/>
        </xdr:cNvSpPr>
      </xdr:nvSpPr>
      <xdr:spPr bwMode="auto">
        <a:xfrm flipH="1">
          <a:off x="4815728" y="4402953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87" name="Text Box 12"/>
        <xdr:cNvSpPr txBox="1">
          <a:spLocks noChangeArrowheads="1"/>
        </xdr:cNvSpPr>
      </xdr:nvSpPr>
      <xdr:spPr bwMode="auto">
        <a:xfrm flipH="1">
          <a:off x="4815728" y="4403794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88" name="Text Box 14"/>
        <xdr:cNvSpPr txBox="1">
          <a:spLocks noChangeArrowheads="1"/>
        </xdr:cNvSpPr>
      </xdr:nvSpPr>
      <xdr:spPr bwMode="auto">
        <a:xfrm flipH="1">
          <a:off x="4815728" y="4403897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89" name="Text Box 16"/>
        <xdr:cNvSpPr txBox="1">
          <a:spLocks noChangeArrowheads="1"/>
        </xdr:cNvSpPr>
      </xdr:nvSpPr>
      <xdr:spPr bwMode="auto">
        <a:xfrm flipH="1">
          <a:off x="4815728" y="4403897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90" name="Text Box 12"/>
        <xdr:cNvSpPr txBox="1">
          <a:spLocks noChangeArrowheads="1"/>
        </xdr:cNvSpPr>
      </xdr:nvSpPr>
      <xdr:spPr bwMode="auto">
        <a:xfrm flipH="1">
          <a:off x="4815728" y="4403603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13044</xdr:rowOff>
    </xdr:to>
    <xdr:sp macro="" textlink="">
      <xdr:nvSpPr>
        <xdr:cNvPr id="1891" name="Text Box 4"/>
        <xdr:cNvSpPr txBox="1">
          <a:spLocks noChangeArrowheads="1"/>
        </xdr:cNvSpPr>
      </xdr:nvSpPr>
      <xdr:spPr bwMode="auto">
        <a:xfrm flipH="1">
          <a:off x="4815728" y="4403588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892" name="Text Box 4"/>
        <xdr:cNvSpPr txBox="1">
          <a:spLocks noChangeArrowheads="1"/>
        </xdr:cNvSpPr>
      </xdr:nvSpPr>
      <xdr:spPr bwMode="auto">
        <a:xfrm flipH="1">
          <a:off x="5048250" y="390620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893" name="Text Box 12"/>
        <xdr:cNvSpPr txBox="1">
          <a:spLocks noChangeArrowheads="1"/>
        </xdr:cNvSpPr>
      </xdr:nvSpPr>
      <xdr:spPr bwMode="auto">
        <a:xfrm flipH="1">
          <a:off x="4815728" y="390720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894" name="Text Box 14"/>
        <xdr:cNvSpPr txBox="1">
          <a:spLocks noChangeArrowheads="1"/>
        </xdr:cNvSpPr>
      </xdr:nvSpPr>
      <xdr:spPr bwMode="auto">
        <a:xfrm flipH="1">
          <a:off x="4815728" y="390730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895" name="Text Box 16"/>
        <xdr:cNvSpPr txBox="1">
          <a:spLocks noChangeArrowheads="1"/>
        </xdr:cNvSpPr>
      </xdr:nvSpPr>
      <xdr:spPr bwMode="auto">
        <a:xfrm flipH="1">
          <a:off x="4815728" y="390730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896" name="Text Box 12"/>
        <xdr:cNvSpPr txBox="1">
          <a:spLocks noChangeArrowheads="1"/>
        </xdr:cNvSpPr>
      </xdr:nvSpPr>
      <xdr:spPr bwMode="auto">
        <a:xfrm flipH="1">
          <a:off x="4815728" y="390606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897" name="Text Box 4"/>
        <xdr:cNvSpPr txBox="1">
          <a:spLocks noChangeArrowheads="1"/>
        </xdr:cNvSpPr>
      </xdr:nvSpPr>
      <xdr:spPr bwMode="auto">
        <a:xfrm flipH="1">
          <a:off x="4815728" y="390700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898" name="Text Box 4"/>
        <xdr:cNvSpPr txBox="1">
          <a:spLocks noChangeArrowheads="1"/>
        </xdr:cNvSpPr>
      </xdr:nvSpPr>
      <xdr:spPr bwMode="auto">
        <a:xfrm flipH="1">
          <a:off x="5048250" y="390620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899" name="Text Box 12"/>
        <xdr:cNvSpPr txBox="1">
          <a:spLocks noChangeArrowheads="1"/>
        </xdr:cNvSpPr>
      </xdr:nvSpPr>
      <xdr:spPr bwMode="auto">
        <a:xfrm flipH="1">
          <a:off x="4815728" y="390720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900" name="Text Box 14"/>
        <xdr:cNvSpPr txBox="1">
          <a:spLocks noChangeArrowheads="1"/>
        </xdr:cNvSpPr>
      </xdr:nvSpPr>
      <xdr:spPr bwMode="auto">
        <a:xfrm flipH="1">
          <a:off x="4815728" y="390730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901" name="Text Box 16"/>
        <xdr:cNvSpPr txBox="1">
          <a:spLocks noChangeArrowheads="1"/>
        </xdr:cNvSpPr>
      </xdr:nvSpPr>
      <xdr:spPr bwMode="auto">
        <a:xfrm flipH="1">
          <a:off x="4815728" y="390730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902" name="Text Box 12"/>
        <xdr:cNvSpPr txBox="1">
          <a:spLocks noChangeArrowheads="1"/>
        </xdr:cNvSpPr>
      </xdr:nvSpPr>
      <xdr:spPr bwMode="auto">
        <a:xfrm flipH="1">
          <a:off x="4815728" y="390606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903" name="Text Box 4"/>
        <xdr:cNvSpPr txBox="1">
          <a:spLocks noChangeArrowheads="1"/>
        </xdr:cNvSpPr>
      </xdr:nvSpPr>
      <xdr:spPr bwMode="auto">
        <a:xfrm flipH="1">
          <a:off x="4815728" y="390700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27557</xdr:rowOff>
    </xdr:to>
    <xdr:sp macro="" textlink="">
      <xdr:nvSpPr>
        <xdr:cNvPr id="1904" name="Text Box 4"/>
        <xdr:cNvSpPr txBox="1">
          <a:spLocks noChangeArrowheads="1"/>
        </xdr:cNvSpPr>
      </xdr:nvSpPr>
      <xdr:spPr bwMode="auto">
        <a:xfrm flipH="1">
          <a:off x="5048250" y="4402953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905" name="Text Box 12"/>
        <xdr:cNvSpPr txBox="1">
          <a:spLocks noChangeArrowheads="1"/>
        </xdr:cNvSpPr>
      </xdr:nvSpPr>
      <xdr:spPr bwMode="auto">
        <a:xfrm flipH="1">
          <a:off x="5048250" y="4403794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906" name="Text Box 14"/>
        <xdr:cNvSpPr txBox="1">
          <a:spLocks noChangeArrowheads="1"/>
        </xdr:cNvSpPr>
      </xdr:nvSpPr>
      <xdr:spPr bwMode="auto">
        <a:xfrm flipH="1">
          <a:off x="5048250" y="4403897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907" name="Text Box 16"/>
        <xdr:cNvSpPr txBox="1">
          <a:spLocks noChangeArrowheads="1"/>
        </xdr:cNvSpPr>
      </xdr:nvSpPr>
      <xdr:spPr bwMode="auto">
        <a:xfrm flipH="1">
          <a:off x="5048250" y="4403897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908" name="Text Box 12"/>
        <xdr:cNvSpPr txBox="1">
          <a:spLocks noChangeArrowheads="1"/>
        </xdr:cNvSpPr>
      </xdr:nvSpPr>
      <xdr:spPr bwMode="auto">
        <a:xfrm flipH="1">
          <a:off x="5048250" y="4403603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13044</xdr:rowOff>
    </xdr:to>
    <xdr:sp macro="" textlink="">
      <xdr:nvSpPr>
        <xdr:cNvPr id="1909" name="Text Box 4"/>
        <xdr:cNvSpPr txBox="1">
          <a:spLocks noChangeArrowheads="1"/>
        </xdr:cNvSpPr>
      </xdr:nvSpPr>
      <xdr:spPr bwMode="auto">
        <a:xfrm flipH="1">
          <a:off x="5048250" y="4403588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910" name="Text Box 4"/>
        <xdr:cNvSpPr txBox="1">
          <a:spLocks noChangeArrowheads="1"/>
        </xdr:cNvSpPr>
      </xdr:nvSpPr>
      <xdr:spPr bwMode="auto">
        <a:xfrm flipH="1">
          <a:off x="5048250" y="390620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911" name="Text Box 12"/>
        <xdr:cNvSpPr txBox="1">
          <a:spLocks noChangeArrowheads="1"/>
        </xdr:cNvSpPr>
      </xdr:nvSpPr>
      <xdr:spPr bwMode="auto">
        <a:xfrm flipH="1">
          <a:off x="5048250" y="390720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912" name="Text Box 14"/>
        <xdr:cNvSpPr txBox="1">
          <a:spLocks noChangeArrowheads="1"/>
        </xdr:cNvSpPr>
      </xdr:nvSpPr>
      <xdr:spPr bwMode="auto">
        <a:xfrm flipH="1">
          <a:off x="5048250" y="390730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913" name="Text Box 16"/>
        <xdr:cNvSpPr txBox="1">
          <a:spLocks noChangeArrowheads="1"/>
        </xdr:cNvSpPr>
      </xdr:nvSpPr>
      <xdr:spPr bwMode="auto">
        <a:xfrm flipH="1">
          <a:off x="5048250" y="390730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914" name="Text Box 12"/>
        <xdr:cNvSpPr txBox="1">
          <a:spLocks noChangeArrowheads="1"/>
        </xdr:cNvSpPr>
      </xdr:nvSpPr>
      <xdr:spPr bwMode="auto">
        <a:xfrm flipH="1">
          <a:off x="5048250" y="390606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915" name="Text Box 4"/>
        <xdr:cNvSpPr txBox="1">
          <a:spLocks noChangeArrowheads="1"/>
        </xdr:cNvSpPr>
      </xdr:nvSpPr>
      <xdr:spPr bwMode="auto">
        <a:xfrm flipH="1">
          <a:off x="5048250" y="390700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916" name="Text Box 4"/>
        <xdr:cNvSpPr txBox="1">
          <a:spLocks noChangeArrowheads="1"/>
        </xdr:cNvSpPr>
      </xdr:nvSpPr>
      <xdr:spPr bwMode="auto">
        <a:xfrm flipH="1">
          <a:off x="5048250" y="390620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917" name="Text Box 12"/>
        <xdr:cNvSpPr txBox="1">
          <a:spLocks noChangeArrowheads="1"/>
        </xdr:cNvSpPr>
      </xdr:nvSpPr>
      <xdr:spPr bwMode="auto">
        <a:xfrm flipH="1">
          <a:off x="5048250" y="390720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918" name="Text Box 14"/>
        <xdr:cNvSpPr txBox="1">
          <a:spLocks noChangeArrowheads="1"/>
        </xdr:cNvSpPr>
      </xdr:nvSpPr>
      <xdr:spPr bwMode="auto">
        <a:xfrm flipH="1">
          <a:off x="5048250" y="390730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919" name="Text Box 16"/>
        <xdr:cNvSpPr txBox="1">
          <a:spLocks noChangeArrowheads="1"/>
        </xdr:cNvSpPr>
      </xdr:nvSpPr>
      <xdr:spPr bwMode="auto">
        <a:xfrm flipH="1">
          <a:off x="5048250" y="390730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920" name="Text Box 12"/>
        <xdr:cNvSpPr txBox="1">
          <a:spLocks noChangeArrowheads="1"/>
        </xdr:cNvSpPr>
      </xdr:nvSpPr>
      <xdr:spPr bwMode="auto">
        <a:xfrm flipH="1">
          <a:off x="5048250" y="390606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921" name="Text Box 4"/>
        <xdr:cNvSpPr txBox="1">
          <a:spLocks noChangeArrowheads="1"/>
        </xdr:cNvSpPr>
      </xdr:nvSpPr>
      <xdr:spPr bwMode="auto">
        <a:xfrm flipH="1">
          <a:off x="5048250" y="390700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27557</xdr:rowOff>
    </xdr:to>
    <xdr:sp macro="" textlink="">
      <xdr:nvSpPr>
        <xdr:cNvPr id="1922" name="Text Box 4"/>
        <xdr:cNvSpPr txBox="1">
          <a:spLocks noChangeArrowheads="1"/>
        </xdr:cNvSpPr>
      </xdr:nvSpPr>
      <xdr:spPr bwMode="auto">
        <a:xfrm flipH="1">
          <a:off x="4815728" y="44029538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923" name="Text Box 12"/>
        <xdr:cNvSpPr txBox="1">
          <a:spLocks noChangeArrowheads="1"/>
        </xdr:cNvSpPr>
      </xdr:nvSpPr>
      <xdr:spPr bwMode="auto">
        <a:xfrm flipH="1">
          <a:off x="4815728" y="44037941"/>
          <a:ext cx="3429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924" name="Text Box 14"/>
        <xdr:cNvSpPr txBox="1">
          <a:spLocks noChangeArrowheads="1"/>
        </xdr:cNvSpPr>
      </xdr:nvSpPr>
      <xdr:spPr bwMode="auto">
        <a:xfrm flipH="1">
          <a:off x="4815728" y="44038976"/>
          <a:ext cx="3429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925" name="Text Box 16"/>
        <xdr:cNvSpPr txBox="1">
          <a:spLocks noChangeArrowheads="1"/>
        </xdr:cNvSpPr>
      </xdr:nvSpPr>
      <xdr:spPr bwMode="auto">
        <a:xfrm flipH="1">
          <a:off x="4815728" y="44038976"/>
          <a:ext cx="3429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926" name="Text Box 12"/>
        <xdr:cNvSpPr txBox="1">
          <a:spLocks noChangeArrowheads="1"/>
        </xdr:cNvSpPr>
      </xdr:nvSpPr>
      <xdr:spPr bwMode="auto">
        <a:xfrm flipH="1">
          <a:off x="4815728" y="44036037"/>
          <a:ext cx="3429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13044</xdr:rowOff>
    </xdr:to>
    <xdr:sp macro="" textlink="">
      <xdr:nvSpPr>
        <xdr:cNvPr id="1927" name="Text Box 4"/>
        <xdr:cNvSpPr txBox="1">
          <a:spLocks noChangeArrowheads="1"/>
        </xdr:cNvSpPr>
      </xdr:nvSpPr>
      <xdr:spPr bwMode="auto">
        <a:xfrm flipH="1">
          <a:off x="4815728" y="44035888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928" name="Text Box 4"/>
        <xdr:cNvSpPr txBox="1">
          <a:spLocks noChangeArrowheads="1"/>
        </xdr:cNvSpPr>
      </xdr:nvSpPr>
      <xdr:spPr bwMode="auto">
        <a:xfrm flipH="1">
          <a:off x="5048250" y="390620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929" name="Text Box 12"/>
        <xdr:cNvSpPr txBox="1">
          <a:spLocks noChangeArrowheads="1"/>
        </xdr:cNvSpPr>
      </xdr:nvSpPr>
      <xdr:spPr bwMode="auto">
        <a:xfrm flipH="1">
          <a:off x="4815728" y="390720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930" name="Text Box 14"/>
        <xdr:cNvSpPr txBox="1">
          <a:spLocks noChangeArrowheads="1"/>
        </xdr:cNvSpPr>
      </xdr:nvSpPr>
      <xdr:spPr bwMode="auto">
        <a:xfrm flipH="1">
          <a:off x="4815728" y="390730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931" name="Text Box 16"/>
        <xdr:cNvSpPr txBox="1">
          <a:spLocks noChangeArrowheads="1"/>
        </xdr:cNvSpPr>
      </xdr:nvSpPr>
      <xdr:spPr bwMode="auto">
        <a:xfrm flipH="1">
          <a:off x="4815728" y="390730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932" name="Text Box 12"/>
        <xdr:cNvSpPr txBox="1">
          <a:spLocks noChangeArrowheads="1"/>
        </xdr:cNvSpPr>
      </xdr:nvSpPr>
      <xdr:spPr bwMode="auto">
        <a:xfrm flipH="1">
          <a:off x="4815728" y="390606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933" name="Text Box 4"/>
        <xdr:cNvSpPr txBox="1">
          <a:spLocks noChangeArrowheads="1"/>
        </xdr:cNvSpPr>
      </xdr:nvSpPr>
      <xdr:spPr bwMode="auto">
        <a:xfrm flipH="1">
          <a:off x="4815728" y="390700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934" name="Text Box 4"/>
        <xdr:cNvSpPr txBox="1">
          <a:spLocks noChangeArrowheads="1"/>
        </xdr:cNvSpPr>
      </xdr:nvSpPr>
      <xdr:spPr bwMode="auto">
        <a:xfrm flipH="1">
          <a:off x="5048250" y="390620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935" name="Text Box 12"/>
        <xdr:cNvSpPr txBox="1">
          <a:spLocks noChangeArrowheads="1"/>
        </xdr:cNvSpPr>
      </xdr:nvSpPr>
      <xdr:spPr bwMode="auto">
        <a:xfrm flipH="1">
          <a:off x="4815728" y="390720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936" name="Text Box 14"/>
        <xdr:cNvSpPr txBox="1">
          <a:spLocks noChangeArrowheads="1"/>
        </xdr:cNvSpPr>
      </xdr:nvSpPr>
      <xdr:spPr bwMode="auto">
        <a:xfrm flipH="1">
          <a:off x="4815728" y="390730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937" name="Text Box 16"/>
        <xdr:cNvSpPr txBox="1">
          <a:spLocks noChangeArrowheads="1"/>
        </xdr:cNvSpPr>
      </xdr:nvSpPr>
      <xdr:spPr bwMode="auto">
        <a:xfrm flipH="1">
          <a:off x="4815728" y="390730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938" name="Text Box 12"/>
        <xdr:cNvSpPr txBox="1">
          <a:spLocks noChangeArrowheads="1"/>
        </xdr:cNvSpPr>
      </xdr:nvSpPr>
      <xdr:spPr bwMode="auto">
        <a:xfrm flipH="1">
          <a:off x="4815728" y="390606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939" name="Text Box 4"/>
        <xdr:cNvSpPr txBox="1">
          <a:spLocks noChangeArrowheads="1"/>
        </xdr:cNvSpPr>
      </xdr:nvSpPr>
      <xdr:spPr bwMode="auto">
        <a:xfrm flipH="1">
          <a:off x="4815728" y="390700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27557</xdr:rowOff>
    </xdr:to>
    <xdr:sp macro="" textlink="">
      <xdr:nvSpPr>
        <xdr:cNvPr id="1940" name="Text Box 4"/>
        <xdr:cNvSpPr txBox="1">
          <a:spLocks noChangeArrowheads="1"/>
        </xdr:cNvSpPr>
      </xdr:nvSpPr>
      <xdr:spPr bwMode="auto">
        <a:xfrm flipH="1">
          <a:off x="5048250" y="44029538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941" name="Text Box 12"/>
        <xdr:cNvSpPr txBox="1">
          <a:spLocks noChangeArrowheads="1"/>
        </xdr:cNvSpPr>
      </xdr:nvSpPr>
      <xdr:spPr bwMode="auto">
        <a:xfrm flipH="1">
          <a:off x="5048250" y="44037941"/>
          <a:ext cx="0" cy="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942" name="Text Box 14"/>
        <xdr:cNvSpPr txBox="1">
          <a:spLocks noChangeArrowheads="1"/>
        </xdr:cNvSpPr>
      </xdr:nvSpPr>
      <xdr:spPr bwMode="auto">
        <a:xfrm flipH="1">
          <a:off x="5048250" y="44038976"/>
          <a:ext cx="0" cy="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943" name="Text Box 16"/>
        <xdr:cNvSpPr txBox="1">
          <a:spLocks noChangeArrowheads="1"/>
        </xdr:cNvSpPr>
      </xdr:nvSpPr>
      <xdr:spPr bwMode="auto">
        <a:xfrm flipH="1">
          <a:off x="5048250" y="44038976"/>
          <a:ext cx="0" cy="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944" name="Text Box 12"/>
        <xdr:cNvSpPr txBox="1">
          <a:spLocks noChangeArrowheads="1"/>
        </xdr:cNvSpPr>
      </xdr:nvSpPr>
      <xdr:spPr bwMode="auto">
        <a:xfrm flipH="1">
          <a:off x="5048250" y="44036037"/>
          <a:ext cx="0" cy="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13044</xdr:rowOff>
    </xdr:to>
    <xdr:sp macro="" textlink="">
      <xdr:nvSpPr>
        <xdr:cNvPr id="1945" name="Text Box 4"/>
        <xdr:cNvSpPr txBox="1">
          <a:spLocks noChangeArrowheads="1"/>
        </xdr:cNvSpPr>
      </xdr:nvSpPr>
      <xdr:spPr bwMode="auto">
        <a:xfrm flipH="1">
          <a:off x="5048250" y="44035888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946" name="Text Box 4"/>
        <xdr:cNvSpPr txBox="1">
          <a:spLocks noChangeArrowheads="1"/>
        </xdr:cNvSpPr>
      </xdr:nvSpPr>
      <xdr:spPr bwMode="auto">
        <a:xfrm flipH="1">
          <a:off x="5048250" y="390620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947" name="Text Box 12"/>
        <xdr:cNvSpPr txBox="1">
          <a:spLocks noChangeArrowheads="1"/>
        </xdr:cNvSpPr>
      </xdr:nvSpPr>
      <xdr:spPr bwMode="auto">
        <a:xfrm flipH="1">
          <a:off x="5048250" y="390720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948" name="Text Box 14"/>
        <xdr:cNvSpPr txBox="1">
          <a:spLocks noChangeArrowheads="1"/>
        </xdr:cNvSpPr>
      </xdr:nvSpPr>
      <xdr:spPr bwMode="auto">
        <a:xfrm flipH="1">
          <a:off x="5048250" y="390730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949" name="Text Box 16"/>
        <xdr:cNvSpPr txBox="1">
          <a:spLocks noChangeArrowheads="1"/>
        </xdr:cNvSpPr>
      </xdr:nvSpPr>
      <xdr:spPr bwMode="auto">
        <a:xfrm flipH="1">
          <a:off x="5048250" y="390730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950" name="Text Box 12"/>
        <xdr:cNvSpPr txBox="1">
          <a:spLocks noChangeArrowheads="1"/>
        </xdr:cNvSpPr>
      </xdr:nvSpPr>
      <xdr:spPr bwMode="auto">
        <a:xfrm flipH="1">
          <a:off x="5048250" y="390606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951" name="Text Box 4"/>
        <xdr:cNvSpPr txBox="1">
          <a:spLocks noChangeArrowheads="1"/>
        </xdr:cNvSpPr>
      </xdr:nvSpPr>
      <xdr:spPr bwMode="auto">
        <a:xfrm flipH="1">
          <a:off x="5048250" y="390700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9525</xdr:rowOff>
    </xdr:to>
    <xdr:sp macro="" textlink="">
      <xdr:nvSpPr>
        <xdr:cNvPr id="1952" name="Text Box 4"/>
        <xdr:cNvSpPr txBox="1">
          <a:spLocks noChangeArrowheads="1"/>
        </xdr:cNvSpPr>
      </xdr:nvSpPr>
      <xdr:spPr bwMode="auto">
        <a:xfrm flipH="1">
          <a:off x="5048250" y="390620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23100</xdr:rowOff>
    </xdr:to>
    <xdr:sp macro="" textlink="">
      <xdr:nvSpPr>
        <xdr:cNvPr id="1953" name="Text Box 12"/>
        <xdr:cNvSpPr txBox="1">
          <a:spLocks noChangeArrowheads="1"/>
        </xdr:cNvSpPr>
      </xdr:nvSpPr>
      <xdr:spPr bwMode="auto">
        <a:xfrm flipH="1">
          <a:off x="5048250" y="39072054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23313</xdr:rowOff>
    </xdr:to>
    <xdr:sp macro="" textlink="">
      <xdr:nvSpPr>
        <xdr:cNvPr id="1954" name="Text Box 14"/>
        <xdr:cNvSpPr txBox="1">
          <a:spLocks noChangeArrowheads="1"/>
        </xdr:cNvSpPr>
      </xdr:nvSpPr>
      <xdr:spPr bwMode="auto">
        <a:xfrm flipH="1">
          <a:off x="5048250" y="39073089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23312</xdr:rowOff>
    </xdr:to>
    <xdr:sp macro="" textlink="">
      <xdr:nvSpPr>
        <xdr:cNvPr id="1955" name="Text Box 16"/>
        <xdr:cNvSpPr txBox="1">
          <a:spLocks noChangeArrowheads="1"/>
        </xdr:cNvSpPr>
      </xdr:nvSpPr>
      <xdr:spPr bwMode="auto">
        <a:xfrm flipH="1">
          <a:off x="5048250" y="39073089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0</xdr:rowOff>
    </xdr:to>
    <xdr:sp macro="" textlink="">
      <xdr:nvSpPr>
        <xdr:cNvPr id="1956" name="Text Box 12"/>
        <xdr:cNvSpPr txBox="1">
          <a:spLocks noChangeArrowheads="1"/>
        </xdr:cNvSpPr>
      </xdr:nvSpPr>
      <xdr:spPr bwMode="auto">
        <a:xfrm flipH="1">
          <a:off x="5048250" y="390606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26760</xdr:rowOff>
    </xdr:to>
    <xdr:sp macro="" textlink="">
      <xdr:nvSpPr>
        <xdr:cNvPr id="1957" name="Text Box 4"/>
        <xdr:cNvSpPr txBox="1">
          <a:spLocks noChangeArrowheads="1"/>
        </xdr:cNvSpPr>
      </xdr:nvSpPr>
      <xdr:spPr bwMode="auto">
        <a:xfrm flipH="1">
          <a:off x="5048250" y="39070001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958" name="Text Box 4"/>
        <xdr:cNvSpPr txBox="1">
          <a:spLocks noChangeArrowheads="1"/>
        </xdr:cNvSpPr>
      </xdr:nvSpPr>
      <xdr:spPr bwMode="auto">
        <a:xfrm flipH="1">
          <a:off x="5048250" y="390620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959" name="Text Box 12"/>
        <xdr:cNvSpPr txBox="1">
          <a:spLocks noChangeArrowheads="1"/>
        </xdr:cNvSpPr>
      </xdr:nvSpPr>
      <xdr:spPr bwMode="auto">
        <a:xfrm flipH="1">
          <a:off x="4815728" y="390720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960" name="Text Box 14"/>
        <xdr:cNvSpPr txBox="1">
          <a:spLocks noChangeArrowheads="1"/>
        </xdr:cNvSpPr>
      </xdr:nvSpPr>
      <xdr:spPr bwMode="auto">
        <a:xfrm flipH="1">
          <a:off x="4815728" y="390730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961" name="Text Box 16"/>
        <xdr:cNvSpPr txBox="1">
          <a:spLocks noChangeArrowheads="1"/>
        </xdr:cNvSpPr>
      </xdr:nvSpPr>
      <xdr:spPr bwMode="auto">
        <a:xfrm flipH="1">
          <a:off x="4815728" y="390730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962" name="Text Box 12"/>
        <xdr:cNvSpPr txBox="1">
          <a:spLocks noChangeArrowheads="1"/>
        </xdr:cNvSpPr>
      </xdr:nvSpPr>
      <xdr:spPr bwMode="auto">
        <a:xfrm flipH="1">
          <a:off x="4815728" y="390606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963" name="Text Box 4"/>
        <xdr:cNvSpPr txBox="1">
          <a:spLocks noChangeArrowheads="1"/>
        </xdr:cNvSpPr>
      </xdr:nvSpPr>
      <xdr:spPr bwMode="auto">
        <a:xfrm flipH="1">
          <a:off x="4815728" y="390700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28575</xdr:colOff>
      <xdr:row>84</xdr:row>
      <xdr:rowOff>9525</xdr:rowOff>
    </xdr:to>
    <xdr:sp macro="" textlink="">
      <xdr:nvSpPr>
        <xdr:cNvPr id="1964" name="Text Box 4"/>
        <xdr:cNvSpPr txBox="1">
          <a:spLocks noChangeArrowheads="1"/>
        </xdr:cNvSpPr>
      </xdr:nvSpPr>
      <xdr:spPr bwMode="auto">
        <a:xfrm flipH="1">
          <a:off x="5048250" y="390620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23100</xdr:rowOff>
    </xdr:to>
    <xdr:sp macro="" textlink="">
      <xdr:nvSpPr>
        <xdr:cNvPr id="1965" name="Text Box 12"/>
        <xdr:cNvSpPr txBox="1">
          <a:spLocks noChangeArrowheads="1"/>
        </xdr:cNvSpPr>
      </xdr:nvSpPr>
      <xdr:spPr bwMode="auto">
        <a:xfrm flipH="1">
          <a:off x="4815728" y="39072054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23313</xdr:rowOff>
    </xdr:to>
    <xdr:sp macro="" textlink="">
      <xdr:nvSpPr>
        <xdr:cNvPr id="1966" name="Text Box 14"/>
        <xdr:cNvSpPr txBox="1">
          <a:spLocks noChangeArrowheads="1"/>
        </xdr:cNvSpPr>
      </xdr:nvSpPr>
      <xdr:spPr bwMode="auto">
        <a:xfrm flipH="1">
          <a:off x="4815728" y="39073089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23312</xdr:rowOff>
    </xdr:to>
    <xdr:sp macro="" textlink="">
      <xdr:nvSpPr>
        <xdr:cNvPr id="1967" name="Text Box 16"/>
        <xdr:cNvSpPr txBox="1">
          <a:spLocks noChangeArrowheads="1"/>
        </xdr:cNvSpPr>
      </xdr:nvSpPr>
      <xdr:spPr bwMode="auto">
        <a:xfrm flipH="1">
          <a:off x="4815728" y="39073089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0</xdr:rowOff>
    </xdr:to>
    <xdr:sp macro="" textlink="">
      <xdr:nvSpPr>
        <xdr:cNvPr id="1968" name="Text Box 12"/>
        <xdr:cNvSpPr txBox="1">
          <a:spLocks noChangeArrowheads="1"/>
        </xdr:cNvSpPr>
      </xdr:nvSpPr>
      <xdr:spPr bwMode="auto">
        <a:xfrm flipH="1">
          <a:off x="4815728" y="390606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2621168</xdr:colOff>
      <xdr:row>84</xdr:row>
      <xdr:rowOff>26760</xdr:rowOff>
    </xdr:to>
    <xdr:sp macro="" textlink="">
      <xdr:nvSpPr>
        <xdr:cNvPr id="1969" name="Text Box 4"/>
        <xdr:cNvSpPr txBox="1">
          <a:spLocks noChangeArrowheads="1"/>
        </xdr:cNvSpPr>
      </xdr:nvSpPr>
      <xdr:spPr bwMode="auto">
        <a:xfrm flipH="1">
          <a:off x="4815728" y="39070001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1970" name="Text Box 4"/>
        <xdr:cNvSpPr txBox="1">
          <a:spLocks noChangeArrowheads="1"/>
        </xdr:cNvSpPr>
      </xdr:nvSpPr>
      <xdr:spPr bwMode="auto">
        <a:xfrm flipH="1">
          <a:off x="4815728" y="440295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1971" name="Text Box 12"/>
        <xdr:cNvSpPr txBox="1">
          <a:spLocks noChangeArrowheads="1"/>
        </xdr:cNvSpPr>
      </xdr:nvSpPr>
      <xdr:spPr bwMode="auto">
        <a:xfrm flipH="1">
          <a:off x="4815728" y="440379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1972" name="Text Box 14"/>
        <xdr:cNvSpPr txBox="1">
          <a:spLocks noChangeArrowheads="1"/>
        </xdr:cNvSpPr>
      </xdr:nvSpPr>
      <xdr:spPr bwMode="auto">
        <a:xfrm flipH="1">
          <a:off x="4815728" y="440389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1973" name="Text Box 16"/>
        <xdr:cNvSpPr txBox="1">
          <a:spLocks noChangeArrowheads="1"/>
        </xdr:cNvSpPr>
      </xdr:nvSpPr>
      <xdr:spPr bwMode="auto">
        <a:xfrm flipH="1">
          <a:off x="4815728" y="440389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1974" name="Text Box 12"/>
        <xdr:cNvSpPr txBox="1">
          <a:spLocks noChangeArrowheads="1"/>
        </xdr:cNvSpPr>
      </xdr:nvSpPr>
      <xdr:spPr bwMode="auto">
        <a:xfrm flipH="1">
          <a:off x="4815728" y="440360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1975" name="Text Box 4"/>
        <xdr:cNvSpPr txBox="1">
          <a:spLocks noChangeArrowheads="1"/>
        </xdr:cNvSpPr>
      </xdr:nvSpPr>
      <xdr:spPr bwMode="auto">
        <a:xfrm flipH="1">
          <a:off x="4815728" y="440358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1976" name="Text Box 4"/>
        <xdr:cNvSpPr txBox="1">
          <a:spLocks noChangeArrowheads="1"/>
        </xdr:cNvSpPr>
      </xdr:nvSpPr>
      <xdr:spPr bwMode="auto">
        <a:xfrm flipH="1">
          <a:off x="4815728" y="390636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1977" name="Text Box 12"/>
        <xdr:cNvSpPr txBox="1">
          <a:spLocks noChangeArrowheads="1"/>
        </xdr:cNvSpPr>
      </xdr:nvSpPr>
      <xdr:spPr bwMode="auto">
        <a:xfrm flipH="1">
          <a:off x="4815728" y="390720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1978" name="Text Box 14"/>
        <xdr:cNvSpPr txBox="1">
          <a:spLocks noChangeArrowheads="1"/>
        </xdr:cNvSpPr>
      </xdr:nvSpPr>
      <xdr:spPr bwMode="auto">
        <a:xfrm flipH="1">
          <a:off x="4815728" y="390730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1979" name="Text Box 16"/>
        <xdr:cNvSpPr txBox="1">
          <a:spLocks noChangeArrowheads="1"/>
        </xdr:cNvSpPr>
      </xdr:nvSpPr>
      <xdr:spPr bwMode="auto">
        <a:xfrm flipH="1">
          <a:off x="4815728" y="390730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1980" name="Text Box 12"/>
        <xdr:cNvSpPr txBox="1">
          <a:spLocks noChangeArrowheads="1"/>
        </xdr:cNvSpPr>
      </xdr:nvSpPr>
      <xdr:spPr bwMode="auto">
        <a:xfrm flipH="1">
          <a:off x="4815728" y="390606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1981" name="Text Box 4"/>
        <xdr:cNvSpPr txBox="1">
          <a:spLocks noChangeArrowheads="1"/>
        </xdr:cNvSpPr>
      </xdr:nvSpPr>
      <xdr:spPr bwMode="auto">
        <a:xfrm flipH="1">
          <a:off x="4815728" y="390700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1982" name="Text Box 4"/>
        <xdr:cNvSpPr txBox="1">
          <a:spLocks noChangeArrowheads="1"/>
        </xdr:cNvSpPr>
      </xdr:nvSpPr>
      <xdr:spPr bwMode="auto">
        <a:xfrm flipH="1">
          <a:off x="4815728" y="390636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1983" name="Text Box 12"/>
        <xdr:cNvSpPr txBox="1">
          <a:spLocks noChangeArrowheads="1"/>
        </xdr:cNvSpPr>
      </xdr:nvSpPr>
      <xdr:spPr bwMode="auto">
        <a:xfrm flipH="1">
          <a:off x="4815728" y="390720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1984" name="Text Box 14"/>
        <xdr:cNvSpPr txBox="1">
          <a:spLocks noChangeArrowheads="1"/>
        </xdr:cNvSpPr>
      </xdr:nvSpPr>
      <xdr:spPr bwMode="auto">
        <a:xfrm flipH="1">
          <a:off x="4815728" y="390730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1985" name="Text Box 16"/>
        <xdr:cNvSpPr txBox="1">
          <a:spLocks noChangeArrowheads="1"/>
        </xdr:cNvSpPr>
      </xdr:nvSpPr>
      <xdr:spPr bwMode="auto">
        <a:xfrm flipH="1">
          <a:off x="4815728" y="390730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1986" name="Text Box 12"/>
        <xdr:cNvSpPr txBox="1">
          <a:spLocks noChangeArrowheads="1"/>
        </xdr:cNvSpPr>
      </xdr:nvSpPr>
      <xdr:spPr bwMode="auto">
        <a:xfrm flipH="1">
          <a:off x="4815728" y="390606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1987" name="Text Box 4"/>
        <xdr:cNvSpPr txBox="1">
          <a:spLocks noChangeArrowheads="1"/>
        </xdr:cNvSpPr>
      </xdr:nvSpPr>
      <xdr:spPr bwMode="auto">
        <a:xfrm flipH="1">
          <a:off x="4815728" y="390700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39283</xdr:rowOff>
    </xdr:to>
    <xdr:sp macro="" textlink="">
      <xdr:nvSpPr>
        <xdr:cNvPr id="1988" name="Text Box 4"/>
        <xdr:cNvSpPr txBox="1">
          <a:spLocks noChangeArrowheads="1"/>
        </xdr:cNvSpPr>
      </xdr:nvSpPr>
      <xdr:spPr bwMode="auto">
        <a:xfrm flipH="1">
          <a:off x="5048250" y="440295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32725</xdr:rowOff>
    </xdr:to>
    <xdr:sp macro="" textlink="">
      <xdr:nvSpPr>
        <xdr:cNvPr id="1989" name="Text Box 12"/>
        <xdr:cNvSpPr txBox="1">
          <a:spLocks noChangeArrowheads="1"/>
        </xdr:cNvSpPr>
      </xdr:nvSpPr>
      <xdr:spPr bwMode="auto">
        <a:xfrm flipH="1">
          <a:off x="5048250" y="440379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34743</xdr:rowOff>
    </xdr:to>
    <xdr:sp macro="" textlink="">
      <xdr:nvSpPr>
        <xdr:cNvPr id="1990" name="Text Box 14"/>
        <xdr:cNvSpPr txBox="1">
          <a:spLocks noChangeArrowheads="1"/>
        </xdr:cNvSpPr>
      </xdr:nvSpPr>
      <xdr:spPr bwMode="auto">
        <a:xfrm flipH="1">
          <a:off x="5048250" y="440389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34742</xdr:rowOff>
    </xdr:to>
    <xdr:sp macro="" textlink="">
      <xdr:nvSpPr>
        <xdr:cNvPr id="1991" name="Text Box 16"/>
        <xdr:cNvSpPr txBox="1">
          <a:spLocks noChangeArrowheads="1"/>
        </xdr:cNvSpPr>
      </xdr:nvSpPr>
      <xdr:spPr bwMode="auto">
        <a:xfrm flipH="1">
          <a:off x="5048250" y="440389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30162</xdr:rowOff>
    </xdr:to>
    <xdr:sp macro="" textlink="">
      <xdr:nvSpPr>
        <xdr:cNvPr id="1992" name="Text Box 12"/>
        <xdr:cNvSpPr txBox="1">
          <a:spLocks noChangeArrowheads="1"/>
        </xdr:cNvSpPr>
      </xdr:nvSpPr>
      <xdr:spPr bwMode="auto">
        <a:xfrm flipH="1">
          <a:off x="5048250" y="440360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20664</xdr:rowOff>
    </xdr:to>
    <xdr:sp macro="" textlink="">
      <xdr:nvSpPr>
        <xdr:cNvPr id="1993" name="Text Box 4"/>
        <xdr:cNvSpPr txBox="1">
          <a:spLocks noChangeArrowheads="1"/>
        </xdr:cNvSpPr>
      </xdr:nvSpPr>
      <xdr:spPr bwMode="auto">
        <a:xfrm flipH="1">
          <a:off x="5048250" y="440358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80456</xdr:rowOff>
    </xdr:to>
    <xdr:sp macro="" textlink="">
      <xdr:nvSpPr>
        <xdr:cNvPr id="1994" name="Text Box 4"/>
        <xdr:cNvSpPr txBox="1">
          <a:spLocks noChangeArrowheads="1"/>
        </xdr:cNvSpPr>
      </xdr:nvSpPr>
      <xdr:spPr bwMode="auto">
        <a:xfrm flipH="1">
          <a:off x="5048250" y="390636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24544</xdr:rowOff>
    </xdr:to>
    <xdr:sp macro="" textlink="">
      <xdr:nvSpPr>
        <xdr:cNvPr id="1995" name="Text Box 12"/>
        <xdr:cNvSpPr txBox="1">
          <a:spLocks noChangeArrowheads="1"/>
        </xdr:cNvSpPr>
      </xdr:nvSpPr>
      <xdr:spPr bwMode="auto">
        <a:xfrm flipH="1">
          <a:off x="5048250" y="390720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23162</xdr:rowOff>
    </xdr:to>
    <xdr:sp macro="" textlink="">
      <xdr:nvSpPr>
        <xdr:cNvPr id="1996" name="Text Box 14"/>
        <xdr:cNvSpPr txBox="1">
          <a:spLocks noChangeArrowheads="1"/>
        </xdr:cNvSpPr>
      </xdr:nvSpPr>
      <xdr:spPr bwMode="auto">
        <a:xfrm flipH="1">
          <a:off x="5048250" y="390730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23161</xdr:rowOff>
    </xdr:to>
    <xdr:sp macro="" textlink="">
      <xdr:nvSpPr>
        <xdr:cNvPr id="1997" name="Text Box 16"/>
        <xdr:cNvSpPr txBox="1">
          <a:spLocks noChangeArrowheads="1"/>
        </xdr:cNvSpPr>
      </xdr:nvSpPr>
      <xdr:spPr bwMode="auto">
        <a:xfrm flipH="1">
          <a:off x="5048250" y="390730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80989</xdr:rowOff>
    </xdr:to>
    <xdr:sp macro="" textlink="">
      <xdr:nvSpPr>
        <xdr:cNvPr id="1998" name="Text Box 12"/>
        <xdr:cNvSpPr txBox="1">
          <a:spLocks noChangeArrowheads="1"/>
        </xdr:cNvSpPr>
      </xdr:nvSpPr>
      <xdr:spPr bwMode="auto">
        <a:xfrm flipH="1">
          <a:off x="5048250" y="390606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30996</xdr:rowOff>
    </xdr:to>
    <xdr:sp macro="" textlink="">
      <xdr:nvSpPr>
        <xdr:cNvPr id="1999" name="Text Box 4"/>
        <xdr:cNvSpPr txBox="1">
          <a:spLocks noChangeArrowheads="1"/>
        </xdr:cNvSpPr>
      </xdr:nvSpPr>
      <xdr:spPr bwMode="auto">
        <a:xfrm flipH="1">
          <a:off x="5048250" y="390700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80456</xdr:rowOff>
    </xdr:to>
    <xdr:sp macro="" textlink="">
      <xdr:nvSpPr>
        <xdr:cNvPr id="2000" name="Text Box 4"/>
        <xdr:cNvSpPr txBox="1">
          <a:spLocks noChangeArrowheads="1"/>
        </xdr:cNvSpPr>
      </xdr:nvSpPr>
      <xdr:spPr bwMode="auto">
        <a:xfrm flipH="1">
          <a:off x="5048250" y="390636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24544</xdr:rowOff>
    </xdr:to>
    <xdr:sp macro="" textlink="">
      <xdr:nvSpPr>
        <xdr:cNvPr id="2001" name="Text Box 12"/>
        <xdr:cNvSpPr txBox="1">
          <a:spLocks noChangeArrowheads="1"/>
        </xdr:cNvSpPr>
      </xdr:nvSpPr>
      <xdr:spPr bwMode="auto">
        <a:xfrm flipH="1">
          <a:off x="5048250" y="390720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23162</xdr:rowOff>
    </xdr:to>
    <xdr:sp macro="" textlink="">
      <xdr:nvSpPr>
        <xdr:cNvPr id="2002" name="Text Box 14"/>
        <xdr:cNvSpPr txBox="1">
          <a:spLocks noChangeArrowheads="1"/>
        </xdr:cNvSpPr>
      </xdr:nvSpPr>
      <xdr:spPr bwMode="auto">
        <a:xfrm flipH="1">
          <a:off x="5048250" y="390730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23161</xdr:rowOff>
    </xdr:to>
    <xdr:sp macro="" textlink="">
      <xdr:nvSpPr>
        <xdr:cNvPr id="2003" name="Text Box 16"/>
        <xdr:cNvSpPr txBox="1">
          <a:spLocks noChangeArrowheads="1"/>
        </xdr:cNvSpPr>
      </xdr:nvSpPr>
      <xdr:spPr bwMode="auto">
        <a:xfrm flipH="1">
          <a:off x="5048250" y="390730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80989</xdr:rowOff>
    </xdr:to>
    <xdr:sp macro="" textlink="">
      <xdr:nvSpPr>
        <xdr:cNvPr id="2004" name="Text Box 12"/>
        <xdr:cNvSpPr txBox="1">
          <a:spLocks noChangeArrowheads="1"/>
        </xdr:cNvSpPr>
      </xdr:nvSpPr>
      <xdr:spPr bwMode="auto">
        <a:xfrm flipH="1">
          <a:off x="5048250" y="390606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30996</xdr:rowOff>
    </xdr:to>
    <xdr:sp macro="" textlink="">
      <xdr:nvSpPr>
        <xdr:cNvPr id="2005" name="Text Box 4"/>
        <xdr:cNvSpPr txBox="1">
          <a:spLocks noChangeArrowheads="1"/>
        </xdr:cNvSpPr>
      </xdr:nvSpPr>
      <xdr:spPr bwMode="auto">
        <a:xfrm flipH="1">
          <a:off x="5048250" y="390700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2006" name="Text Box 4"/>
        <xdr:cNvSpPr txBox="1">
          <a:spLocks noChangeArrowheads="1"/>
        </xdr:cNvSpPr>
      </xdr:nvSpPr>
      <xdr:spPr bwMode="auto">
        <a:xfrm flipH="1">
          <a:off x="4815728" y="440295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2007" name="Text Box 12"/>
        <xdr:cNvSpPr txBox="1">
          <a:spLocks noChangeArrowheads="1"/>
        </xdr:cNvSpPr>
      </xdr:nvSpPr>
      <xdr:spPr bwMode="auto">
        <a:xfrm flipH="1">
          <a:off x="4815728" y="440379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2008" name="Text Box 14"/>
        <xdr:cNvSpPr txBox="1">
          <a:spLocks noChangeArrowheads="1"/>
        </xdr:cNvSpPr>
      </xdr:nvSpPr>
      <xdr:spPr bwMode="auto">
        <a:xfrm flipH="1">
          <a:off x="4815728" y="440389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2009" name="Text Box 16"/>
        <xdr:cNvSpPr txBox="1">
          <a:spLocks noChangeArrowheads="1"/>
        </xdr:cNvSpPr>
      </xdr:nvSpPr>
      <xdr:spPr bwMode="auto">
        <a:xfrm flipH="1">
          <a:off x="4815728" y="440389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2010" name="Text Box 12"/>
        <xdr:cNvSpPr txBox="1">
          <a:spLocks noChangeArrowheads="1"/>
        </xdr:cNvSpPr>
      </xdr:nvSpPr>
      <xdr:spPr bwMode="auto">
        <a:xfrm flipH="1">
          <a:off x="4815728" y="440360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2011" name="Text Box 4"/>
        <xdr:cNvSpPr txBox="1">
          <a:spLocks noChangeArrowheads="1"/>
        </xdr:cNvSpPr>
      </xdr:nvSpPr>
      <xdr:spPr bwMode="auto">
        <a:xfrm flipH="1">
          <a:off x="4815728" y="440358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2012" name="Text Box 4"/>
        <xdr:cNvSpPr txBox="1">
          <a:spLocks noChangeArrowheads="1"/>
        </xdr:cNvSpPr>
      </xdr:nvSpPr>
      <xdr:spPr bwMode="auto">
        <a:xfrm flipH="1">
          <a:off x="4815728" y="390636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2013" name="Text Box 12"/>
        <xdr:cNvSpPr txBox="1">
          <a:spLocks noChangeArrowheads="1"/>
        </xdr:cNvSpPr>
      </xdr:nvSpPr>
      <xdr:spPr bwMode="auto">
        <a:xfrm flipH="1">
          <a:off x="4815728" y="390720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2014" name="Text Box 14"/>
        <xdr:cNvSpPr txBox="1">
          <a:spLocks noChangeArrowheads="1"/>
        </xdr:cNvSpPr>
      </xdr:nvSpPr>
      <xdr:spPr bwMode="auto">
        <a:xfrm flipH="1">
          <a:off x="4815728" y="390730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2015" name="Text Box 16"/>
        <xdr:cNvSpPr txBox="1">
          <a:spLocks noChangeArrowheads="1"/>
        </xdr:cNvSpPr>
      </xdr:nvSpPr>
      <xdr:spPr bwMode="auto">
        <a:xfrm flipH="1">
          <a:off x="4815728" y="390730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2016" name="Text Box 12"/>
        <xdr:cNvSpPr txBox="1">
          <a:spLocks noChangeArrowheads="1"/>
        </xdr:cNvSpPr>
      </xdr:nvSpPr>
      <xdr:spPr bwMode="auto">
        <a:xfrm flipH="1">
          <a:off x="4815728" y="390606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2017" name="Text Box 4"/>
        <xdr:cNvSpPr txBox="1">
          <a:spLocks noChangeArrowheads="1"/>
        </xdr:cNvSpPr>
      </xdr:nvSpPr>
      <xdr:spPr bwMode="auto">
        <a:xfrm flipH="1">
          <a:off x="4815728" y="390700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2018" name="Text Box 4"/>
        <xdr:cNvSpPr txBox="1">
          <a:spLocks noChangeArrowheads="1"/>
        </xdr:cNvSpPr>
      </xdr:nvSpPr>
      <xdr:spPr bwMode="auto">
        <a:xfrm flipH="1">
          <a:off x="4815728" y="390636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2019" name="Text Box 12"/>
        <xdr:cNvSpPr txBox="1">
          <a:spLocks noChangeArrowheads="1"/>
        </xdr:cNvSpPr>
      </xdr:nvSpPr>
      <xdr:spPr bwMode="auto">
        <a:xfrm flipH="1">
          <a:off x="4815728" y="390720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2020" name="Text Box 14"/>
        <xdr:cNvSpPr txBox="1">
          <a:spLocks noChangeArrowheads="1"/>
        </xdr:cNvSpPr>
      </xdr:nvSpPr>
      <xdr:spPr bwMode="auto">
        <a:xfrm flipH="1">
          <a:off x="4815728" y="390730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2021" name="Text Box 16"/>
        <xdr:cNvSpPr txBox="1">
          <a:spLocks noChangeArrowheads="1"/>
        </xdr:cNvSpPr>
      </xdr:nvSpPr>
      <xdr:spPr bwMode="auto">
        <a:xfrm flipH="1">
          <a:off x="4815728" y="390730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2022" name="Text Box 12"/>
        <xdr:cNvSpPr txBox="1">
          <a:spLocks noChangeArrowheads="1"/>
        </xdr:cNvSpPr>
      </xdr:nvSpPr>
      <xdr:spPr bwMode="auto">
        <a:xfrm flipH="1">
          <a:off x="4815728" y="390606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2023" name="Text Box 4"/>
        <xdr:cNvSpPr txBox="1">
          <a:spLocks noChangeArrowheads="1"/>
        </xdr:cNvSpPr>
      </xdr:nvSpPr>
      <xdr:spPr bwMode="auto">
        <a:xfrm flipH="1">
          <a:off x="4815728" y="390700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39283</xdr:rowOff>
    </xdr:to>
    <xdr:sp macro="" textlink="">
      <xdr:nvSpPr>
        <xdr:cNvPr id="2024" name="Text Box 4"/>
        <xdr:cNvSpPr txBox="1">
          <a:spLocks noChangeArrowheads="1"/>
        </xdr:cNvSpPr>
      </xdr:nvSpPr>
      <xdr:spPr bwMode="auto">
        <a:xfrm flipH="1">
          <a:off x="5048250" y="440295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32725</xdr:rowOff>
    </xdr:to>
    <xdr:sp macro="" textlink="">
      <xdr:nvSpPr>
        <xdr:cNvPr id="2025" name="Text Box 12"/>
        <xdr:cNvSpPr txBox="1">
          <a:spLocks noChangeArrowheads="1"/>
        </xdr:cNvSpPr>
      </xdr:nvSpPr>
      <xdr:spPr bwMode="auto">
        <a:xfrm flipH="1">
          <a:off x="5048250" y="440379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34743</xdr:rowOff>
    </xdr:to>
    <xdr:sp macro="" textlink="">
      <xdr:nvSpPr>
        <xdr:cNvPr id="2026" name="Text Box 14"/>
        <xdr:cNvSpPr txBox="1">
          <a:spLocks noChangeArrowheads="1"/>
        </xdr:cNvSpPr>
      </xdr:nvSpPr>
      <xdr:spPr bwMode="auto">
        <a:xfrm flipH="1">
          <a:off x="5048250" y="440389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34742</xdr:rowOff>
    </xdr:to>
    <xdr:sp macro="" textlink="">
      <xdr:nvSpPr>
        <xdr:cNvPr id="2027" name="Text Box 16"/>
        <xdr:cNvSpPr txBox="1">
          <a:spLocks noChangeArrowheads="1"/>
        </xdr:cNvSpPr>
      </xdr:nvSpPr>
      <xdr:spPr bwMode="auto">
        <a:xfrm flipH="1">
          <a:off x="5048250" y="440389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30162</xdr:rowOff>
    </xdr:to>
    <xdr:sp macro="" textlink="">
      <xdr:nvSpPr>
        <xdr:cNvPr id="2028" name="Text Box 12"/>
        <xdr:cNvSpPr txBox="1">
          <a:spLocks noChangeArrowheads="1"/>
        </xdr:cNvSpPr>
      </xdr:nvSpPr>
      <xdr:spPr bwMode="auto">
        <a:xfrm flipH="1">
          <a:off x="5048250" y="440360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20664</xdr:rowOff>
    </xdr:to>
    <xdr:sp macro="" textlink="">
      <xdr:nvSpPr>
        <xdr:cNvPr id="2029" name="Text Box 4"/>
        <xdr:cNvSpPr txBox="1">
          <a:spLocks noChangeArrowheads="1"/>
        </xdr:cNvSpPr>
      </xdr:nvSpPr>
      <xdr:spPr bwMode="auto">
        <a:xfrm flipH="1">
          <a:off x="5048250" y="440358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80456</xdr:rowOff>
    </xdr:to>
    <xdr:sp macro="" textlink="">
      <xdr:nvSpPr>
        <xdr:cNvPr id="2030" name="Text Box 4"/>
        <xdr:cNvSpPr txBox="1">
          <a:spLocks noChangeArrowheads="1"/>
        </xdr:cNvSpPr>
      </xdr:nvSpPr>
      <xdr:spPr bwMode="auto">
        <a:xfrm flipH="1">
          <a:off x="5048250" y="390636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24544</xdr:rowOff>
    </xdr:to>
    <xdr:sp macro="" textlink="">
      <xdr:nvSpPr>
        <xdr:cNvPr id="2031" name="Text Box 12"/>
        <xdr:cNvSpPr txBox="1">
          <a:spLocks noChangeArrowheads="1"/>
        </xdr:cNvSpPr>
      </xdr:nvSpPr>
      <xdr:spPr bwMode="auto">
        <a:xfrm flipH="1">
          <a:off x="5048250" y="390720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23162</xdr:rowOff>
    </xdr:to>
    <xdr:sp macro="" textlink="">
      <xdr:nvSpPr>
        <xdr:cNvPr id="2032" name="Text Box 14"/>
        <xdr:cNvSpPr txBox="1">
          <a:spLocks noChangeArrowheads="1"/>
        </xdr:cNvSpPr>
      </xdr:nvSpPr>
      <xdr:spPr bwMode="auto">
        <a:xfrm flipH="1">
          <a:off x="5048250" y="390730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23161</xdr:rowOff>
    </xdr:to>
    <xdr:sp macro="" textlink="">
      <xdr:nvSpPr>
        <xdr:cNvPr id="2033" name="Text Box 16"/>
        <xdr:cNvSpPr txBox="1">
          <a:spLocks noChangeArrowheads="1"/>
        </xdr:cNvSpPr>
      </xdr:nvSpPr>
      <xdr:spPr bwMode="auto">
        <a:xfrm flipH="1">
          <a:off x="5048250" y="390730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80989</xdr:rowOff>
    </xdr:to>
    <xdr:sp macro="" textlink="">
      <xdr:nvSpPr>
        <xdr:cNvPr id="2034" name="Text Box 12"/>
        <xdr:cNvSpPr txBox="1">
          <a:spLocks noChangeArrowheads="1"/>
        </xdr:cNvSpPr>
      </xdr:nvSpPr>
      <xdr:spPr bwMode="auto">
        <a:xfrm flipH="1">
          <a:off x="5048250" y="390606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30996</xdr:rowOff>
    </xdr:to>
    <xdr:sp macro="" textlink="">
      <xdr:nvSpPr>
        <xdr:cNvPr id="2035" name="Text Box 4"/>
        <xdr:cNvSpPr txBox="1">
          <a:spLocks noChangeArrowheads="1"/>
        </xdr:cNvSpPr>
      </xdr:nvSpPr>
      <xdr:spPr bwMode="auto">
        <a:xfrm flipH="1">
          <a:off x="5048250" y="390700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80456</xdr:rowOff>
    </xdr:to>
    <xdr:sp macro="" textlink="">
      <xdr:nvSpPr>
        <xdr:cNvPr id="2036" name="Text Box 4"/>
        <xdr:cNvSpPr txBox="1">
          <a:spLocks noChangeArrowheads="1"/>
        </xdr:cNvSpPr>
      </xdr:nvSpPr>
      <xdr:spPr bwMode="auto">
        <a:xfrm flipH="1">
          <a:off x="5048250" y="390636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24544</xdr:rowOff>
    </xdr:to>
    <xdr:sp macro="" textlink="">
      <xdr:nvSpPr>
        <xdr:cNvPr id="2037" name="Text Box 12"/>
        <xdr:cNvSpPr txBox="1">
          <a:spLocks noChangeArrowheads="1"/>
        </xdr:cNvSpPr>
      </xdr:nvSpPr>
      <xdr:spPr bwMode="auto">
        <a:xfrm flipH="1">
          <a:off x="5048250" y="390720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23162</xdr:rowOff>
    </xdr:to>
    <xdr:sp macro="" textlink="">
      <xdr:nvSpPr>
        <xdr:cNvPr id="2038" name="Text Box 14"/>
        <xdr:cNvSpPr txBox="1">
          <a:spLocks noChangeArrowheads="1"/>
        </xdr:cNvSpPr>
      </xdr:nvSpPr>
      <xdr:spPr bwMode="auto">
        <a:xfrm flipH="1">
          <a:off x="5048250" y="390730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23161</xdr:rowOff>
    </xdr:to>
    <xdr:sp macro="" textlink="">
      <xdr:nvSpPr>
        <xdr:cNvPr id="2039" name="Text Box 16"/>
        <xdr:cNvSpPr txBox="1">
          <a:spLocks noChangeArrowheads="1"/>
        </xdr:cNvSpPr>
      </xdr:nvSpPr>
      <xdr:spPr bwMode="auto">
        <a:xfrm flipH="1">
          <a:off x="5048250" y="390730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80989</xdr:rowOff>
    </xdr:to>
    <xdr:sp macro="" textlink="">
      <xdr:nvSpPr>
        <xdr:cNvPr id="2040" name="Text Box 12"/>
        <xdr:cNvSpPr txBox="1">
          <a:spLocks noChangeArrowheads="1"/>
        </xdr:cNvSpPr>
      </xdr:nvSpPr>
      <xdr:spPr bwMode="auto">
        <a:xfrm flipH="1">
          <a:off x="5048250" y="390606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0</xdr:colOff>
      <xdr:row>84</xdr:row>
      <xdr:rowOff>30996</xdr:rowOff>
    </xdr:to>
    <xdr:sp macro="" textlink="">
      <xdr:nvSpPr>
        <xdr:cNvPr id="2041" name="Text Box 4"/>
        <xdr:cNvSpPr txBox="1">
          <a:spLocks noChangeArrowheads="1"/>
        </xdr:cNvSpPr>
      </xdr:nvSpPr>
      <xdr:spPr bwMode="auto">
        <a:xfrm flipH="1">
          <a:off x="5048250" y="390700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2042" name="Text Box 4"/>
        <xdr:cNvSpPr txBox="1">
          <a:spLocks noChangeArrowheads="1"/>
        </xdr:cNvSpPr>
      </xdr:nvSpPr>
      <xdr:spPr bwMode="auto">
        <a:xfrm flipH="1">
          <a:off x="4815728" y="390636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2043" name="Text Box 12"/>
        <xdr:cNvSpPr txBox="1">
          <a:spLocks noChangeArrowheads="1"/>
        </xdr:cNvSpPr>
      </xdr:nvSpPr>
      <xdr:spPr bwMode="auto">
        <a:xfrm flipH="1">
          <a:off x="4815728" y="390720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2044" name="Text Box 14"/>
        <xdr:cNvSpPr txBox="1">
          <a:spLocks noChangeArrowheads="1"/>
        </xdr:cNvSpPr>
      </xdr:nvSpPr>
      <xdr:spPr bwMode="auto">
        <a:xfrm flipH="1">
          <a:off x="4815728" y="390730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2045" name="Text Box 16"/>
        <xdr:cNvSpPr txBox="1">
          <a:spLocks noChangeArrowheads="1"/>
        </xdr:cNvSpPr>
      </xdr:nvSpPr>
      <xdr:spPr bwMode="auto">
        <a:xfrm flipH="1">
          <a:off x="4815728" y="390730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2046" name="Text Box 12"/>
        <xdr:cNvSpPr txBox="1">
          <a:spLocks noChangeArrowheads="1"/>
        </xdr:cNvSpPr>
      </xdr:nvSpPr>
      <xdr:spPr bwMode="auto">
        <a:xfrm flipH="1">
          <a:off x="4815728" y="390606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2047" name="Text Box 4"/>
        <xdr:cNvSpPr txBox="1">
          <a:spLocks noChangeArrowheads="1"/>
        </xdr:cNvSpPr>
      </xdr:nvSpPr>
      <xdr:spPr bwMode="auto">
        <a:xfrm flipH="1">
          <a:off x="4815728" y="390700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80456</xdr:rowOff>
    </xdr:to>
    <xdr:sp macro="" textlink="">
      <xdr:nvSpPr>
        <xdr:cNvPr id="2048" name="Text Box 4"/>
        <xdr:cNvSpPr txBox="1">
          <a:spLocks noChangeArrowheads="1"/>
        </xdr:cNvSpPr>
      </xdr:nvSpPr>
      <xdr:spPr bwMode="auto">
        <a:xfrm flipH="1">
          <a:off x="4815728" y="39063651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24544</xdr:rowOff>
    </xdr:to>
    <xdr:sp macro="" textlink="">
      <xdr:nvSpPr>
        <xdr:cNvPr id="2049" name="Text Box 12"/>
        <xdr:cNvSpPr txBox="1">
          <a:spLocks noChangeArrowheads="1"/>
        </xdr:cNvSpPr>
      </xdr:nvSpPr>
      <xdr:spPr bwMode="auto">
        <a:xfrm flipH="1">
          <a:off x="4815728" y="39072054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23162</xdr:rowOff>
    </xdr:to>
    <xdr:sp macro="" textlink="">
      <xdr:nvSpPr>
        <xdr:cNvPr id="2050" name="Text Box 14"/>
        <xdr:cNvSpPr txBox="1">
          <a:spLocks noChangeArrowheads="1"/>
        </xdr:cNvSpPr>
      </xdr:nvSpPr>
      <xdr:spPr bwMode="auto">
        <a:xfrm flipH="1">
          <a:off x="4815728" y="39073089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23161</xdr:rowOff>
    </xdr:to>
    <xdr:sp macro="" textlink="">
      <xdr:nvSpPr>
        <xdr:cNvPr id="2051" name="Text Box 16"/>
        <xdr:cNvSpPr txBox="1">
          <a:spLocks noChangeArrowheads="1"/>
        </xdr:cNvSpPr>
      </xdr:nvSpPr>
      <xdr:spPr bwMode="auto">
        <a:xfrm flipH="1">
          <a:off x="4815728" y="39073089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80989</xdr:rowOff>
    </xdr:to>
    <xdr:sp macro="" textlink="">
      <xdr:nvSpPr>
        <xdr:cNvPr id="2052" name="Text Box 12"/>
        <xdr:cNvSpPr txBox="1">
          <a:spLocks noChangeArrowheads="1"/>
        </xdr:cNvSpPr>
      </xdr:nvSpPr>
      <xdr:spPr bwMode="auto">
        <a:xfrm flipH="1">
          <a:off x="4815728" y="390606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30996</xdr:rowOff>
    </xdr:to>
    <xdr:sp macro="" textlink="">
      <xdr:nvSpPr>
        <xdr:cNvPr id="2053" name="Text Box 4"/>
        <xdr:cNvSpPr txBox="1">
          <a:spLocks noChangeArrowheads="1"/>
        </xdr:cNvSpPr>
      </xdr:nvSpPr>
      <xdr:spPr bwMode="auto">
        <a:xfrm flipH="1">
          <a:off x="4815728" y="39070001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2054" name="Text Box 4"/>
        <xdr:cNvSpPr txBox="1">
          <a:spLocks noChangeArrowheads="1"/>
        </xdr:cNvSpPr>
      </xdr:nvSpPr>
      <xdr:spPr bwMode="auto">
        <a:xfrm flipH="1">
          <a:off x="4815728" y="440295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2055" name="Text Box 12"/>
        <xdr:cNvSpPr txBox="1">
          <a:spLocks noChangeArrowheads="1"/>
        </xdr:cNvSpPr>
      </xdr:nvSpPr>
      <xdr:spPr bwMode="auto">
        <a:xfrm flipH="1">
          <a:off x="4815728" y="440379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2056" name="Text Box 14"/>
        <xdr:cNvSpPr txBox="1">
          <a:spLocks noChangeArrowheads="1"/>
        </xdr:cNvSpPr>
      </xdr:nvSpPr>
      <xdr:spPr bwMode="auto">
        <a:xfrm flipH="1">
          <a:off x="4815728" y="440389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2057" name="Text Box 16"/>
        <xdr:cNvSpPr txBox="1">
          <a:spLocks noChangeArrowheads="1"/>
        </xdr:cNvSpPr>
      </xdr:nvSpPr>
      <xdr:spPr bwMode="auto">
        <a:xfrm flipH="1">
          <a:off x="4815728" y="440389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2058" name="Text Box 12"/>
        <xdr:cNvSpPr txBox="1">
          <a:spLocks noChangeArrowheads="1"/>
        </xdr:cNvSpPr>
      </xdr:nvSpPr>
      <xdr:spPr bwMode="auto">
        <a:xfrm flipH="1">
          <a:off x="4815728" y="440360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2059" name="Text Box 4"/>
        <xdr:cNvSpPr txBox="1">
          <a:spLocks noChangeArrowheads="1"/>
        </xdr:cNvSpPr>
      </xdr:nvSpPr>
      <xdr:spPr bwMode="auto">
        <a:xfrm flipH="1">
          <a:off x="4815728" y="440358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60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61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62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63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64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65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66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67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68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69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70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71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72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73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74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75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76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77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78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79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80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81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82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83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2084" name="Text Box 4"/>
        <xdr:cNvSpPr txBox="1">
          <a:spLocks noChangeArrowheads="1"/>
        </xdr:cNvSpPr>
      </xdr:nvSpPr>
      <xdr:spPr bwMode="auto">
        <a:xfrm flipH="1">
          <a:off x="4815728" y="440295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2085" name="Text Box 12"/>
        <xdr:cNvSpPr txBox="1">
          <a:spLocks noChangeArrowheads="1"/>
        </xdr:cNvSpPr>
      </xdr:nvSpPr>
      <xdr:spPr bwMode="auto">
        <a:xfrm flipH="1">
          <a:off x="4815728" y="440379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2086" name="Text Box 14"/>
        <xdr:cNvSpPr txBox="1">
          <a:spLocks noChangeArrowheads="1"/>
        </xdr:cNvSpPr>
      </xdr:nvSpPr>
      <xdr:spPr bwMode="auto">
        <a:xfrm flipH="1">
          <a:off x="4815728" y="440389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2087" name="Text Box 16"/>
        <xdr:cNvSpPr txBox="1">
          <a:spLocks noChangeArrowheads="1"/>
        </xdr:cNvSpPr>
      </xdr:nvSpPr>
      <xdr:spPr bwMode="auto">
        <a:xfrm flipH="1">
          <a:off x="4815728" y="440389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2088" name="Text Box 12"/>
        <xdr:cNvSpPr txBox="1">
          <a:spLocks noChangeArrowheads="1"/>
        </xdr:cNvSpPr>
      </xdr:nvSpPr>
      <xdr:spPr bwMode="auto">
        <a:xfrm flipH="1">
          <a:off x="4815728" y="440360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2089" name="Text Box 4"/>
        <xdr:cNvSpPr txBox="1">
          <a:spLocks noChangeArrowheads="1"/>
        </xdr:cNvSpPr>
      </xdr:nvSpPr>
      <xdr:spPr bwMode="auto">
        <a:xfrm flipH="1">
          <a:off x="4815728" y="440358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90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91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92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93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94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95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96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97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98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099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00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01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02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03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04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05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06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07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08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09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10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11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12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13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2114" name="Text Box 4"/>
        <xdr:cNvSpPr txBox="1">
          <a:spLocks noChangeArrowheads="1"/>
        </xdr:cNvSpPr>
      </xdr:nvSpPr>
      <xdr:spPr bwMode="auto">
        <a:xfrm flipH="1">
          <a:off x="4815728" y="440295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2115" name="Text Box 12"/>
        <xdr:cNvSpPr txBox="1">
          <a:spLocks noChangeArrowheads="1"/>
        </xdr:cNvSpPr>
      </xdr:nvSpPr>
      <xdr:spPr bwMode="auto">
        <a:xfrm flipH="1">
          <a:off x="4815728" y="440379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2116" name="Text Box 14"/>
        <xdr:cNvSpPr txBox="1">
          <a:spLocks noChangeArrowheads="1"/>
        </xdr:cNvSpPr>
      </xdr:nvSpPr>
      <xdr:spPr bwMode="auto">
        <a:xfrm flipH="1">
          <a:off x="4815728" y="440389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2117" name="Text Box 16"/>
        <xdr:cNvSpPr txBox="1">
          <a:spLocks noChangeArrowheads="1"/>
        </xdr:cNvSpPr>
      </xdr:nvSpPr>
      <xdr:spPr bwMode="auto">
        <a:xfrm flipH="1">
          <a:off x="4815728" y="440389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2118" name="Text Box 12"/>
        <xdr:cNvSpPr txBox="1">
          <a:spLocks noChangeArrowheads="1"/>
        </xdr:cNvSpPr>
      </xdr:nvSpPr>
      <xdr:spPr bwMode="auto">
        <a:xfrm flipH="1">
          <a:off x="4815728" y="440360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2119" name="Text Box 4"/>
        <xdr:cNvSpPr txBox="1">
          <a:spLocks noChangeArrowheads="1"/>
        </xdr:cNvSpPr>
      </xdr:nvSpPr>
      <xdr:spPr bwMode="auto">
        <a:xfrm flipH="1">
          <a:off x="4815728" y="440358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20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21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22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23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24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25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26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27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28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29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30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31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32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33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34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35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36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37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38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39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40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41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42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43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2144" name="Text Box 4"/>
        <xdr:cNvSpPr txBox="1">
          <a:spLocks noChangeArrowheads="1"/>
        </xdr:cNvSpPr>
      </xdr:nvSpPr>
      <xdr:spPr bwMode="auto">
        <a:xfrm flipH="1">
          <a:off x="4815728" y="440295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2145" name="Text Box 12"/>
        <xdr:cNvSpPr txBox="1">
          <a:spLocks noChangeArrowheads="1"/>
        </xdr:cNvSpPr>
      </xdr:nvSpPr>
      <xdr:spPr bwMode="auto">
        <a:xfrm flipH="1">
          <a:off x="4815728" y="440379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2146" name="Text Box 14"/>
        <xdr:cNvSpPr txBox="1">
          <a:spLocks noChangeArrowheads="1"/>
        </xdr:cNvSpPr>
      </xdr:nvSpPr>
      <xdr:spPr bwMode="auto">
        <a:xfrm flipH="1">
          <a:off x="4815728" y="440389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2147" name="Text Box 16"/>
        <xdr:cNvSpPr txBox="1">
          <a:spLocks noChangeArrowheads="1"/>
        </xdr:cNvSpPr>
      </xdr:nvSpPr>
      <xdr:spPr bwMode="auto">
        <a:xfrm flipH="1">
          <a:off x="4815728" y="440389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2148" name="Text Box 12"/>
        <xdr:cNvSpPr txBox="1">
          <a:spLocks noChangeArrowheads="1"/>
        </xdr:cNvSpPr>
      </xdr:nvSpPr>
      <xdr:spPr bwMode="auto">
        <a:xfrm flipH="1">
          <a:off x="4815728" y="440360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2149" name="Text Box 4"/>
        <xdr:cNvSpPr txBox="1">
          <a:spLocks noChangeArrowheads="1"/>
        </xdr:cNvSpPr>
      </xdr:nvSpPr>
      <xdr:spPr bwMode="auto">
        <a:xfrm flipH="1">
          <a:off x="4815728" y="440358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2150" name="Text Box 4"/>
        <xdr:cNvSpPr txBox="1">
          <a:spLocks noChangeArrowheads="1"/>
        </xdr:cNvSpPr>
      </xdr:nvSpPr>
      <xdr:spPr bwMode="auto">
        <a:xfrm flipH="1">
          <a:off x="4815728" y="440295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2151" name="Text Box 12"/>
        <xdr:cNvSpPr txBox="1">
          <a:spLocks noChangeArrowheads="1"/>
        </xdr:cNvSpPr>
      </xdr:nvSpPr>
      <xdr:spPr bwMode="auto">
        <a:xfrm flipH="1">
          <a:off x="4815728" y="440379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2152" name="Text Box 14"/>
        <xdr:cNvSpPr txBox="1">
          <a:spLocks noChangeArrowheads="1"/>
        </xdr:cNvSpPr>
      </xdr:nvSpPr>
      <xdr:spPr bwMode="auto">
        <a:xfrm flipH="1">
          <a:off x="4815728" y="440389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2153" name="Text Box 16"/>
        <xdr:cNvSpPr txBox="1">
          <a:spLocks noChangeArrowheads="1"/>
        </xdr:cNvSpPr>
      </xdr:nvSpPr>
      <xdr:spPr bwMode="auto">
        <a:xfrm flipH="1">
          <a:off x="4815728" y="440389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2154" name="Text Box 12"/>
        <xdr:cNvSpPr txBox="1">
          <a:spLocks noChangeArrowheads="1"/>
        </xdr:cNvSpPr>
      </xdr:nvSpPr>
      <xdr:spPr bwMode="auto">
        <a:xfrm flipH="1">
          <a:off x="4815728" y="440360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2155" name="Text Box 4"/>
        <xdr:cNvSpPr txBox="1">
          <a:spLocks noChangeArrowheads="1"/>
        </xdr:cNvSpPr>
      </xdr:nvSpPr>
      <xdr:spPr bwMode="auto">
        <a:xfrm flipH="1">
          <a:off x="4815728" y="440358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2156" name="Text Box 4"/>
        <xdr:cNvSpPr txBox="1">
          <a:spLocks noChangeArrowheads="1"/>
        </xdr:cNvSpPr>
      </xdr:nvSpPr>
      <xdr:spPr bwMode="auto">
        <a:xfrm flipH="1">
          <a:off x="4815728" y="440295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2157" name="Text Box 12"/>
        <xdr:cNvSpPr txBox="1">
          <a:spLocks noChangeArrowheads="1"/>
        </xdr:cNvSpPr>
      </xdr:nvSpPr>
      <xdr:spPr bwMode="auto">
        <a:xfrm flipH="1">
          <a:off x="4815728" y="440379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2158" name="Text Box 14"/>
        <xdr:cNvSpPr txBox="1">
          <a:spLocks noChangeArrowheads="1"/>
        </xdr:cNvSpPr>
      </xdr:nvSpPr>
      <xdr:spPr bwMode="auto">
        <a:xfrm flipH="1">
          <a:off x="4815728" y="440389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2159" name="Text Box 16"/>
        <xdr:cNvSpPr txBox="1">
          <a:spLocks noChangeArrowheads="1"/>
        </xdr:cNvSpPr>
      </xdr:nvSpPr>
      <xdr:spPr bwMode="auto">
        <a:xfrm flipH="1">
          <a:off x="4815728" y="440389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2160" name="Text Box 12"/>
        <xdr:cNvSpPr txBox="1">
          <a:spLocks noChangeArrowheads="1"/>
        </xdr:cNvSpPr>
      </xdr:nvSpPr>
      <xdr:spPr bwMode="auto">
        <a:xfrm flipH="1">
          <a:off x="4815728" y="440360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2161" name="Text Box 4"/>
        <xdr:cNvSpPr txBox="1">
          <a:spLocks noChangeArrowheads="1"/>
        </xdr:cNvSpPr>
      </xdr:nvSpPr>
      <xdr:spPr bwMode="auto">
        <a:xfrm flipH="1">
          <a:off x="4815728" y="440358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62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63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64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65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66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67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68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69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70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71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72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73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74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75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76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77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78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79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80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81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82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83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84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85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86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87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88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89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90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91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92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93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94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95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96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97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98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199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00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01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02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03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04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05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06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07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08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09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10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11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12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13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14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15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16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17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18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19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20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21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22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23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24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25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26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27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28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29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30" name="Text Box 1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31" name="Text Box 16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32" name="Text Box 12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0</xdr:rowOff>
    </xdr:to>
    <xdr:sp macro="" textlink="">
      <xdr:nvSpPr>
        <xdr:cNvPr id="2233" name="Text Box 4"/>
        <xdr:cNvSpPr txBox="1">
          <a:spLocks noChangeArrowheads="1"/>
        </xdr:cNvSpPr>
      </xdr:nvSpPr>
      <xdr:spPr bwMode="auto">
        <a:xfrm flipH="1">
          <a:off x="4815728" y="37861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2234" name="Text Box 4"/>
        <xdr:cNvSpPr txBox="1">
          <a:spLocks noChangeArrowheads="1"/>
        </xdr:cNvSpPr>
      </xdr:nvSpPr>
      <xdr:spPr bwMode="auto">
        <a:xfrm flipH="1">
          <a:off x="4815728" y="440295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2235" name="Text Box 12"/>
        <xdr:cNvSpPr txBox="1">
          <a:spLocks noChangeArrowheads="1"/>
        </xdr:cNvSpPr>
      </xdr:nvSpPr>
      <xdr:spPr bwMode="auto">
        <a:xfrm flipH="1">
          <a:off x="4815728" y="440379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2236" name="Text Box 14"/>
        <xdr:cNvSpPr txBox="1">
          <a:spLocks noChangeArrowheads="1"/>
        </xdr:cNvSpPr>
      </xdr:nvSpPr>
      <xdr:spPr bwMode="auto">
        <a:xfrm flipH="1">
          <a:off x="4815728" y="440389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2237" name="Text Box 16"/>
        <xdr:cNvSpPr txBox="1">
          <a:spLocks noChangeArrowheads="1"/>
        </xdr:cNvSpPr>
      </xdr:nvSpPr>
      <xdr:spPr bwMode="auto">
        <a:xfrm flipH="1">
          <a:off x="4815728" y="440389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2238" name="Text Box 12"/>
        <xdr:cNvSpPr txBox="1">
          <a:spLocks noChangeArrowheads="1"/>
        </xdr:cNvSpPr>
      </xdr:nvSpPr>
      <xdr:spPr bwMode="auto">
        <a:xfrm flipH="1">
          <a:off x="4815728" y="440360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2239" name="Text Box 4"/>
        <xdr:cNvSpPr txBox="1">
          <a:spLocks noChangeArrowheads="1"/>
        </xdr:cNvSpPr>
      </xdr:nvSpPr>
      <xdr:spPr bwMode="auto">
        <a:xfrm flipH="1">
          <a:off x="4815728" y="440358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2240" name="Text Box 4"/>
        <xdr:cNvSpPr txBox="1">
          <a:spLocks noChangeArrowheads="1"/>
        </xdr:cNvSpPr>
      </xdr:nvSpPr>
      <xdr:spPr bwMode="auto">
        <a:xfrm flipH="1">
          <a:off x="4815728" y="440295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2241" name="Text Box 12"/>
        <xdr:cNvSpPr txBox="1">
          <a:spLocks noChangeArrowheads="1"/>
        </xdr:cNvSpPr>
      </xdr:nvSpPr>
      <xdr:spPr bwMode="auto">
        <a:xfrm flipH="1">
          <a:off x="4815728" y="440379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2242" name="Text Box 14"/>
        <xdr:cNvSpPr txBox="1">
          <a:spLocks noChangeArrowheads="1"/>
        </xdr:cNvSpPr>
      </xdr:nvSpPr>
      <xdr:spPr bwMode="auto">
        <a:xfrm flipH="1">
          <a:off x="4815728" y="440389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2243" name="Text Box 16"/>
        <xdr:cNvSpPr txBox="1">
          <a:spLocks noChangeArrowheads="1"/>
        </xdr:cNvSpPr>
      </xdr:nvSpPr>
      <xdr:spPr bwMode="auto">
        <a:xfrm flipH="1">
          <a:off x="4815728" y="440389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2244" name="Text Box 12"/>
        <xdr:cNvSpPr txBox="1">
          <a:spLocks noChangeArrowheads="1"/>
        </xdr:cNvSpPr>
      </xdr:nvSpPr>
      <xdr:spPr bwMode="auto">
        <a:xfrm flipH="1">
          <a:off x="4815728" y="440360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2245" name="Text Box 4"/>
        <xdr:cNvSpPr txBox="1">
          <a:spLocks noChangeArrowheads="1"/>
        </xdr:cNvSpPr>
      </xdr:nvSpPr>
      <xdr:spPr bwMode="auto">
        <a:xfrm flipH="1">
          <a:off x="4815728" y="440358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39283</xdr:rowOff>
    </xdr:to>
    <xdr:sp macro="" textlink="">
      <xdr:nvSpPr>
        <xdr:cNvPr id="2246" name="Text Box 4"/>
        <xdr:cNvSpPr txBox="1">
          <a:spLocks noChangeArrowheads="1"/>
        </xdr:cNvSpPr>
      </xdr:nvSpPr>
      <xdr:spPr bwMode="auto">
        <a:xfrm flipH="1">
          <a:off x="4815728" y="44029538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32725</xdr:rowOff>
    </xdr:to>
    <xdr:sp macro="" textlink="">
      <xdr:nvSpPr>
        <xdr:cNvPr id="2247" name="Text Box 12"/>
        <xdr:cNvSpPr txBox="1">
          <a:spLocks noChangeArrowheads="1"/>
        </xdr:cNvSpPr>
      </xdr:nvSpPr>
      <xdr:spPr bwMode="auto">
        <a:xfrm flipH="1">
          <a:off x="4815728" y="44037941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34743</xdr:rowOff>
    </xdr:to>
    <xdr:sp macro="" textlink="">
      <xdr:nvSpPr>
        <xdr:cNvPr id="2248" name="Text Box 14"/>
        <xdr:cNvSpPr txBox="1">
          <a:spLocks noChangeArrowheads="1"/>
        </xdr:cNvSpPr>
      </xdr:nvSpPr>
      <xdr:spPr bwMode="auto">
        <a:xfrm flipH="1">
          <a:off x="4815728" y="44038976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34742</xdr:rowOff>
    </xdr:to>
    <xdr:sp macro="" textlink="">
      <xdr:nvSpPr>
        <xdr:cNvPr id="2249" name="Text Box 16"/>
        <xdr:cNvSpPr txBox="1">
          <a:spLocks noChangeArrowheads="1"/>
        </xdr:cNvSpPr>
      </xdr:nvSpPr>
      <xdr:spPr bwMode="auto">
        <a:xfrm flipH="1">
          <a:off x="4815728" y="44038976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30162</xdr:rowOff>
    </xdr:to>
    <xdr:sp macro="" textlink="">
      <xdr:nvSpPr>
        <xdr:cNvPr id="2250" name="Text Box 12"/>
        <xdr:cNvSpPr txBox="1">
          <a:spLocks noChangeArrowheads="1"/>
        </xdr:cNvSpPr>
      </xdr:nvSpPr>
      <xdr:spPr bwMode="auto">
        <a:xfrm flipH="1">
          <a:off x="4815728" y="44036037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84</xdr:row>
      <xdr:rowOff>0</xdr:rowOff>
    </xdr:from>
    <xdr:to>
      <xdr:col>4</xdr:col>
      <xdr:colOff>2586878</xdr:colOff>
      <xdr:row>84</xdr:row>
      <xdr:rowOff>20664</xdr:rowOff>
    </xdr:to>
    <xdr:sp macro="" textlink="">
      <xdr:nvSpPr>
        <xdr:cNvPr id="2251" name="Text Box 4"/>
        <xdr:cNvSpPr txBox="1">
          <a:spLocks noChangeArrowheads="1"/>
        </xdr:cNvSpPr>
      </xdr:nvSpPr>
      <xdr:spPr bwMode="auto">
        <a:xfrm flipH="1">
          <a:off x="4815728" y="44035888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28575</xdr:colOff>
      <xdr:row>144</xdr:row>
      <xdr:rowOff>9525</xdr:rowOff>
    </xdr:to>
    <xdr:sp macro="" textlink="">
      <xdr:nvSpPr>
        <xdr:cNvPr id="2252" name="Text Box 4"/>
        <xdr:cNvSpPr txBox="1">
          <a:spLocks noChangeArrowheads="1"/>
        </xdr:cNvSpPr>
      </xdr:nvSpPr>
      <xdr:spPr bwMode="auto">
        <a:xfrm flipH="1">
          <a:off x="4133850" y="99917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23100</xdr:rowOff>
    </xdr:to>
    <xdr:sp macro="" textlink="">
      <xdr:nvSpPr>
        <xdr:cNvPr id="2253" name="Text Box 12"/>
        <xdr:cNvSpPr txBox="1">
          <a:spLocks noChangeArrowheads="1"/>
        </xdr:cNvSpPr>
      </xdr:nvSpPr>
      <xdr:spPr bwMode="auto">
        <a:xfrm flipH="1">
          <a:off x="3901328" y="99917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23313</xdr:rowOff>
    </xdr:to>
    <xdr:sp macro="" textlink="">
      <xdr:nvSpPr>
        <xdr:cNvPr id="2254" name="Text Box 14"/>
        <xdr:cNvSpPr txBox="1">
          <a:spLocks noChangeArrowheads="1"/>
        </xdr:cNvSpPr>
      </xdr:nvSpPr>
      <xdr:spPr bwMode="auto">
        <a:xfrm flipH="1">
          <a:off x="3901328" y="99917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23312</xdr:rowOff>
    </xdr:to>
    <xdr:sp macro="" textlink="">
      <xdr:nvSpPr>
        <xdr:cNvPr id="2255" name="Text Box 16"/>
        <xdr:cNvSpPr txBox="1">
          <a:spLocks noChangeArrowheads="1"/>
        </xdr:cNvSpPr>
      </xdr:nvSpPr>
      <xdr:spPr bwMode="auto">
        <a:xfrm flipH="1">
          <a:off x="3901328" y="99917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0</xdr:rowOff>
    </xdr:to>
    <xdr:sp macro="" textlink="">
      <xdr:nvSpPr>
        <xdr:cNvPr id="2256" name="Text Box 12"/>
        <xdr:cNvSpPr txBox="1">
          <a:spLocks noChangeArrowheads="1"/>
        </xdr:cNvSpPr>
      </xdr:nvSpPr>
      <xdr:spPr bwMode="auto">
        <a:xfrm flipH="1">
          <a:off x="3901328" y="99917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26760</xdr:rowOff>
    </xdr:to>
    <xdr:sp macro="" textlink="">
      <xdr:nvSpPr>
        <xdr:cNvPr id="2257" name="Text Box 4"/>
        <xdr:cNvSpPr txBox="1">
          <a:spLocks noChangeArrowheads="1"/>
        </xdr:cNvSpPr>
      </xdr:nvSpPr>
      <xdr:spPr bwMode="auto">
        <a:xfrm flipH="1">
          <a:off x="3901328" y="99917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28575</xdr:colOff>
      <xdr:row>144</xdr:row>
      <xdr:rowOff>9525</xdr:rowOff>
    </xdr:to>
    <xdr:sp macro="" textlink="">
      <xdr:nvSpPr>
        <xdr:cNvPr id="2258" name="Text Box 4"/>
        <xdr:cNvSpPr txBox="1">
          <a:spLocks noChangeArrowheads="1"/>
        </xdr:cNvSpPr>
      </xdr:nvSpPr>
      <xdr:spPr bwMode="auto">
        <a:xfrm flipH="1">
          <a:off x="4133850" y="99917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23100</xdr:rowOff>
    </xdr:to>
    <xdr:sp macro="" textlink="">
      <xdr:nvSpPr>
        <xdr:cNvPr id="2259" name="Text Box 12"/>
        <xdr:cNvSpPr txBox="1">
          <a:spLocks noChangeArrowheads="1"/>
        </xdr:cNvSpPr>
      </xdr:nvSpPr>
      <xdr:spPr bwMode="auto">
        <a:xfrm flipH="1">
          <a:off x="3901328" y="99917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23313</xdr:rowOff>
    </xdr:to>
    <xdr:sp macro="" textlink="">
      <xdr:nvSpPr>
        <xdr:cNvPr id="2260" name="Text Box 14"/>
        <xdr:cNvSpPr txBox="1">
          <a:spLocks noChangeArrowheads="1"/>
        </xdr:cNvSpPr>
      </xdr:nvSpPr>
      <xdr:spPr bwMode="auto">
        <a:xfrm flipH="1">
          <a:off x="3901328" y="99917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23312</xdr:rowOff>
    </xdr:to>
    <xdr:sp macro="" textlink="">
      <xdr:nvSpPr>
        <xdr:cNvPr id="2261" name="Text Box 16"/>
        <xdr:cNvSpPr txBox="1">
          <a:spLocks noChangeArrowheads="1"/>
        </xdr:cNvSpPr>
      </xdr:nvSpPr>
      <xdr:spPr bwMode="auto">
        <a:xfrm flipH="1">
          <a:off x="3901328" y="99917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0</xdr:rowOff>
    </xdr:to>
    <xdr:sp macro="" textlink="">
      <xdr:nvSpPr>
        <xdr:cNvPr id="2262" name="Text Box 12"/>
        <xdr:cNvSpPr txBox="1">
          <a:spLocks noChangeArrowheads="1"/>
        </xdr:cNvSpPr>
      </xdr:nvSpPr>
      <xdr:spPr bwMode="auto">
        <a:xfrm flipH="1">
          <a:off x="3901328" y="99917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26760</xdr:rowOff>
    </xdr:to>
    <xdr:sp macro="" textlink="">
      <xdr:nvSpPr>
        <xdr:cNvPr id="2263" name="Text Box 4"/>
        <xdr:cNvSpPr txBox="1">
          <a:spLocks noChangeArrowheads="1"/>
        </xdr:cNvSpPr>
      </xdr:nvSpPr>
      <xdr:spPr bwMode="auto">
        <a:xfrm flipH="1">
          <a:off x="3901328" y="99917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9525</xdr:rowOff>
    </xdr:to>
    <xdr:sp macro="" textlink="">
      <xdr:nvSpPr>
        <xdr:cNvPr id="2264" name="Text Box 4"/>
        <xdr:cNvSpPr txBox="1">
          <a:spLocks noChangeArrowheads="1"/>
        </xdr:cNvSpPr>
      </xdr:nvSpPr>
      <xdr:spPr bwMode="auto">
        <a:xfrm flipH="1">
          <a:off x="4133850" y="99917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23100</xdr:rowOff>
    </xdr:to>
    <xdr:sp macro="" textlink="">
      <xdr:nvSpPr>
        <xdr:cNvPr id="2265" name="Text Box 12"/>
        <xdr:cNvSpPr txBox="1">
          <a:spLocks noChangeArrowheads="1"/>
        </xdr:cNvSpPr>
      </xdr:nvSpPr>
      <xdr:spPr bwMode="auto">
        <a:xfrm flipH="1">
          <a:off x="4133850" y="999172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23313</xdr:rowOff>
    </xdr:to>
    <xdr:sp macro="" textlink="">
      <xdr:nvSpPr>
        <xdr:cNvPr id="2266" name="Text Box 14"/>
        <xdr:cNvSpPr txBox="1">
          <a:spLocks noChangeArrowheads="1"/>
        </xdr:cNvSpPr>
      </xdr:nvSpPr>
      <xdr:spPr bwMode="auto">
        <a:xfrm flipH="1">
          <a:off x="4133850" y="999172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23312</xdr:rowOff>
    </xdr:to>
    <xdr:sp macro="" textlink="">
      <xdr:nvSpPr>
        <xdr:cNvPr id="2267" name="Text Box 16"/>
        <xdr:cNvSpPr txBox="1">
          <a:spLocks noChangeArrowheads="1"/>
        </xdr:cNvSpPr>
      </xdr:nvSpPr>
      <xdr:spPr bwMode="auto">
        <a:xfrm flipH="1">
          <a:off x="4133850" y="999172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0</xdr:rowOff>
    </xdr:to>
    <xdr:sp macro="" textlink="">
      <xdr:nvSpPr>
        <xdr:cNvPr id="2268" name="Text Box 12"/>
        <xdr:cNvSpPr txBox="1">
          <a:spLocks noChangeArrowheads="1"/>
        </xdr:cNvSpPr>
      </xdr:nvSpPr>
      <xdr:spPr bwMode="auto">
        <a:xfrm flipH="1">
          <a:off x="4133850" y="99917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26760</xdr:rowOff>
    </xdr:to>
    <xdr:sp macro="" textlink="">
      <xdr:nvSpPr>
        <xdr:cNvPr id="2269" name="Text Box 4"/>
        <xdr:cNvSpPr txBox="1">
          <a:spLocks noChangeArrowheads="1"/>
        </xdr:cNvSpPr>
      </xdr:nvSpPr>
      <xdr:spPr bwMode="auto">
        <a:xfrm flipH="1">
          <a:off x="4133850" y="999172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9525</xdr:rowOff>
    </xdr:to>
    <xdr:sp macro="" textlink="">
      <xdr:nvSpPr>
        <xdr:cNvPr id="2270" name="Text Box 4"/>
        <xdr:cNvSpPr txBox="1">
          <a:spLocks noChangeArrowheads="1"/>
        </xdr:cNvSpPr>
      </xdr:nvSpPr>
      <xdr:spPr bwMode="auto">
        <a:xfrm flipH="1">
          <a:off x="4133850" y="99917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23100</xdr:rowOff>
    </xdr:to>
    <xdr:sp macro="" textlink="">
      <xdr:nvSpPr>
        <xdr:cNvPr id="2271" name="Text Box 12"/>
        <xdr:cNvSpPr txBox="1">
          <a:spLocks noChangeArrowheads="1"/>
        </xdr:cNvSpPr>
      </xdr:nvSpPr>
      <xdr:spPr bwMode="auto">
        <a:xfrm flipH="1">
          <a:off x="4133850" y="999172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23313</xdr:rowOff>
    </xdr:to>
    <xdr:sp macro="" textlink="">
      <xdr:nvSpPr>
        <xdr:cNvPr id="2272" name="Text Box 14"/>
        <xdr:cNvSpPr txBox="1">
          <a:spLocks noChangeArrowheads="1"/>
        </xdr:cNvSpPr>
      </xdr:nvSpPr>
      <xdr:spPr bwMode="auto">
        <a:xfrm flipH="1">
          <a:off x="4133850" y="999172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23312</xdr:rowOff>
    </xdr:to>
    <xdr:sp macro="" textlink="">
      <xdr:nvSpPr>
        <xdr:cNvPr id="2273" name="Text Box 16"/>
        <xdr:cNvSpPr txBox="1">
          <a:spLocks noChangeArrowheads="1"/>
        </xdr:cNvSpPr>
      </xdr:nvSpPr>
      <xdr:spPr bwMode="auto">
        <a:xfrm flipH="1">
          <a:off x="4133850" y="999172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0</xdr:rowOff>
    </xdr:to>
    <xdr:sp macro="" textlink="">
      <xdr:nvSpPr>
        <xdr:cNvPr id="2274" name="Text Box 12"/>
        <xdr:cNvSpPr txBox="1">
          <a:spLocks noChangeArrowheads="1"/>
        </xdr:cNvSpPr>
      </xdr:nvSpPr>
      <xdr:spPr bwMode="auto">
        <a:xfrm flipH="1">
          <a:off x="4133850" y="99917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26760</xdr:rowOff>
    </xdr:to>
    <xdr:sp macro="" textlink="">
      <xdr:nvSpPr>
        <xdr:cNvPr id="2275" name="Text Box 4"/>
        <xdr:cNvSpPr txBox="1">
          <a:spLocks noChangeArrowheads="1"/>
        </xdr:cNvSpPr>
      </xdr:nvSpPr>
      <xdr:spPr bwMode="auto">
        <a:xfrm flipH="1">
          <a:off x="4133850" y="999172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28575</xdr:colOff>
      <xdr:row>144</xdr:row>
      <xdr:rowOff>9525</xdr:rowOff>
    </xdr:to>
    <xdr:sp macro="" textlink="">
      <xdr:nvSpPr>
        <xdr:cNvPr id="2276" name="Text Box 4"/>
        <xdr:cNvSpPr txBox="1">
          <a:spLocks noChangeArrowheads="1"/>
        </xdr:cNvSpPr>
      </xdr:nvSpPr>
      <xdr:spPr bwMode="auto">
        <a:xfrm flipH="1">
          <a:off x="4133850" y="99917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23100</xdr:rowOff>
    </xdr:to>
    <xdr:sp macro="" textlink="">
      <xdr:nvSpPr>
        <xdr:cNvPr id="2277" name="Text Box 12"/>
        <xdr:cNvSpPr txBox="1">
          <a:spLocks noChangeArrowheads="1"/>
        </xdr:cNvSpPr>
      </xdr:nvSpPr>
      <xdr:spPr bwMode="auto">
        <a:xfrm flipH="1">
          <a:off x="3901328" y="99917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23313</xdr:rowOff>
    </xdr:to>
    <xdr:sp macro="" textlink="">
      <xdr:nvSpPr>
        <xdr:cNvPr id="2278" name="Text Box 14"/>
        <xdr:cNvSpPr txBox="1">
          <a:spLocks noChangeArrowheads="1"/>
        </xdr:cNvSpPr>
      </xdr:nvSpPr>
      <xdr:spPr bwMode="auto">
        <a:xfrm flipH="1">
          <a:off x="3901328" y="99917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23312</xdr:rowOff>
    </xdr:to>
    <xdr:sp macro="" textlink="">
      <xdr:nvSpPr>
        <xdr:cNvPr id="2279" name="Text Box 16"/>
        <xdr:cNvSpPr txBox="1">
          <a:spLocks noChangeArrowheads="1"/>
        </xdr:cNvSpPr>
      </xdr:nvSpPr>
      <xdr:spPr bwMode="auto">
        <a:xfrm flipH="1">
          <a:off x="3901328" y="99917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0</xdr:rowOff>
    </xdr:to>
    <xdr:sp macro="" textlink="">
      <xdr:nvSpPr>
        <xdr:cNvPr id="2280" name="Text Box 12"/>
        <xdr:cNvSpPr txBox="1">
          <a:spLocks noChangeArrowheads="1"/>
        </xdr:cNvSpPr>
      </xdr:nvSpPr>
      <xdr:spPr bwMode="auto">
        <a:xfrm flipH="1">
          <a:off x="3901328" y="99917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26760</xdr:rowOff>
    </xdr:to>
    <xdr:sp macro="" textlink="">
      <xdr:nvSpPr>
        <xdr:cNvPr id="2281" name="Text Box 4"/>
        <xdr:cNvSpPr txBox="1">
          <a:spLocks noChangeArrowheads="1"/>
        </xdr:cNvSpPr>
      </xdr:nvSpPr>
      <xdr:spPr bwMode="auto">
        <a:xfrm flipH="1">
          <a:off x="3901328" y="99917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28575</xdr:colOff>
      <xdr:row>144</xdr:row>
      <xdr:rowOff>9525</xdr:rowOff>
    </xdr:to>
    <xdr:sp macro="" textlink="">
      <xdr:nvSpPr>
        <xdr:cNvPr id="2282" name="Text Box 4"/>
        <xdr:cNvSpPr txBox="1">
          <a:spLocks noChangeArrowheads="1"/>
        </xdr:cNvSpPr>
      </xdr:nvSpPr>
      <xdr:spPr bwMode="auto">
        <a:xfrm flipH="1">
          <a:off x="4133850" y="99917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23100</xdr:rowOff>
    </xdr:to>
    <xdr:sp macro="" textlink="">
      <xdr:nvSpPr>
        <xdr:cNvPr id="2283" name="Text Box 12"/>
        <xdr:cNvSpPr txBox="1">
          <a:spLocks noChangeArrowheads="1"/>
        </xdr:cNvSpPr>
      </xdr:nvSpPr>
      <xdr:spPr bwMode="auto">
        <a:xfrm flipH="1">
          <a:off x="3901328" y="99917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23313</xdr:rowOff>
    </xdr:to>
    <xdr:sp macro="" textlink="">
      <xdr:nvSpPr>
        <xdr:cNvPr id="2284" name="Text Box 14"/>
        <xdr:cNvSpPr txBox="1">
          <a:spLocks noChangeArrowheads="1"/>
        </xdr:cNvSpPr>
      </xdr:nvSpPr>
      <xdr:spPr bwMode="auto">
        <a:xfrm flipH="1">
          <a:off x="3901328" y="99917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23312</xdr:rowOff>
    </xdr:to>
    <xdr:sp macro="" textlink="">
      <xdr:nvSpPr>
        <xdr:cNvPr id="2285" name="Text Box 16"/>
        <xdr:cNvSpPr txBox="1">
          <a:spLocks noChangeArrowheads="1"/>
        </xdr:cNvSpPr>
      </xdr:nvSpPr>
      <xdr:spPr bwMode="auto">
        <a:xfrm flipH="1">
          <a:off x="3901328" y="99917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0</xdr:rowOff>
    </xdr:to>
    <xdr:sp macro="" textlink="">
      <xdr:nvSpPr>
        <xdr:cNvPr id="2286" name="Text Box 12"/>
        <xdr:cNvSpPr txBox="1">
          <a:spLocks noChangeArrowheads="1"/>
        </xdr:cNvSpPr>
      </xdr:nvSpPr>
      <xdr:spPr bwMode="auto">
        <a:xfrm flipH="1">
          <a:off x="3901328" y="99917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26760</xdr:rowOff>
    </xdr:to>
    <xdr:sp macro="" textlink="">
      <xdr:nvSpPr>
        <xdr:cNvPr id="2287" name="Text Box 4"/>
        <xdr:cNvSpPr txBox="1">
          <a:spLocks noChangeArrowheads="1"/>
        </xdr:cNvSpPr>
      </xdr:nvSpPr>
      <xdr:spPr bwMode="auto">
        <a:xfrm flipH="1">
          <a:off x="3901328" y="99917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9525</xdr:rowOff>
    </xdr:to>
    <xdr:sp macro="" textlink="">
      <xdr:nvSpPr>
        <xdr:cNvPr id="2288" name="Text Box 4"/>
        <xdr:cNvSpPr txBox="1">
          <a:spLocks noChangeArrowheads="1"/>
        </xdr:cNvSpPr>
      </xdr:nvSpPr>
      <xdr:spPr bwMode="auto">
        <a:xfrm flipH="1">
          <a:off x="4133850" y="99917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23100</xdr:rowOff>
    </xdr:to>
    <xdr:sp macro="" textlink="">
      <xdr:nvSpPr>
        <xdr:cNvPr id="2289" name="Text Box 12"/>
        <xdr:cNvSpPr txBox="1">
          <a:spLocks noChangeArrowheads="1"/>
        </xdr:cNvSpPr>
      </xdr:nvSpPr>
      <xdr:spPr bwMode="auto">
        <a:xfrm flipH="1">
          <a:off x="4133850" y="999172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23313</xdr:rowOff>
    </xdr:to>
    <xdr:sp macro="" textlink="">
      <xdr:nvSpPr>
        <xdr:cNvPr id="2290" name="Text Box 14"/>
        <xdr:cNvSpPr txBox="1">
          <a:spLocks noChangeArrowheads="1"/>
        </xdr:cNvSpPr>
      </xdr:nvSpPr>
      <xdr:spPr bwMode="auto">
        <a:xfrm flipH="1">
          <a:off x="4133850" y="999172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23312</xdr:rowOff>
    </xdr:to>
    <xdr:sp macro="" textlink="">
      <xdr:nvSpPr>
        <xdr:cNvPr id="2291" name="Text Box 16"/>
        <xdr:cNvSpPr txBox="1">
          <a:spLocks noChangeArrowheads="1"/>
        </xdr:cNvSpPr>
      </xdr:nvSpPr>
      <xdr:spPr bwMode="auto">
        <a:xfrm flipH="1">
          <a:off x="4133850" y="999172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0</xdr:rowOff>
    </xdr:to>
    <xdr:sp macro="" textlink="">
      <xdr:nvSpPr>
        <xdr:cNvPr id="2292" name="Text Box 12"/>
        <xdr:cNvSpPr txBox="1">
          <a:spLocks noChangeArrowheads="1"/>
        </xdr:cNvSpPr>
      </xdr:nvSpPr>
      <xdr:spPr bwMode="auto">
        <a:xfrm flipH="1">
          <a:off x="4133850" y="99917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26760</xdr:rowOff>
    </xdr:to>
    <xdr:sp macro="" textlink="">
      <xdr:nvSpPr>
        <xdr:cNvPr id="2293" name="Text Box 4"/>
        <xdr:cNvSpPr txBox="1">
          <a:spLocks noChangeArrowheads="1"/>
        </xdr:cNvSpPr>
      </xdr:nvSpPr>
      <xdr:spPr bwMode="auto">
        <a:xfrm flipH="1">
          <a:off x="4133850" y="999172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9525</xdr:rowOff>
    </xdr:to>
    <xdr:sp macro="" textlink="">
      <xdr:nvSpPr>
        <xdr:cNvPr id="2294" name="Text Box 4"/>
        <xdr:cNvSpPr txBox="1">
          <a:spLocks noChangeArrowheads="1"/>
        </xdr:cNvSpPr>
      </xdr:nvSpPr>
      <xdr:spPr bwMode="auto">
        <a:xfrm flipH="1">
          <a:off x="4133850" y="99917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23100</xdr:rowOff>
    </xdr:to>
    <xdr:sp macro="" textlink="">
      <xdr:nvSpPr>
        <xdr:cNvPr id="2295" name="Text Box 12"/>
        <xdr:cNvSpPr txBox="1">
          <a:spLocks noChangeArrowheads="1"/>
        </xdr:cNvSpPr>
      </xdr:nvSpPr>
      <xdr:spPr bwMode="auto">
        <a:xfrm flipH="1">
          <a:off x="4133850" y="999172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23313</xdr:rowOff>
    </xdr:to>
    <xdr:sp macro="" textlink="">
      <xdr:nvSpPr>
        <xdr:cNvPr id="2296" name="Text Box 14"/>
        <xdr:cNvSpPr txBox="1">
          <a:spLocks noChangeArrowheads="1"/>
        </xdr:cNvSpPr>
      </xdr:nvSpPr>
      <xdr:spPr bwMode="auto">
        <a:xfrm flipH="1">
          <a:off x="4133850" y="999172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23312</xdr:rowOff>
    </xdr:to>
    <xdr:sp macro="" textlink="">
      <xdr:nvSpPr>
        <xdr:cNvPr id="2297" name="Text Box 16"/>
        <xdr:cNvSpPr txBox="1">
          <a:spLocks noChangeArrowheads="1"/>
        </xdr:cNvSpPr>
      </xdr:nvSpPr>
      <xdr:spPr bwMode="auto">
        <a:xfrm flipH="1">
          <a:off x="4133850" y="999172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0</xdr:rowOff>
    </xdr:to>
    <xdr:sp macro="" textlink="">
      <xdr:nvSpPr>
        <xdr:cNvPr id="2298" name="Text Box 12"/>
        <xdr:cNvSpPr txBox="1">
          <a:spLocks noChangeArrowheads="1"/>
        </xdr:cNvSpPr>
      </xdr:nvSpPr>
      <xdr:spPr bwMode="auto">
        <a:xfrm flipH="1">
          <a:off x="4133850" y="99917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26760</xdr:rowOff>
    </xdr:to>
    <xdr:sp macro="" textlink="">
      <xdr:nvSpPr>
        <xdr:cNvPr id="2299" name="Text Box 4"/>
        <xdr:cNvSpPr txBox="1">
          <a:spLocks noChangeArrowheads="1"/>
        </xdr:cNvSpPr>
      </xdr:nvSpPr>
      <xdr:spPr bwMode="auto">
        <a:xfrm flipH="1">
          <a:off x="4133850" y="999172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28575</xdr:colOff>
      <xdr:row>144</xdr:row>
      <xdr:rowOff>9525</xdr:rowOff>
    </xdr:to>
    <xdr:sp macro="" textlink="">
      <xdr:nvSpPr>
        <xdr:cNvPr id="2300" name="Text Box 4"/>
        <xdr:cNvSpPr txBox="1">
          <a:spLocks noChangeArrowheads="1"/>
        </xdr:cNvSpPr>
      </xdr:nvSpPr>
      <xdr:spPr bwMode="auto">
        <a:xfrm flipH="1">
          <a:off x="4133850" y="99917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23100</xdr:rowOff>
    </xdr:to>
    <xdr:sp macro="" textlink="">
      <xdr:nvSpPr>
        <xdr:cNvPr id="2301" name="Text Box 12"/>
        <xdr:cNvSpPr txBox="1">
          <a:spLocks noChangeArrowheads="1"/>
        </xdr:cNvSpPr>
      </xdr:nvSpPr>
      <xdr:spPr bwMode="auto">
        <a:xfrm flipH="1">
          <a:off x="3901328" y="99917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23313</xdr:rowOff>
    </xdr:to>
    <xdr:sp macro="" textlink="">
      <xdr:nvSpPr>
        <xdr:cNvPr id="2302" name="Text Box 14"/>
        <xdr:cNvSpPr txBox="1">
          <a:spLocks noChangeArrowheads="1"/>
        </xdr:cNvSpPr>
      </xdr:nvSpPr>
      <xdr:spPr bwMode="auto">
        <a:xfrm flipH="1">
          <a:off x="3901328" y="99917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23312</xdr:rowOff>
    </xdr:to>
    <xdr:sp macro="" textlink="">
      <xdr:nvSpPr>
        <xdr:cNvPr id="2303" name="Text Box 16"/>
        <xdr:cNvSpPr txBox="1">
          <a:spLocks noChangeArrowheads="1"/>
        </xdr:cNvSpPr>
      </xdr:nvSpPr>
      <xdr:spPr bwMode="auto">
        <a:xfrm flipH="1">
          <a:off x="3901328" y="99917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0</xdr:rowOff>
    </xdr:to>
    <xdr:sp macro="" textlink="">
      <xdr:nvSpPr>
        <xdr:cNvPr id="2304" name="Text Box 12"/>
        <xdr:cNvSpPr txBox="1">
          <a:spLocks noChangeArrowheads="1"/>
        </xdr:cNvSpPr>
      </xdr:nvSpPr>
      <xdr:spPr bwMode="auto">
        <a:xfrm flipH="1">
          <a:off x="3901328" y="99917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26760</xdr:rowOff>
    </xdr:to>
    <xdr:sp macro="" textlink="">
      <xdr:nvSpPr>
        <xdr:cNvPr id="2305" name="Text Box 4"/>
        <xdr:cNvSpPr txBox="1">
          <a:spLocks noChangeArrowheads="1"/>
        </xdr:cNvSpPr>
      </xdr:nvSpPr>
      <xdr:spPr bwMode="auto">
        <a:xfrm flipH="1">
          <a:off x="3901328" y="99917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28575</xdr:colOff>
      <xdr:row>144</xdr:row>
      <xdr:rowOff>9525</xdr:rowOff>
    </xdr:to>
    <xdr:sp macro="" textlink="">
      <xdr:nvSpPr>
        <xdr:cNvPr id="2306" name="Text Box 4"/>
        <xdr:cNvSpPr txBox="1">
          <a:spLocks noChangeArrowheads="1"/>
        </xdr:cNvSpPr>
      </xdr:nvSpPr>
      <xdr:spPr bwMode="auto">
        <a:xfrm flipH="1">
          <a:off x="4133850" y="99917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23100</xdr:rowOff>
    </xdr:to>
    <xdr:sp macro="" textlink="">
      <xdr:nvSpPr>
        <xdr:cNvPr id="2307" name="Text Box 12"/>
        <xdr:cNvSpPr txBox="1">
          <a:spLocks noChangeArrowheads="1"/>
        </xdr:cNvSpPr>
      </xdr:nvSpPr>
      <xdr:spPr bwMode="auto">
        <a:xfrm flipH="1">
          <a:off x="3901328" y="99917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23313</xdr:rowOff>
    </xdr:to>
    <xdr:sp macro="" textlink="">
      <xdr:nvSpPr>
        <xdr:cNvPr id="2308" name="Text Box 14"/>
        <xdr:cNvSpPr txBox="1">
          <a:spLocks noChangeArrowheads="1"/>
        </xdr:cNvSpPr>
      </xdr:nvSpPr>
      <xdr:spPr bwMode="auto">
        <a:xfrm flipH="1">
          <a:off x="3901328" y="99917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23312</xdr:rowOff>
    </xdr:to>
    <xdr:sp macro="" textlink="">
      <xdr:nvSpPr>
        <xdr:cNvPr id="2309" name="Text Box 16"/>
        <xdr:cNvSpPr txBox="1">
          <a:spLocks noChangeArrowheads="1"/>
        </xdr:cNvSpPr>
      </xdr:nvSpPr>
      <xdr:spPr bwMode="auto">
        <a:xfrm flipH="1">
          <a:off x="3901328" y="99917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0</xdr:rowOff>
    </xdr:to>
    <xdr:sp macro="" textlink="">
      <xdr:nvSpPr>
        <xdr:cNvPr id="2310" name="Text Box 12"/>
        <xdr:cNvSpPr txBox="1">
          <a:spLocks noChangeArrowheads="1"/>
        </xdr:cNvSpPr>
      </xdr:nvSpPr>
      <xdr:spPr bwMode="auto">
        <a:xfrm flipH="1">
          <a:off x="3901328" y="99917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26760</xdr:rowOff>
    </xdr:to>
    <xdr:sp macro="" textlink="">
      <xdr:nvSpPr>
        <xdr:cNvPr id="2311" name="Text Box 4"/>
        <xdr:cNvSpPr txBox="1">
          <a:spLocks noChangeArrowheads="1"/>
        </xdr:cNvSpPr>
      </xdr:nvSpPr>
      <xdr:spPr bwMode="auto">
        <a:xfrm flipH="1">
          <a:off x="3901328" y="99917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28575</xdr:colOff>
      <xdr:row>144</xdr:row>
      <xdr:rowOff>9525</xdr:rowOff>
    </xdr:to>
    <xdr:sp macro="" textlink="">
      <xdr:nvSpPr>
        <xdr:cNvPr id="2312" name="Text Box 4"/>
        <xdr:cNvSpPr txBox="1">
          <a:spLocks noChangeArrowheads="1"/>
        </xdr:cNvSpPr>
      </xdr:nvSpPr>
      <xdr:spPr bwMode="auto">
        <a:xfrm flipH="1">
          <a:off x="4133850" y="99917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23100</xdr:rowOff>
    </xdr:to>
    <xdr:sp macro="" textlink="">
      <xdr:nvSpPr>
        <xdr:cNvPr id="2313" name="Text Box 12"/>
        <xdr:cNvSpPr txBox="1">
          <a:spLocks noChangeArrowheads="1"/>
        </xdr:cNvSpPr>
      </xdr:nvSpPr>
      <xdr:spPr bwMode="auto">
        <a:xfrm flipH="1">
          <a:off x="3901328" y="99917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23313</xdr:rowOff>
    </xdr:to>
    <xdr:sp macro="" textlink="">
      <xdr:nvSpPr>
        <xdr:cNvPr id="2314" name="Text Box 14"/>
        <xdr:cNvSpPr txBox="1">
          <a:spLocks noChangeArrowheads="1"/>
        </xdr:cNvSpPr>
      </xdr:nvSpPr>
      <xdr:spPr bwMode="auto">
        <a:xfrm flipH="1">
          <a:off x="3901328" y="99917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23312</xdr:rowOff>
    </xdr:to>
    <xdr:sp macro="" textlink="">
      <xdr:nvSpPr>
        <xdr:cNvPr id="2315" name="Text Box 16"/>
        <xdr:cNvSpPr txBox="1">
          <a:spLocks noChangeArrowheads="1"/>
        </xdr:cNvSpPr>
      </xdr:nvSpPr>
      <xdr:spPr bwMode="auto">
        <a:xfrm flipH="1">
          <a:off x="3901328" y="99917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0</xdr:rowOff>
    </xdr:to>
    <xdr:sp macro="" textlink="">
      <xdr:nvSpPr>
        <xdr:cNvPr id="2316" name="Text Box 12"/>
        <xdr:cNvSpPr txBox="1">
          <a:spLocks noChangeArrowheads="1"/>
        </xdr:cNvSpPr>
      </xdr:nvSpPr>
      <xdr:spPr bwMode="auto">
        <a:xfrm flipH="1">
          <a:off x="3901328" y="99917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26760</xdr:rowOff>
    </xdr:to>
    <xdr:sp macro="" textlink="">
      <xdr:nvSpPr>
        <xdr:cNvPr id="2317" name="Text Box 4"/>
        <xdr:cNvSpPr txBox="1">
          <a:spLocks noChangeArrowheads="1"/>
        </xdr:cNvSpPr>
      </xdr:nvSpPr>
      <xdr:spPr bwMode="auto">
        <a:xfrm flipH="1">
          <a:off x="3901328" y="99917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28575</xdr:colOff>
      <xdr:row>144</xdr:row>
      <xdr:rowOff>9525</xdr:rowOff>
    </xdr:to>
    <xdr:sp macro="" textlink="">
      <xdr:nvSpPr>
        <xdr:cNvPr id="2318" name="Text Box 4"/>
        <xdr:cNvSpPr txBox="1">
          <a:spLocks noChangeArrowheads="1"/>
        </xdr:cNvSpPr>
      </xdr:nvSpPr>
      <xdr:spPr bwMode="auto">
        <a:xfrm flipH="1">
          <a:off x="4133850" y="99917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23100</xdr:rowOff>
    </xdr:to>
    <xdr:sp macro="" textlink="">
      <xdr:nvSpPr>
        <xdr:cNvPr id="2319" name="Text Box 12"/>
        <xdr:cNvSpPr txBox="1">
          <a:spLocks noChangeArrowheads="1"/>
        </xdr:cNvSpPr>
      </xdr:nvSpPr>
      <xdr:spPr bwMode="auto">
        <a:xfrm flipH="1">
          <a:off x="3901328" y="99917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23313</xdr:rowOff>
    </xdr:to>
    <xdr:sp macro="" textlink="">
      <xdr:nvSpPr>
        <xdr:cNvPr id="2320" name="Text Box 14"/>
        <xdr:cNvSpPr txBox="1">
          <a:spLocks noChangeArrowheads="1"/>
        </xdr:cNvSpPr>
      </xdr:nvSpPr>
      <xdr:spPr bwMode="auto">
        <a:xfrm flipH="1">
          <a:off x="3901328" y="99917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23312</xdr:rowOff>
    </xdr:to>
    <xdr:sp macro="" textlink="">
      <xdr:nvSpPr>
        <xdr:cNvPr id="2321" name="Text Box 16"/>
        <xdr:cNvSpPr txBox="1">
          <a:spLocks noChangeArrowheads="1"/>
        </xdr:cNvSpPr>
      </xdr:nvSpPr>
      <xdr:spPr bwMode="auto">
        <a:xfrm flipH="1">
          <a:off x="3901328" y="99917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0</xdr:rowOff>
    </xdr:to>
    <xdr:sp macro="" textlink="">
      <xdr:nvSpPr>
        <xdr:cNvPr id="2322" name="Text Box 12"/>
        <xdr:cNvSpPr txBox="1">
          <a:spLocks noChangeArrowheads="1"/>
        </xdr:cNvSpPr>
      </xdr:nvSpPr>
      <xdr:spPr bwMode="auto">
        <a:xfrm flipH="1">
          <a:off x="3901328" y="99917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26760</xdr:rowOff>
    </xdr:to>
    <xdr:sp macro="" textlink="">
      <xdr:nvSpPr>
        <xdr:cNvPr id="2323" name="Text Box 4"/>
        <xdr:cNvSpPr txBox="1">
          <a:spLocks noChangeArrowheads="1"/>
        </xdr:cNvSpPr>
      </xdr:nvSpPr>
      <xdr:spPr bwMode="auto">
        <a:xfrm flipH="1">
          <a:off x="3901328" y="99917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9525</xdr:rowOff>
    </xdr:to>
    <xdr:sp macro="" textlink="">
      <xdr:nvSpPr>
        <xdr:cNvPr id="2324" name="Text Box 4"/>
        <xdr:cNvSpPr txBox="1">
          <a:spLocks noChangeArrowheads="1"/>
        </xdr:cNvSpPr>
      </xdr:nvSpPr>
      <xdr:spPr bwMode="auto">
        <a:xfrm flipH="1">
          <a:off x="4133850" y="99917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23100</xdr:rowOff>
    </xdr:to>
    <xdr:sp macro="" textlink="">
      <xdr:nvSpPr>
        <xdr:cNvPr id="2325" name="Text Box 12"/>
        <xdr:cNvSpPr txBox="1">
          <a:spLocks noChangeArrowheads="1"/>
        </xdr:cNvSpPr>
      </xdr:nvSpPr>
      <xdr:spPr bwMode="auto">
        <a:xfrm flipH="1">
          <a:off x="4133850" y="999172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23313</xdr:rowOff>
    </xdr:to>
    <xdr:sp macro="" textlink="">
      <xdr:nvSpPr>
        <xdr:cNvPr id="2326" name="Text Box 14"/>
        <xdr:cNvSpPr txBox="1">
          <a:spLocks noChangeArrowheads="1"/>
        </xdr:cNvSpPr>
      </xdr:nvSpPr>
      <xdr:spPr bwMode="auto">
        <a:xfrm flipH="1">
          <a:off x="4133850" y="999172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23312</xdr:rowOff>
    </xdr:to>
    <xdr:sp macro="" textlink="">
      <xdr:nvSpPr>
        <xdr:cNvPr id="2327" name="Text Box 16"/>
        <xdr:cNvSpPr txBox="1">
          <a:spLocks noChangeArrowheads="1"/>
        </xdr:cNvSpPr>
      </xdr:nvSpPr>
      <xdr:spPr bwMode="auto">
        <a:xfrm flipH="1">
          <a:off x="4133850" y="999172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0</xdr:rowOff>
    </xdr:to>
    <xdr:sp macro="" textlink="">
      <xdr:nvSpPr>
        <xdr:cNvPr id="2328" name="Text Box 12"/>
        <xdr:cNvSpPr txBox="1">
          <a:spLocks noChangeArrowheads="1"/>
        </xdr:cNvSpPr>
      </xdr:nvSpPr>
      <xdr:spPr bwMode="auto">
        <a:xfrm flipH="1">
          <a:off x="4133850" y="99917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26760</xdr:rowOff>
    </xdr:to>
    <xdr:sp macro="" textlink="">
      <xdr:nvSpPr>
        <xdr:cNvPr id="2329" name="Text Box 4"/>
        <xdr:cNvSpPr txBox="1">
          <a:spLocks noChangeArrowheads="1"/>
        </xdr:cNvSpPr>
      </xdr:nvSpPr>
      <xdr:spPr bwMode="auto">
        <a:xfrm flipH="1">
          <a:off x="4133850" y="999172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9525</xdr:rowOff>
    </xdr:to>
    <xdr:sp macro="" textlink="">
      <xdr:nvSpPr>
        <xdr:cNvPr id="2330" name="Text Box 4"/>
        <xdr:cNvSpPr txBox="1">
          <a:spLocks noChangeArrowheads="1"/>
        </xdr:cNvSpPr>
      </xdr:nvSpPr>
      <xdr:spPr bwMode="auto">
        <a:xfrm flipH="1">
          <a:off x="4133850" y="99917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23100</xdr:rowOff>
    </xdr:to>
    <xdr:sp macro="" textlink="">
      <xdr:nvSpPr>
        <xdr:cNvPr id="2331" name="Text Box 12"/>
        <xdr:cNvSpPr txBox="1">
          <a:spLocks noChangeArrowheads="1"/>
        </xdr:cNvSpPr>
      </xdr:nvSpPr>
      <xdr:spPr bwMode="auto">
        <a:xfrm flipH="1">
          <a:off x="4133850" y="999172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23313</xdr:rowOff>
    </xdr:to>
    <xdr:sp macro="" textlink="">
      <xdr:nvSpPr>
        <xdr:cNvPr id="2332" name="Text Box 14"/>
        <xdr:cNvSpPr txBox="1">
          <a:spLocks noChangeArrowheads="1"/>
        </xdr:cNvSpPr>
      </xdr:nvSpPr>
      <xdr:spPr bwMode="auto">
        <a:xfrm flipH="1">
          <a:off x="4133850" y="999172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23312</xdr:rowOff>
    </xdr:to>
    <xdr:sp macro="" textlink="">
      <xdr:nvSpPr>
        <xdr:cNvPr id="2333" name="Text Box 16"/>
        <xdr:cNvSpPr txBox="1">
          <a:spLocks noChangeArrowheads="1"/>
        </xdr:cNvSpPr>
      </xdr:nvSpPr>
      <xdr:spPr bwMode="auto">
        <a:xfrm flipH="1">
          <a:off x="4133850" y="999172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0</xdr:rowOff>
    </xdr:to>
    <xdr:sp macro="" textlink="">
      <xdr:nvSpPr>
        <xdr:cNvPr id="2334" name="Text Box 12"/>
        <xdr:cNvSpPr txBox="1">
          <a:spLocks noChangeArrowheads="1"/>
        </xdr:cNvSpPr>
      </xdr:nvSpPr>
      <xdr:spPr bwMode="auto">
        <a:xfrm flipH="1">
          <a:off x="4133850" y="99917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26760</xdr:rowOff>
    </xdr:to>
    <xdr:sp macro="" textlink="">
      <xdr:nvSpPr>
        <xdr:cNvPr id="2335" name="Text Box 4"/>
        <xdr:cNvSpPr txBox="1">
          <a:spLocks noChangeArrowheads="1"/>
        </xdr:cNvSpPr>
      </xdr:nvSpPr>
      <xdr:spPr bwMode="auto">
        <a:xfrm flipH="1">
          <a:off x="4133850" y="999172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28575</xdr:colOff>
      <xdr:row>144</xdr:row>
      <xdr:rowOff>9525</xdr:rowOff>
    </xdr:to>
    <xdr:sp macro="" textlink="">
      <xdr:nvSpPr>
        <xdr:cNvPr id="2336" name="Text Box 4"/>
        <xdr:cNvSpPr txBox="1">
          <a:spLocks noChangeArrowheads="1"/>
        </xdr:cNvSpPr>
      </xdr:nvSpPr>
      <xdr:spPr bwMode="auto">
        <a:xfrm flipH="1">
          <a:off x="4133850" y="99917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23100</xdr:rowOff>
    </xdr:to>
    <xdr:sp macro="" textlink="">
      <xdr:nvSpPr>
        <xdr:cNvPr id="2337" name="Text Box 12"/>
        <xdr:cNvSpPr txBox="1">
          <a:spLocks noChangeArrowheads="1"/>
        </xdr:cNvSpPr>
      </xdr:nvSpPr>
      <xdr:spPr bwMode="auto">
        <a:xfrm flipH="1">
          <a:off x="3901328" y="99917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23313</xdr:rowOff>
    </xdr:to>
    <xdr:sp macro="" textlink="">
      <xdr:nvSpPr>
        <xdr:cNvPr id="2338" name="Text Box 14"/>
        <xdr:cNvSpPr txBox="1">
          <a:spLocks noChangeArrowheads="1"/>
        </xdr:cNvSpPr>
      </xdr:nvSpPr>
      <xdr:spPr bwMode="auto">
        <a:xfrm flipH="1">
          <a:off x="3901328" y="99917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23312</xdr:rowOff>
    </xdr:to>
    <xdr:sp macro="" textlink="">
      <xdr:nvSpPr>
        <xdr:cNvPr id="2339" name="Text Box 16"/>
        <xdr:cNvSpPr txBox="1">
          <a:spLocks noChangeArrowheads="1"/>
        </xdr:cNvSpPr>
      </xdr:nvSpPr>
      <xdr:spPr bwMode="auto">
        <a:xfrm flipH="1">
          <a:off x="3901328" y="99917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0</xdr:rowOff>
    </xdr:to>
    <xdr:sp macro="" textlink="">
      <xdr:nvSpPr>
        <xdr:cNvPr id="2340" name="Text Box 12"/>
        <xdr:cNvSpPr txBox="1">
          <a:spLocks noChangeArrowheads="1"/>
        </xdr:cNvSpPr>
      </xdr:nvSpPr>
      <xdr:spPr bwMode="auto">
        <a:xfrm flipH="1">
          <a:off x="3901328" y="99917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26760</xdr:rowOff>
    </xdr:to>
    <xdr:sp macro="" textlink="">
      <xdr:nvSpPr>
        <xdr:cNvPr id="2341" name="Text Box 4"/>
        <xdr:cNvSpPr txBox="1">
          <a:spLocks noChangeArrowheads="1"/>
        </xdr:cNvSpPr>
      </xdr:nvSpPr>
      <xdr:spPr bwMode="auto">
        <a:xfrm flipH="1">
          <a:off x="3901328" y="99917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28575</xdr:colOff>
      <xdr:row>144</xdr:row>
      <xdr:rowOff>9525</xdr:rowOff>
    </xdr:to>
    <xdr:sp macro="" textlink="">
      <xdr:nvSpPr>
        <xdr:cNvPr id="2342" name="Text Box 4"/>
        <xdr:cNvSpPr txBox="1">
          <a:spLocks noChangeArrowheads="1"/>
        </xdr:cNvSpPr>
      </xdr:nvSpPr>
      <xdr:spPr bwMode="auto">
        <a:xfrm flipH="1">
          <a:off x="4133850" y="99917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23100</xdr:rowOff>
    </xdr:to>
    <xdr:sp macro="" textlink="">
      <xdr:nvSpPr>
        <xdr:cNvPr id="2343" name="Text Box 12"/>
        <xdr:cNvSpPr txBox="1">
          <a:spLocks noChangeArrowheads="1"/>
        </xdr:cNvSpPr>
      </xdr:nvSpPr>
      <xdr:spPr bwMode="auto">
        <a:xfrm flipH="1">
          <a:off x="3901328" y="99917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23313</xdr:rowOff>
    </xdr:to>
    <xdr:sp macro="" textlink="">
      <xdr:nvSpPr>
        <xdr:cNvPr id="2344" name="Text Box 14"/>
        <xdr:cNvSpPr txBox="1">
          <a:spLocks noChangeArrowheads="1"/>
        </xdr:cNvSpPr>
      </xdr:nvSpPr>
      <xdr:spPr bwMode="auto">
        <a:xfrm flipH="1">
          <a:off x="3901328" y="99917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23312</xdr:rowOff>
    </xdr:to>
    <xdr:sp macro="" textlink="">
      <xdr:nvSpPr>
        <xdr:cNvPr id="2345" name="Text Box 16"/>
        <xdr:cNvSpPr txBox="1">
          <a:spLocks noChangeArrowheads="1"/>
        </xdr:cNvSpPr>
      </xdr:nvSpPr>
      <xdr:spPr bwMode="auto">
        <a:xfrm flipH="1">
          <a:off x="3901328" y="99917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0</xdr:rowOff>
    </xdr:to>
    <xdr:sp macro="" textlink="">
      <xdr:nvSpPr>
        <xdr:cNvPr id="2346" name="Text Box 12"/>
        <xdr:cNvSpPr txBox="1">
          <a:spLocks noChangeArrowheads="1"/>
        </xdr:cNvSpPr>
      </xdr:nvSpPr>
      <xdr:spPr bwMode="auto">
        <a:xfrm flipH="1">
          <a:off x="3901328" y="99917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26760</xdr:rowOff>
    </xdr:to>
    <xdr:sp macro="" textlink="">
      <xdr:nvSpPr>
        <xdr:cNvPr id="2347" name="Text Box 4"/>
        <xdr:cNvSpPr txBox="1">
          <a:spLocks noChangeArrowheads="1"/>
        </xdr:cNvSpPr>
      </xdr:nvSpPr>
      <xdr:spPr bwMode="auto">
        <a:xfrm flipH="1">
          <a:off x="3901328" y="99917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9525</xdr:rowOff>
    </xdr:to>
    <xdr:sp macro="" textlink="">
      <xdr:nvSpPr>
        <xdr:cNvPr id="2348" name="Text Box 4"/>
        <xdr:cNvSpPr txBox="1">
          <a:spLocks noChangeArrowheads="1"/>
        </xdr:cNvSpPr>
      </xdr:nvSpPr>
      <xdr:spPr bwMode="auto">
        <a:xfrm flipH="1">
          <a:off x="4133850" y="99917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23100</xdr:rowOff>
    </xdr:to>
    <xdr:sp macro="" textlink="">
      <xdr:nvSpPr>
        <xdr:cNvPr id="2349" name="Text Box 12"/>
        <xdr:cNvSpPr txBox="1">
          <a:spLocks noChangeArrowheads="1"/>
        </xdr:cNvSpPr>
      </xdr:nvSpPr>
      <xdr:spPr bwMode="auto">
        <a:xfrm flipH="1">
          <a:off x="4133850" y="999172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23313</xdr:rowOff>
    </xdr:to>
    <xdr:sp macro="" textlink="">
      <xdr:nvSpPr>
        <xdr:cNvPr id="2350" name="Text Box 14"/>
        <xdr:cNvSpPr txBox="1">
          <a:spLocks noChangeArrowheads="1"/>
        </xdr:cNvSpPr>
      </xdr:nvSpPr>
      <xdr:spPr bwMode="auto">
        <a:xfrm flipH="1">
          <a:off x="4133850" y="999172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23312</xdr:rowOff>
    </xdr:to>
    <xdr:sp macro="" textlink="">
      <xdr:nvSpPr>
        <xdr:cNvPr id="2351" name="Text Box 16"/>
        <xdr:cNvSpPr txBox="1">
          <a:spLocks noChangeArrowheads="1"/>
        </xdr:cNvSpPr>
      </xdr:nvSpPr>
      <xdr:spPr bwMode="auto">
        <a:xfrm flipH="1">
          <a:off x="4133850" y="999172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0</xdr:rowOff>
    </xdr:to>
    <xdr:sp macro="" textlink="">
      <xdr:nvSpPr>
        <xdr:cNvPr id="2352" name="Text Box 12"/>
        <xdr:cNvSpPr txBox="1">
          <a:spLocks noChangeArrowheads="1"/>
        </xdr:cNvSpPr>
      </xdr:nvSpPr>
      <xdr:spPr bwMode="auto">
        <a:xfrm flipH="1">
          <a:off x="4133850" y="99917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26760</xdr:rowOff>
    </xdr:to>
    <xdr:sp macro="" textlink="">
      <xdr:nvSpPr>
        <xdr:cNvPr id="2353" name="Text Box 4"/>
        <xdr:cNvSpPr txBox="1">
          <a:spLocks noChangeArrowheads="1"/>
        </xdr:cNvSpPr>
      </xdr:nvSpPr>
      <xdr:spPr bwMode="auto">
        <a:xfrm flipH="1">
          <a:off x="4133850" y="999172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9525</xdr:rowOff>
    </xdr:to>
    <xdr:sp macro="" textlink="">
      <xdr:nvSpPr>
        <xdr:cNvPr id="2354" name="Text Box 4"/>
        <xdr:cNvSpPr txBox="1">
          <a:spLocks noChangeArrowheads="1"/>
        </xdr:cNvSpPr>
      </xdr:nvSpPr>
      <xdr:spPr bwMode="auto">
        <a:xfrm flipH="1">
          <a:off x="4133850" y="99917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23100</xdr:rowOff>
    </xdr:to>
    <xdr:sp macro="" textlink="">
      <xdr:nvSpPr>
        <xdr:cNvPr id="2355" name="Text Box 12"/>
        <xdr:cNvSpPr txBox="1">
          <a:spLocks noChangeArrowheads="1"/>
        </xdr:cNvSpPr>
      </xdr:nvSpPr>
      <xdr:spPr bwMode="auto">
        <a:xfrm flipH="1">
          <a:off x="4133850" y="999172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23313</xdr:rowOff>
    </xdr:to>
    <xdr:sp macro="" textlink="">
      <xdr:nvSpPr>
        <xdr:cNvPr id="2356" name="Text Box 14"/>
        <xdr:cNvSpPr txBox="1">
          <a:spLocks noChangeArrowheads="1"/>
        </xdr:cNvSpPr>
      </xdr:nvSpPr>
      <xdr:spPr bwMode="auto">
        <a:xfrm flipH="1">
          <a:off x="4133850" y="999172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23312</xdr:rowOff>
    </xdr:to>
    <xdr:sp macro="" textlink="">
      <xdr:nvSpPr>
        <xdr:cNvPr id="2357" name="Text Box 16"/>
        <xdr:cNvSpPr txBox="1">
          <a:spLocks noChangeArrowheads="1"/>
        </xdr:cNvSpPr>
      </xdr:nvSpPr>
      <xdr:spPr bwMode="auto">
        <a:xfrm flipH="1">
          <a:off x="4133850" y="999172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0</xdr:rowOff>
    </xdr:to>
    <xdr:sp macro="" textlink="">
      <xdr:nvSpPr>
        <xdr:cNvPr id="2358" name="Text Box 12"/>
        <xdr:cNvSpPr txBox="1">
          <a:spLocks noChangeArrowheads="1"/>
        </xdr:cNvSpPr>
      </xdr:nvSpPr>
      <xdr:spPr bwMode="auto">
        <a:xfrm flipH="1">
          <a:off x="4133850" y="9991725"/>
          <a:ext cx="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26760</xdr:rowOff>
    </xdr:to>
    <xdr:sp macro="" textlink="">
      <xdr:nvSpPr>
        <xdr:cNvPr id="2359" name="Text Box 4"/>
        <xdr:cNvSpPr txBox="1">
          <a:spLocks noChangeArrowheads="1"/>
        </xdr:cNvSpPr>
      </xdr:nvSpPr>
      <xdr:spPr bwMode="auto">
        <a:xfrm flipH="1">
          <a:off x="4133850" y="999172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28575</xdr:colOff>
      <xdr:row>144</xdr:row>
      <xdr:rowOff>9525</xdr:rowOff>
    </xdr:to>
    <xdr:sp macro="" textlink="">
      <xdr:nvSpPr>
        <xdr:cNvPr id="2360" name="Text Box 4"/>
        <xdr:cNvSpPr txBox="1">
          <a:spLocks noChangeArrowheads="1"/>
        </xdr:cNvSpPr>
      </xdr:nvSpPr>
      <xdr:spPr bwMode="auto">
        <a:xfrm flipH="1">
          <a:off x="4133850" y="99917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23100</xdr:rowOff>
    </xdr:to>
    <xdr:sp macro="" textlink="">
      <xdr:nvSpPr>
        <xdr:cNvPr id="2361" name="Text Box 12"/>
        <xdr:cNvSpPr txBox="1">
          <a:spLocks noChangeArrowheads="1"/>
        </xdr:cNvSpPr>
      </xdr:nvSpPr>
      <xdr:spPr bwMode="auto">
        <a:xfrm flipH="1">
          <a:off x="3901328" y="99917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23313</xdr:rowOff>
    </xdr:to>
    <xdr:sp macro="" textlink="">
      <xdr:nvSpPr>
        <xdr:cNvPr id="2362" name="Text Box 14"/>
        <xdr:cNvSpPr txBox="1">
          <a:spLocks noChangeArrowheads="1"/>
        </xdr:cNvSpPr>
      </xdr:nvSpPr>
      <xdr:spPr bwMode="auto">
        <a:xfrm flipH="1">
          <a:off x="3901328" y="99917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23312</xdr:rowOff>
    </xdr:to>
    <xdr:sp macro="" textlink="">
      <xdr:nvSpPr>
        <xdr:cNvPr id="2363" name="Text Box 16"/>
        <xdr:cNvSpPr txBox="1">
          <a:spLocks noChangeArrowheads="1"/>
        </xdr:cNvSpPr>
      </xdr:nvSpPr>
      <xdr:spPr bwMode="auto">
        <a:xfrm flipH="1">
          <a:off x="3901328" y="99917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0</xdr:rowOff>
    </xdr:to>
    <xdr:sp macro="" textlink="">
      <xdr:nvSpPr>
        <xdr:cNvPr id="2364" name="Text Box 12"/>
        <xdr:cNvSpPr txBox="1">
          <a:spLocks noChangeArrowheads="1"/>
        </xdr:cNvSpPr>
      </xdr:nvSpPr>
      <xdr:spPr bwMode="auto">
        <a:xfrm flipH="1">
          <a:off x="3901328" y="99917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26760</xdr:rowOff>
    </xdr:to>
    <xdr:sp macro="" textlink="">
      <xdr:nvSpPr>
        <xdr:cNvPr id="2365" name="Text Box 4"/>
        <xdr:cNvSpPr txBox="1">
          <a:spLocks noChangeArrowheads="1"/>
        </xdr:cNvSpPr>
      </xdr:nvSpPr>
      <xdr:spPr bwMode="auto">
        <a:xfrm flipH="1">
          <a:off x="3901328" y="99917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28575</xdr:colOff>
      <xdr:row>144</xdr:row>
      <xdr:rowOff>9525</xdr:rowOff>
    </xdr:to>
    <xdr:sp macro="" textlink="">
      <xdr:nvSpPr>
        <xdr:cNvPr id="2366" name="Text Box 4"/>
        <xdr:cNvSpPr txBox="1">
          <a:spLocks noChangeArrowheads="1"/>
        </xdr:cNvSpPr>
      </xdr:nvSpPr>
      <xdr:spPr bwMode="auto">
        <a:xfrm flipH="1">
          <a:off x="4133850" y="99917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23100</xdr:rowOff>
    </xdr:to>
    <xdr:sp macro="" textlink="">
      <xdr:nvSpPr>
        <xdr:cNvPr id="2367" name="Text Box 12"/>
        <xdr:cNvSpPr txBox="1">
          <a:spLocks noChangeArrowheads="1"/>
        </xdr:cNvSpPr>
      </xdr:nvSpPr>
      <xdr:spPr bwMode="auto">
        <a:xfrm flipH="1">
          <a:off x="3901328" y="99917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23313</xdr:rowOff>
    </xdr:to>
    <xdr:sp macro="" textlink="">
      <xdr:nvSpPr>
        <xdr:cNvPr id="2368" name="Text Box 14"/>
        <xdr:cNvSpPr txBox="1">
          <a:spLocks noChangeArrowheads="1"/>
        </xdr:cNvSpPr>
      </xdr:nvSpPr>
      <xdr:spPr bwMode="auto">
        <a:xfrm flipH="1">
          <a:off x="3901328" y="99917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23312</xdr:rowOff>
    </xdr:to>
    <xdr:sp macro="" textlink="">
      <xdr:nvSpPr>
        <xdr:cNvPr id="2369" name="Text Box 16"/>
        <xdr:cNvSpPr txBox="1">
          <a:spLocks noChangeArrowheads="1"/>
        </xdr:cNvSpPr>
      </xdr:nvSpPr>
      <xdr:spPr bwMode="auto">
        <a:xfrm flipH="1">
          <a:off x="3901328" y="99917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0</xdr:rowOff>
    </xdr:to>
    <xdr:sp macro="" textlink="">
      <xdr:nvSpPr>
        <xdr:cNvPr id="2370" name="Text Box 12"/>
        <xdr:cNvSpPr txBox="1">
          <a:spLocks noChangeArrowheads="1"/>
        </xdr:cNvSpPr>
      </xdr:nvSpPr>
      <xdr:spPr bwMode="auto">
        <a:xfrm flipH="1">
          <a:off x="3901328" y="9991725"/>
          <a:ext cx="34290" cy="4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2621168</xdr:colOff>
      <xdr:row>144</xdr:row>
      <xdr:rowOff>26760</xdr:rowOff>
    </xdr:to>
    <xdr:sp macro="" textlink="">
      <xdr:nvSpPr>
        <xdr:cNvPr id="2371" name="Text Box 4"/>
        <xdr:cNvSpPr txBox="1">
          <a:spLocks noChangeArrowheads="1"/>
        </xdr:cNvSpPr>
      </xdr:nvSpPr>
      <xdr:spPr bwMode="auto">
        <a:xfrm flipH="1">
          <a:off x="3901328" y="99917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80456</xdr:rowOff>
    </xdr:to>
    <xdr:sp macro="" textlink="">
      <xdr:nvSpPr>
        <xdr:cNvPr id="2372" name="Text Box 4"/>
        <xdr:cNvSpPr txBox="1">
          <a:spLocks noChangeArrowheads="1"/>
        </xdr:cNvSpPr>
      </xdr:nvSpPr>
      <xdr:spPr bwMode="auto">
        <a:xfrm flipH="1">
          <a:off x="3901328" y="99917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24544</xdr:rowOff>
    </xdr:to>
    <xdr:sp macro="" textlink="">
      <xdr:nvSpPr>
        <xdr:cNvPr id="2373" name="Text Box 12"/>
        <xdr:cNvSpPr txBox="1">
          <a:spLocks noChangeArrowheads="1"/>
        </xdr:cNvSpPr>
      </xdr:nvSpPr>
      <xdr:spPr bwMode="auto">
        <a:xfrm flipH="1">
          <a:off x="3901328" y="99917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23162</xdr:rowOff>
    </xdr:to>
    <xdr:sp macro="" textlink="">
      <xdr:nvSpPr>
        <xdr:cNvPr id="2374" name="Text Box 14"/>
        <xdr:cNvSpPr txBox="1">
          <a:spLocks noChangeArrowheads="1"/>
        </xdr:cNvSpPr>
      </xdr:nvSpPr>
      <xdr:spPr bwMode="auto">
        <a:xfrm flipH="1">
          <a:off x="3901328" y="99917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23161</xdr:rowOff>
    </xdr:to>
    <xdr:sp macro="" textlink="">
      <xdr:nvSpPr>
        <xdr:cNvPr id="2375" name="Text Box 16"/>
        <xdr:cNvSpPr txBox="1">
          <a:spLocks noChangeArrowheads="1"/>
        </xdr:cNvSpPr>
      </xdr:nvSpPr>
      <xdr:spPr bwMode="auto">
        <a:xfrm flipH="1">
          <a:off x="3901328" y="99917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80989</xdr:rowOff>
    </xdr:to>
    <xdr:sp macro="" textlink="">
      <xdr:nvSpPr>
        <xdr:cNvPr id="2376" name="Text Box 12"/>
        <xdr:cNvSpPr txBox="1">
          <a:spLocks noChangeArrowheads="1"/>
        </xdr:cNvSpPr>
      </xdr:nvSpPr>
      <xdr:spPr bwMode="auto">
        <a:xfrm flipH="1">
          <a:off x="3901328" y="99917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30996</xdr:rowOff>
    </xdr:to>
    <xdr:sp macro="" textlink="">
      <xdr:nvSpPr>
        <xdr:cNvPr id="2377" name="Text Box 4"/>
        <xdr:cNvSpPr txBox="1">
          <a:spLocks noChangeArrowheads="1"/>
        </xdr:cNvSpPr>
      </xdr:nvSpPr>
      <xdr:spPr bwMode="auto">
        <a:xfrm flipH="1">
          <a:off x="3901328" y="99917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80456</xdr:rowOff>
    </xdr:to>
    <xdr:sp macro="" textlink="">
      <xdr:nvSpPr>
        <xdr:cNvPr id="2378" name="Text Box 4"/>
        <xdr:cNvSpPr txBox="1">
          <a:spLocks noChangeArrowheads="1"/>
        </xdr:cNvSpPr>
      </xdr:nvSpPr>
      <xdr:spPr bwMode="auto">
        <a:xfrm flipH="1">
          <a:off x="3901328" y="99917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24544</xdr:rowOff>
    </xdr:to>
    <xdr:sp macro="" textlink="">
      <xdr:nvSpPr>
        <xdr:cNvPr id="2379" name="Text Box 12"/>
        <xdr:cNvSpPr txBox="1">
          <a:spLocks noChangeArrowheads="1"/>
        </xdr:cNvSpPr>
      </xdr:nvSpPr>
      <xdr:spPr bwMode="auto">
        <a:xfrm flipH="1">
          <a:off x="3901328" y="99917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23162</xdr:rowOff>
    </xdr:to>
    <xdr:sp macro="" textlink="">
      <xdr:nvSpPr>
        <xdr:cNvPr id="2380" name="Text Box 14"/>
        <xdr:cNvSpPr txBox="1">
          <a:spLocks noChangeArrowheads="1"/>
        </xdr:cNvSpPr>
      </xdr:nvSpPr>
      <xdr:spPr bwMode="auto">
        <a:xfrm flipH="1">
          <a:off x="3901328" y="99917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23161</xdr:rowOff>
    </xdr:to>
    <xdr:sp macro="" textlink="">
      <xdr:nvSpPr>
        <xdr:cNvPr id="2381" name="Text Box 16"/>
        <xdr:cNvSpPr txBox="1">
          <a:spLocks noChangeArrowheads="1"/>
        </xdr:cNvSpPr>
      </xdr:nvSpPr>
      <xdr:spPr bwMode="auto">
        <a:xfrm flipH="1">
          <a:off x="3901328" y="99917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80989</xdr:rowOff>
    </xdr:to>
    <xdr:sp macro="" textlink="">
      <xdr:nvSpPr>
        <xdr:cNvPr id="2382" name="Text Box 12"/>
        <xdr:cNvSpPr txBox="1">
          <a:spLocks noChangeArrowheads="1"/>
        </xdr:cNvSpPr>
      </xdr:nvSpPr>
      <xdr:spPr bwMode="auto">
        <a:xfrm flipH="1">
          <a:off x="3901328" y="99917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30996</xdr:rowOff>
    </xdr:to>
    <xdr:sp macro="" textlink="">
      <xdr:nvSpPr>
        <xdr:cNvPr id="2383" name="Text Box 4"/>
        <xdr:cNvSpPr txBox="1">
          <a:spLocks noChangeArrowheads="1"/>
        </xdr:cNvSpPr>
      </xdr:nvSpPr>
      <xdr:spPr bwMode="auto">
        <a:xfrm flipH="1">
          <a:off x="3901328" y="99917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80456</xdr:rowOff>
    </xdr:to>
    <xdr:sp macro="" textlink="">
      <xdr:nvSpPr>
        <xdr:cNvPr id="2384" name="Text Box 4"/>
        <xdr:cNvSpPr txBox="1">
          <a:spLocks noChangeArrowheads="1"/>
        </xdr:cNvSpPr>
      </xdr:nvSpPr>
      <xdr:spPr bwMode="auto">
        <a:xfrm flipH="1">
          <a:off x="4133850" y="99917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24544</xdr:rowOff>
    </xdr:to>
    <xdr:sp macro="" textlink="">
      <xdr:nvSpPr>
        <xdr:cNvPr id="2385" name="Text Box 12"/>
        <xdr:cNvSpPr txBox="1">
          <a:spLocks noChangeArrowheads="1"/>
        </xdr:cNvSpPr>
      </xdr:nvSpPr>
      <xdr:spPr bwMode="auto">
        <a:xfrm flipH="1">
          <a:off x="4133850" y="99917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23162</xdr:rowOff>
    </xdr:to>
    <xdr:sp macro="" textlink="">
      <xdr:nvSpPr>
        <xdr:cNvPr id="2386" name="Text Box 14"/>
        <xdr:cNvSpPr txBox="1">
          <a:spLocks noChangeArrowheads="1"/>
        </xdr:cNvSpPr>
      </xdr:nvSpPr>
      <xdr:spPr bwMode="auto">
        <a:xfrm flipH="1">
          <a:off x="4133850" y="99917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23161</xdr:rowOff>
    </xdr:to>
    <xdr:sp macro="" textlink="">
      <xdr:nvSpPr>
        <xdr:cNvPr id="2387" name="Text Box 16"/>
        <xdr:cNvSpPr txBox="1">
          <a:spLocks noChangeArrowheads="1"/>
        </xdr:cNvSpPr>
      </xdr:nvSpPr>
      <xdr:spPr bwMode="auto">
        <a:xfrm flipH="1">
          <a:off x="4133850" y="99917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80989</xdr:rowOff>
    </xdr:to>
    <xdr:sp macro="" textlink="">
      <xdr:nvSpPr>
        <xdr:cNvPr id="2388" name="Text Box 12"/>
        <xdr:cNvSpPr txBox="1">
          <a:spLocks noChangeArrowheads="1"/>
        </xdr:cNvSpPr>
      </xdr:nvSpPr>
      <xdr:spPr bwMode="auto">
        <a:xfrm flipH="1">
          <a:off x="4133850" y="99917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30996</xdr:rowOff>
    </xdr:to>
    <xdr:sp macro="" textlink="">
      <xdr:nvSpPr>
        <xdr:cNvPr id="2389" name="Text Box 4"/>
        <xdr:cNvSpPr txBox="1">
          <a:spLocks noChangeArrowheads="1"/>
        </xdr:cNvSpPr>
      </xdr:nvSpPr>
      <xdr:spPr bwMode="auto">
        <a:xfrm flipH="1">
          <a:off x="4133850" y="99917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80456</xdr:rowOff>
    </xdr:to>
    <xdr:sp macro="" textlink="">
      <xdr:nvSpPr>
        <xdr:cNvPr id="2390" name="Text Box 4"/>
        <xdr:cNvSpPr txBox="1">
          <a:spLocks noChangeArrowheads="1"/>
        </xdr:cNvSpPr>
      </xdr:nvSpPr>
      <xdr:spPr bwMode="auto">
        <a:xfrm flipH="1">
          <a:off x="4133850" y="99917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24544</xdr:rowOff>
    </xdr:to>
    <xdr:sp macro="" textlink="">
      <xdr:nvSpPr>
        <xdr:cNvPr id="2391" name="Text Box 12"/>
        <xdr:cNvSpPr txBox="1">
          <a:spLocks noChangeArrowheads="1"/>
        </xdr:cNvSpPr>
      </xdr:nvSpPr>
      <xdr:spPr bwMode="auto">
        <a:xfrm flipH="1">
          <a:off x="4133850" y="99917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23162</xdr:rowOff>
    </xdr:to>
    <xdr:sp macro="" textlink="">
      <xdr:nvSpPr>
        <xdr:cNvPr id="2392" name="Text Box 14"/>
        <xdr:cNvSpPr txBox="1">
          <a:spLocks noChangeArrowheads="1"/>
        </xdr:cNvSpPr>
      </xdr:nvSpPr>
      <xdr:spPr bwMode="auto">
        <a:xfrm flipH="1">
          <a:off x="4133850" y="99917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23161</xdr:rowOff>
    </xdr:to>
    <xdr:sp macro="" textlink="">
      <xdr:nvSpPr>
        <xdr:cNvPr id="2393" name="Text Box 16"/>
        <xdr:cNvSpPr txBox="1">
          <a:spLocks noChangeArrowheads="1"/>
        </xdr:cNvSpPr>
      </xdr:nvSpPr>
      <xdr:spPr bwMode="auto">
        <a:xfrm flipH="1">
          <a:off x="4133850" y="99917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80989</xdr:rowOff>
    </xdr:to>
    <xdr:sp macro="" textlink="">
      <xdr:nvSpPr>
        <xdr:cNvPr id="2394" name="Text Box 12"/>
        <xdr:cNvSpPr txBox="1">
          <a:spLocks noChangeArrowheads="1"/>
        </xdr:cNvSpPr>
      </xdr:nvSpPr>
      <xdr:spPr bwMode="auto">
        <a:xfrm flipH="1">
          <a:off x="4133850" y="99917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30996</xdr:rowOff>
    </xdr:to>
    <xdr:sp macro="" textlink="">
      <xdr:nvSpPr>
        <xdr:cNvPr id="2395" name="Text Box 4"/>
        <xdr:cNvSpPr txBox="1">
          <a:spLocks noChangeArrowheads="1"/>
        </xdr:cNvSpPr>
      </xdr:nvSpPr>
      <xdr:spPr bwMode="auto">
        <a:xfrm flipH="1">
          <a:off x="4133850" y="99917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80456</xdr:rowOff>
    </xdr:to>
    <xdr:sp macro="" textlink="">
      <xdr:nvSpPr>
        <xdr:cNvPr id="2396" name="Text Box 4"/>
        <xdr:cNvSpPr txBox="1">
          <a:spLocks noChangeArrowheads="1"/>
        </xdr:cNvSpPr>
      </xdr:nvSpPr>
      <xdr:spPr bwMode="auto">
        <a:xfrm flipH="1">
          <a:off x="3901328" y="99917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24544</xdr:rowOff>
    </xdr:to>
    <xdr:sp macro="" textlink="">
      <xdr:nvSpPr>
        <xdr:cNvPr id="2397" name="Text Box 12"/>
        <xdr:cNvSpPr txBox="1">
          <a:spLocks noChangeArrowheads="1"/>
        </xdr:cNvSpPr>
      </xdr:nvSpPr>
      <xdr:spPr bwMode="auto">
        <a:xfrm flipH="1">
          <a:off x="3901328" y="99917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23162</xdr:rowOff>
    </xdr:to>
    <xdr:sp macro="" textlink="">
      <xdr:nvSpPr>
        <xdr:cNvPr id="2398" name="Text Box 14"/>
        <xdr:cNvSpPr txBox="1">
          <a:spLocks noChangeArrowheads="1"/>
        </xdr:cNvSpPr>
      </xdr:nvSpPr>
      <xdr:spPr bwMode="auto">
        <a:xfrm flipH="1">
          <a:off x="3901328" y="99917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23161</xdr:rowOff>
    </xdr:to>
    <xdr:sp macro="" textlink="">
      <xdr:nvSpPr>
        <xdr:cNvPr id="2399" name="Text Box 16"/>
        <xdr:cNvSpPr txBox="1">
          <a:spLocks noChangeArrowheads="1"/>
        </xdr:cNvSpPr>
      </xdr:nvSpPr>
      <xdr:spPr bwMode="auto">
        <a:xfrm flipH="1">
          <a:off x="3901328" y="99917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80989</xdr:rowOff>
    </xdr:to>
    <xdr:sp macro="" textlink="">
      <xdr:nvSpPr>
        <xdr:cNvPr id="2400" name="Text Box 12"/>
        <xdr:cNvSpPr txBox="1">
          <a:spLocks noChangeArrowheads="1"/>
        </xdr:cNvSpPr>
      </xdr:nvSpPr>
      <xdr:spPr bwMode="auto">
        <a:xfrm flipH="1">
          <a:off x="3901328" y="99917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30996</xdr:rowOff>
    </xdr:to>
    <xdr:sp macro="" textlink="">
      <xdr:nvSpPr>
        <xdr:cNvPr id="2401" name="Text Box 4"/>
        <xdr:cNvSpPr txBox="1">
          <a:spLocks noChangeArrowheads="1"/>
        </xdr:cNvSpPr>
      </xdr:nvSpPr>
      <xdr:spPr bwMode="auto">
        <a:xfrm flipH="1">
          <a:off x="3901328" y="99917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80456</xdr:rowOff>
    </xdr:to>
    <xdr:sp macro="" textlink="">
      <xdr:nvSpPr>
        <xdr:cNvPr id="2402" name="Text Box 4"/>
        <xdr:cNvSpPr txBox="1">
          <a:spLocks noChangeArrowheads="1"/>
        </xdr:cNvSpPr>
      </xdr:nvSpPr>
      <xdr:spPr bwMode="auto">
        <a:xfrm flipH="1">
          <a:off x="3901328" y="99917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24544</xdr:rowOff>
    </xdr:to>
    <xdr:sp macro="" textlink="">
      <xdr:nvSpPr>
        <xdr:cNvPr id="2403" name="Text Box 12"/>
        <xdr:cNvSpPr txBox="1">
          <a:spLocks noChangeArrowheads="1"/>
        </xdr:cNvSpPr>
      </xdr:nvSpPr>
      <xdr:spPr bwMode="auto">
        <a:xfrm flipH="1">
          <a:off x="3901328" y="99917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23162</xdr:rowOff>
    </xdr:to>
    <xdr:sp macro="" textlink="">
      <xdr:nvSpPr>
        <xdr:cNvPr id="2404" name="Text Box 14"/>
        <xdr:cNvSpPr txBox="1">
          <a:spLocks noChangeArrowheads="1"/>
        </xdr:cNvSpPr>
      </xdr:nvSpPr>
      <xdr:spPr bwMode="auto">
        <a:xfrm flipH="1">
          <a:off x="3901328" y="99917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23161</xdr:rowOff>
    </xdr:to>
    <xdr:sp macro="" textlink="">
      <xdr:nvSpPr>
        <xdr:cNvPr id="2405" name="Text Box 16"/>
        <xdr:cNvSpPr txBox="1">
          <a:spLocks noChangeArrowheads="1"/>
        </xdr:cNvSpPr>
      </xdr:nvSpPr>
      <xdr:spPr bwMode="auto">
        <a:xfrm flipH="1">
          <a:off x="3901328" y="99917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80989</xdr:rowOff>
    </xdr:to>
    <xdr:sp macro="" textlink="">
      <xdr:nvSpPr>
        <xdr:cNvPr id="2406" name="Text Box 12"/>
        <xdr:cNvSpPr txBox="1">
          <a:spLocks noChangeArrowheads="1"/>
        </xdr:cNvSpPr>
      </xdr:nvSpPr>
      <xdr:spPr bwMode="auto">
        <a:xfrm flipH="1">
          <a:off x="3901328" y="99917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30996</xdr:rowOff>
    </xdr:to>
    <xdr:sp macro="" textlink="">
      <xdr:nvSpPr>
        <xdr:cNvPr id="2407" name="Text Box 4"/>
        <xdr:cNvSpPr txBox="1">
          <a:spLocks noChangeArrowheads="1"/>
        </xdr:cNvSpPr>
      </xdr:nvSpPr>
      <xdr:spPr bwMode="auto">
        <a:xfrm flipH="1">
          <a:off x="3901328" y="99917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80456</xdr:rowOff>
    </xdr:to>
    <xdr:sp macro="" textlink="">
      <xdr:nvSpPr>
        <xdr:cNvPr id="2408" name="Text Box 4"/>
        <xdr:cNvSpPr txBox="1">
          <a:spLocks noChangeArrowheads="1"/>
        </xdr:cNvSpPr>
      </xdr:nvSpPr>
      <xdr:spPr bwMode="auto">
        <a:xfrm flipH="1">
          <a:off x="4133850" y="99917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24544</xdr:rowOff>
    </xdr:to>
    <xdr:sp macro="" textlink="">
      <xdr:nvSpPr>
        <xdr:cNvPr id="2409" name="Text Box 12"/>
        <xdr:cNvSpPr txBox="1">
          <a:spLocks noChangeArrowheads="1"/>
        </xdr:cNvSpPr>
      </xdr:nvSpPr>
      <xdr:spPr bwMode="auto">
        <a:xfrm flipH="1">
          <a:off x="4133850" y="99917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23162</xdr:rowOff>
    </xdr:to>
    <xdr:sp macro="" textlink="">
      <xdr:nvSpPr>
        <xdr:cNvPr id="2410" name="Text Box 14"/>
        <xdr:cNvSpPr txBox="1">
          <a:spLocks noChangeArrowheads="1"/>
        </xdr:cNvSpPr>
      </xdr:nvSpPr>
      <xdr:spPr bwMode="auto">
        <a:xfrm flipH="1">
          <a:off x="4133850" y="99917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23161</xdr:rowOff>
    </xdr:to>
    <xdr:sp macro="" textlink="">
      <xdr:nvSpPr>
        <xdr:cNvPr id="2411" name="Text Box 16"/>
        <xdr:cNvSpPr txBox="1">
          <a:spLocks noChangeArrowheads="1"/>
        </xdr:cNvSpPr>
      </xdr:nvSpPr>
      <xdr:spPr bwMode="auto">
        <a:xfrm flipH="1">
          <a:off x="4133850" y="99917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80989</xdr:rowOff>
    </xdr:to>
    <xdr:sp macro="" textlink="">
      <xdr:nvSpPr>
        <xdr:cNvPr id="2412" name="Text Box 12"/>
        <xdr:cNvSpPr txBox="1">
          <a:spLocks noChangeArrowheads="1"/>
        </xdr:cNvSpPr>
      </xdr:nvSpPr>
      <xdr:spPr bwMode="auto">
        <a:xfrm flipH="1">
          <a:off x="4133850" y="99917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30996</xdr:rowOff>
    </xdr:to>
    <xdr:sp macro="" textlink="">
      <xdr:nvSpPr>
        <xdr:cNvPr id="2413" name="Text Box 4"/>
        <xdr:cNvSpPr txBox="1">
          <a:spLocks noChangeArrowheads="1"/>
        </xdr:cNvSpPr>
      </xdr:nvSpPr>
      <xdr:spPr bwMode="auto">
        <a:xfrm flipH="1">
          <a:off x="4133850" y="99917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80456</xdr:rowOff>
    </xdr:to>
    <xdr:sp macro="" textlink="">
      <xdr:nvSpPr>
        <xdr:cNvPr id="2414" name="Text Box 4"/>
        <xdr:cNvSpPr txBox="1">
          <a:spLocks noChangeArrowheads="1"/>
        </xdr:cNvSpPr>
      </xdr:nvSpPr>
      <xdr:spPr bwMode="auto">
        <a:xfrm flipH="1">
          <a:off x="4133850" y="99917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24544</xdr:rowOff>
    </xdr:to>
    <xdr:sp macro="" textlink="">
      <xdr:nvSpPr>
        <xdr:cNvPr id="2415" name="Text Box 12"/>
        <xdr:cNvSpPr txBox="1">
          <a:spLocks noChangeArrowheads="1"/>
        </xdr:cNvSpPr>
      </xdr:nvSpPr>
      <xdr:spPr bwMode="auto">
        <a:xfrm flipH="1">
          <a:off x="4133850" y="99917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23162</xdr:rowOff>
    </xdr:to>
    <xdr:sp macro="" textlink="">
      <xdr:nvSpPr>
        <xdr:cNvPr id="2416" name="Text Box 14"/>
        <xdr:cNvSpPr txBox="1">
          <a:spLocks noChangeArrowheads="1"/>
        </xdr:cNvSpPr>
      </xdr:nvSpPr>
      <xdr:spPr bwMode="auto">
        <a:xfrm flipH="1">
          <a:off x="4133850" y="99917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23161</xdr:rowOff>
    </xdr:to>
    <xdr:sp macro="" textlink="">
      <xdr:nvSpPr>
        <xdr:cNvPr id="2417" name="Text Box 16"/>
        <xdr:cNvSpPr txBox="1">
          <a:spLocks noChangeArrowheads="1"/>
        </xdr:cNvSpPr>
      </xdr:nvSpPr>
      <xdr:spPr bwMode="auto">
        <a:xfrm flipH="1">
          <a:off x="4133850" y="99917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80989</xdr:rowOff>
    </xdr:to>
    <xdr:sp macro="" textlink="">
      <xdr:nvSpPr>
        <xdr:cNvPr id="2418" name="Text Box 12"/>
        <xdr:cNvSpPr txBox="1">
          <a:spLocks noChangeArrowheads="1"/>
        </xdr:cNvSpPr>
      </xdr:nvSpPr>
      <xdr:spPr bwMode="auto">
        <a:xfrm flipH="1">
          <a:off x="4133850" y="99917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0</xdr:colOff>
      <xdr:row>144</xdr:row>
      <xdr:rowOff>30996</xdr:rowOff>
    </xdr:to>
    <xdr:sp macro="" textlink="">
      <xdr:nvSpPr>
        <xdr:cNvPr id="2419" name="Text Box 4"/>
        <xdr:cNvSpPr txBox="1">
          <a:spLocks noChangeArrowheads="1"/>
        </xdr:cNvSpPr>
      </xdr:nvSpPr>
      <xdr:spPr bwMode="auto">
        <a:xfrm flipH="1">
          <a:off x="4133850" y="99917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80456</xdr:rowOff>
    </xdr:to>
    <xdr:sp macro="" textlink="">
      <xdr:nvSpPr>
        <xdr:cNvPr id="2420" name="Text Box 4"/>
        <xdr:cNvSpPr txBox="1">
          <a:spLocks noChangeArrowheads="1"/>
        </xdr:cNvSpPr>
      </xdr:nvSpPr>
      <xdr:spPr bwMode="auto">
        <a:xfrm flipH="1">
          <a:off x="3901328" y="99917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24544</xdr:rowOff>
    </xdr:to>
    <xdr:sp macro="" textlink="">
      <xdr:nvSpPr>
        <xdr:cNvPr id="2421" name="Text Box 12"/>
        <xdr:cNvSpPr txBox="1">
          <a:spLocks noChangeArrowheads="1"/>
        </xdr:cNvSpPr>
      </xdr:nvSpPr>
      <xdr:spPr bwMode="auto">
        <a:xfrm flipH="1">
          <a:off x="3901328" y="99917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23162</xdr:rowOff>
    </xdr:to>
    <xdr:sp macro="" textlink="">
      <xdr:nvSpPr>
        <xdr:cNvPr id="2422" name="Text Box 14"/>
        <xdr:cNvSpPr txBox="1">
          <a:spLocks noChangeArrowheads="1"/>
        </xdr:cNvSpPr>
      </xdr:nvSpPr>
      <xdr:spPr bwMode="auto">
        <a:xfrm flipH="1">
          <a:off x="3901328" y="99917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23161</xdr:rowOff>
    </xdr:to>
    <xdr:sp macro="" textlink="">
      <xdr:nvSpPr>
        <xdr:cNvPr id="2423" name="Text Box 16"/>
        <xdr:cNvSpPr txBox="1">
          <a:spLocks noChangeArrowheads="1"/>
        </xdr:cNvSpPr>
      </xdr:nvSpPr>
      <xdr:spPr bwMode="auto">
        <a:xfrm flipH="1">
          <a:off x="3901328" y="99917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80989</xdr:rowOff>
    </xdr:to>
    <xdr:sp macro="" textlink="">
      <xdr:nvSpPr>
        <xdr:cNvPr id="2424" name="Text Box 12"/>
        <xdr:cNvSpPr txBox="1">
          <a:spLocks noChangeArrowheads="1"/>
        </xdr:cNvSpPr>
      </xdr:nvSpPr>
      <xdr:spPr bwMode="auto">
        <a:xfrm flipH="1">
          <a:off x="3901328" y="99917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30996</xdr:rowOff>
    </xdr:to>
    <xdr:sp macro="" textlink="">
      <xdr:nvSpPr>
        <xdr:cNvPr id="2425" name="Text Box 4"/>
        <xdr:cNvSpPr txBox="1">
          <a:spLocks noChangeArrowheads="1"/>
        </xdr:cNvSpPr>
      </xdr:nvSpPr>
      <xdr:spPr bwMode="auto">
        <a:xfrm flipH="1">
          <a:off x="3901328" y="99917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80456</xdr:rowOff>
    </xdr:to>
    <xdr:sp macro="" textlink="">
      <xdr:nvSpPr>
        <xdr:cNvPr id="2426" name="Text Box 4"/>
        <xdr:cNvSpPr txBox="1">
          <a:spLocks noChangeArrowheads="1"/>
        </xdr:cNvSpPr>
      </xdr:nvSpPr>
      <xdr:spPr bwMode="auto">
        <a:xfrm flipH="1">
          <a:off x="3901328" y="99917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24544</xdr:rowOff>
    </xdr:to>
    <xdr:sp macro="" textlink="">
      <xdr:nvSpPr>
        <xdr:cNvPr id="2427" name="Text Box 12"/>
        <xdr:cNvSpPr txBox="1">
          <a:spLocks noChangeArrowheads="1"/>
        </xdr:cNvSpPr>
      </xdr:nvSpPr>
      <xdr:spPr bwMode="auto">
        <a:xfrm flipH="1">
          <a:off x="3901328" y="99917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23162</xdr:rowOff>
    </xdr:to>
    <xdr:sp macro="" textlink="">
      <xdr:nvSpPr>
        <xdr:cNvPr id="2428" name="Text Box 14"/>
        <xdr:cNvSpPr txBox="1">
          <a:spLocks noChangeArrowheads="1"/>
        </xdr:cNvSpPr>
      </xdr:nvSpPr>
      <xdr:spPr bwMode="auto">
        <a:xfrm flipH="1">
          <a:off x="3901328" y="99917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23161</xdr:rowOff>
    </xdr:to>
    <xdr:sp macro="" textlink="">
      <xdr:nvSpPr>
        <xdr:cNvPr id="2429" name="Text Box 16"/>
        <xdr:cNvSpPr txBox="1">
          <a:spLocks noChangeArrowheads="1"/>
        </xdr:cNvSpPr>
      </xdr:nvSpPr>
      <xdr:spPr bwMode="auto">
        <a:xfrm flipH="1">
          <a:off x="3901328" y="99917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80989</xdr:rowOff>
    </xdr:to>
    <xdr:sp macro="" textlink="">
      <xdr:nvSpPr>
        <xdr:cNvPr id="2430" name="Text Box 12"/>
        <xdr:cNvSpPr txBox="1">
          <a:spLocks noChangeArrowheads="1"/>
        </xdr:cNvSpPr>
      </xdr:nvSpPr>
      <xdr:spPr bwMode="auto">
        <a:xfrm flipH="1">
          <a:off x="3901328" y="99917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30996</xdr:rowOff>
    </xdr:to>
    <xdr:sp macro="" textlink="">
      <xdr:nvSpPr>
        <xdr:cNvPr id="2431" name="Text Box 4"/>
        <xdr:cNvSpPr txBox="1">
          <a:spLocks noChangeArrowheads="1"/>
        </xdr:cNvSpPr>
      </xdr:nvSpPr>
      <xdr:spPr bwMode="auto">
        <a:xfrm flipH="1">
          <a:off x="3901328" y="99917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32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33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34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35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36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37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38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39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40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41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42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43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44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45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46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47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48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49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50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51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52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53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54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55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56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57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58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59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60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61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62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63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64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65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66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67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68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69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70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71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72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73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74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75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76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77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78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79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80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81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82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83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84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85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86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87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88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89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90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91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92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93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94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95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96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97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98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499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00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01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02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03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04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05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06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07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08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09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10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11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12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13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14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15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16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17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18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19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20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21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22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23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24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25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26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27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28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29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30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31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32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33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34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35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36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37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38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39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40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41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42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43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44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45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46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47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48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49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50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51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52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53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54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55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56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57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58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59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60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61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62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63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64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65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66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67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68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69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70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71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72" name="Text Box 1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73" name="Text Box 16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74" name="Text Box 12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144</xdr:row>
      <xdr:rowOff>0</xdr:rowOff>
    </xdr:from>
    <xdr:to>
      <xdr:col>4</xdr:col>
      <xdr:colOff>2586878</xdr:colOff>
      <xdr:row>144</xdr:row>
      <xdr:rowOff>0</xdr:rowOff>
    </xdr:to>
    <xdr:sp macro="" textlink="">
      <xdr:nvSpPr>
        <xdr:cNvPr id="2575" name="Text Box 4"/>
        <xdr:cNvSpPr txBox="1">
          <a:spLocks noChangeArrowheads="1"/>
        </xdr:cNvSpPr>
      </xdr:nvSpPr>
      <xdr:spPr bwMode="auto">
        <a:xfrm flipH="1">
          <a:off x="3901328" y="999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400050</xdr:colOff>
          <xdr:row>3</xdr:row>
          <xdr:rowOff>123825</xdr:rowOff>
        </xdr:from>
        <xdr:to>
          <xdr:col>23</xdr:col>
          <xdr:colOff>714375</xdr:colOff>
          <xdr:row>5</xdr:row>
          <xdr:rowOff>47625</xdr:rowOff>
        </xdr:to>
        <xdr:sp macro="" textlink="">
          <xdr:nvSpPr>
            <xdr:cNvPr id="17418" name="Check Box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400050</xdr:colOff>
          <xdr:row>4</xdr:row>
          <xdr:rowOff>123825</xdr:rowOff>
        </xdr:from>
        <xdr:to>
          <xdr:col>23</xdr:col>
          <xdr:colOff>714375</xdr:colOff>
          <xdr:row>6</xdr:row>
          <xdr:rowOff>47625</xdr:rowOff>
        </xdr:to>
        <xdr:sp macro="" textlink="">
          <xdr:nvSpPr>
            <xdr:cNvPr id="17419" name="Check Box 11" hidden="1">
              <a:extLst>
                <a:ext uri="{63B3BB69-23CF-44E3-9099-C40C66FF867C}">
                  <a14:compatExt spid="_x0000_s17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409575</xdr:colOff>
          <xdr:row>5</xdr:row>
          <xdr:rowOff>123825</xdr:rowOff>
        </xdr:from>
        <xdr:to>
          <xdr:col>23</xdr:col>
          <xdr:colOff>723900</xdr:colOff>
          <xdr:row>7</xdr:row>
          <xdr:rowOff>47625</xdr:rowOff>
        </xdr:to>
        <xdr:sp macro="" textlink="">
          <xdr:nvSpPr>
            <xdr:cNvPr id="17420" name="Check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400050</xdr:colOff>
          <xdr:row>3</xdr:row>
          <xdr:rowOff>123825</xdr:rowOff>
        </xdr:from>
        <xdr:to>
          <xdr:col>23</xdr:col>
          <xdr:colOff>714375</xdr:colOff>
          <xdr:row>5</xdr:row>
          <xdr:rowOff>47625</xdr:rowOff>
        </xdr:to>
        <xdr:sp macro="" textlink="">
          <xdr:nvSpPr>
            <xdr:cNvPr id="19457" name="Check Box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400050</xdr:colOff>
          <xdr:row>4</xdr:row>
          <xdr:rowOff>123825</xdr:rowOff>
        </xdr:from>
        <xdr:to>
          <xdr:col>23</xdr:col>
          <xdr:colOff>714375</xdr:colOff>
          <xdr:row>6</xdr:row>
          <xdr:rowOff>47625</xdr:rowOff>
        </xdr:to>
        <xdr:sp macro="" textlink="">
          <xdr:nvSpPr>
            <xdr:cNvPr id="19458" name="Check Box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409575</xdr:colOff>
          <xdr:row>5</xdr:row>
          <xdr:rowOff>123825</xdr:rowOff>
        </xdr:from>
        <xdr:to>
          <xdr:col>23</xdr:col>
          <xdr:colOff>723900</xdr:colOff>
          <xdr:row>7</xdr:row>
          <xdr:rowOff>47625</xdr:rowOff>
        </xdr:to>
        <xdr:sp macro="" textlink="">
          <xdr:nvSpPr>
            <xdr:cNvPr id="19459" name="Check Box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27557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 flipH="1">
          <a:off x="4063253" y="3868102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0</xdr:rowOff>
    </xdr:to>
    <xdr:sp macro="" textlink="">
      <xdr:nvSpPr>
        <xdr:cNvPr id="3" name="Text Box 12"/>
        <xdr:cNvSpPr txBox="1">
          <a:spLocks noChangeArrowheads="1"/>
        </xdr:cNvSpPr>
      </xdr:nvSpPr>
      <xdr:spPr bwMode="auto">
        <a:xfrm flipH="1">
          <a:off x="4063253" y="386810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0</xdr:rowOff>
    </xdr:to>
    <xdr:sp macro="" textlink="">
      <xdr:nvSpPr>
        <xdr:cNvPr id="4" name="Text Box 14"/>
        <xdr:cNvSpPr txBox="1">
          <a:spLocks noChangeArrowheads="1"/>
        </xdr:cNvSpPr>
      </xdr:nvSpPr>
      <xdr:spPr bwMode="auto">
        <a:xfrm flipH="1">
          <a:off x="4063253" y="386810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0</xdr:rowOff>
    </xdr:to>
    <xdr:sp macro="" textlink="">
      <xdr:nvSpPr>
        <xdr:cNvPr id="5" name="Text Box 16"/>
        <xdr:cNvSpPr txBox="1">
          <a:spLocks noChangeArrowheads="1"/>
        </xdr:cNvSpPr>
      </xdr:nvSpPr>
      <xdr:spPr bwMode="auto">
        <a:xfrm flipH="1">
          <a:off x="4063253" y="386810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0</xdr:rowOff>
    </xdr:to>
    <xdr:sp macro="" textlink="">
      <xdr:nvSpPr>
        <xdr:cNvPr id="6" name="Text Box 12"/>
        <xdr:cNvSpPr txBox="1">
          <a:spLocks noChangeArrowheads="1"/>
        </xdr:cNvSpPr>
      </xdr:nvSpPr>
      <xdr:spPr bwMode="auto">
        <a:xfrm flipH="1">
          <a:off x="4063253" y="386810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13044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 flipH="1">
          <a:off x="4063253" y="3868102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 flipH="1">
          <a:off x="4295775" y="242792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23100</xdr:rowOff>
    </xdr:to>
    <xdr:sp macro="" textlink="">
      <xdr:nvSpPr>
        <xdr:cNvPr id="9" name="Text Box 12"/>
        <xdr:cNvSpPr txBox="1">
          <a:spLocks noChangeArrowheads="1"/>
        </xdr:cNvSpPr>
      </xdr:nvSpPr>
      <xdr:spPr bwMode="auto">
        <a:xfrm flipH="1">
          <a:off x="4063253" y="242792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23313</xdr:rowOff>
    </xdr:to>
    <xdr:sp macro="" textlink="">
      <xdr:nvSpPr>
        <xdr:cNvPr id="10" name="Text Box 14"/>
        <xdr:cNvSpPr txBox="1">
          <a:spLocks noChangeArrowheads="1"/>
        </xdr:cNvSpPr>
      </xdr:nvSpPr>
      <xdr:spPr bwMode="auto">
        <a:xfrm flipH="1">
          <a:off x="4063253" y="242792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23312</xdr:rowOff>
    </xdr:to>
    <xdr:sp macro="" textlink="">
      <xdr:nvSpPr>
        <xdr:cNvPr id="11" name="Text Box 16"/>
        <xdr:cNvSpPr txBox="1">
          <a:spLocks noChangeArrowheads="1"/>
        </xdr:cNvSpPr>
      </xdr:nvSpPr>
      <xdr:spPr bwMode="auto">
        <a:xfrm flipH="1">
          <a:off x="4063253" y="242792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0</xdr:rowOff>
    </xdr:to>
    <xdr:sp macro="" textlink="">
      <xdr:nvSpPr>
        <xdr:cNvPr id="12" name="Text Box 12"/>
        <xdr:cNvSpPr txBox="1">
          <a:spLocks noChangeArrowheads="1"/>
        </xdr:cNvSpPr>
      </xdr:nvSpPr>
      <xdr:spPr bwMode="auto">
        <a:xfrm flipH="1">
          <a:off x="4063253" y="242792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26760</xdr:rowOff>
    </xdr:to>
    <xdr:sp macro="" textlink="">
      <xdr:nvSpPr>
        <xdr:cNvPr id="13" name="Text Box 4"/>
        <xdr:cNvSpPr txBox="1">
          <a:spLocks noChangeArrowheads="1"/>
        </xdr:cNvSpPr>
      </xdr:nvSpPr>
      <xdr:spPr bwMode="auto">
        <a:xfrm flipH="1">
          <a:off x="4063253" y="242792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14" name="Text Box 4"/>
        <xdr:cNvSpPr txBox="1">
          <a:spLocks noChangeArrowheads="1"/>
        </xdr:cNvSpPr>
      </xdr:nvSpPr>
      <xdr:spPr bwMode="auto">
        <a:xfrm flipH="1">
          <a:off x="4295775" y="242792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23100</xdr:rowOff>
    </xdr:to>
    <xdr:sp macro="" textlink="">
      <xdr:nvSpPr>
        <xdr:cNvPr id="15" name="Text Box 12"/>
        <xdr:cNvSpPr txBox="1">
          <a:spLocks noChangeArrowheads="1"/>
        </xdr:cNvSpPr>
      </xdr:nvSpPr>
      <xdr:spPr bwMode="auto">
        <a:xfrm flipH="1">
          <a:off x="4063253" y="242792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23313</xdr:rowOff>
    </xdr:to>
    <xdr:sp macro="" textlink="">
      <xdr:nvSpPr>
        <xdr:cNvPr id="16" name="Text Box 14"/>
        <xdr:cNvSpPr txBox="1">
          <a:spLocks noChangeArrowheads="1"/>
        </xdr:cNvSpPr>
      </xdr:nvSpPr>
      <xdr:spPr bwMode="auto">
        <a:xfrm flipH="1">
          <a:off x="4063253" y="242792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23312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 flipH="1">
          <a:off x="4063253" y="242792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0</xdr:rowOff>
    </xdr:to>
    <xdr:sp macro="" textlink="">
      <xdr:nvSpPr>
        <xdr:cNvPr id="18" name="Text Box 12"/>
        <xdr:cNvSpPr txBox="1">
          <a:spLocks noChangeArrowheads="1"/>
        </xdr:cNvSpPr>
      </xdr:nvSpPr>
      <xdr:spPr bwMode="auto">
        <a:xfrm flipH="1">
          <a:off x="4063253" y="242792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26760</xdr:rowOff>
    </xdr:to>
    <xdr:sp macro="" textlink="">
      <xdr:nvSpPr>
        <xdr:cNvPr id="19" name="Text Box 4"/>
        <xdr:cNvSpPr txBox="1">
          <a:spLocks noChangeArrowheads="1"/>
        </xdr:cNvSpPr>
      </xdr:nvSpPr>
      <xdr:spPr bwMode="auto">
        <a:xfrm flipH="1">
          <a:off x="4063253" y="242792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27557</xdr:rowOff>
    </xdr:to>
    <xdr:sp macro="" textlink="">
      <xdr:nvSpPr>
        <xdr:cNvPr id="20" name="Text Box 4"/>
        <xdr:cNvSpPr txBox="1">
          <a:spLocks noChangeArrowheads="1"/>
        </xdr:cNvSpPr>
      </xdr:nvSpPr>
      <xdr:spPr bwMode="auto">
        <a:xfrm flipH="1">
          <a:off x="4295775" y="3868102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0</xdr:rowOff>
    </xdr:to>
    <xdr:sp macro="" textlink="">
      <xdr:nvSpPr>
        <xdr:cNvPr id="21" name="Text Box 12"/>
        <xdr:cNvSpPr txBox="1">
          <a:spLocks noChangeArrowheads="1"/>
        </xdr:cNvSpPr>
      </xdr:nvSpPr>
      <xdr:spPr bwMode="auto">
        <a:xfrm flipH="1">
          <a:off x="4295775" y="38681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0</xdr:rowOff>
    </xdr:to>
    <xdr:sp macro="" textlink="">
      <xdr:nvSpPr>
        <xdr:cNvPr id="22" name="Text Box 14"/>
        <xdr:cNvSpPr txBox="1">
          <a:spLocks noChangeArrowheads="1"/>
        </xdr:cNvSpPr>
      </xdr:nvSpPr>
      <xdr:spPr bwMode="auto">
        <a:xfrm flipH="1">
          <a:off x="4295775" y="38681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0</xdr:rowOff>
    </xdr:to>
    <xdr:sp macro="" textlink="">
      <xdr:nvSpPr>
        <xdr:cNvPr id="23" name="Text Box 16"/>
        <xdr:cNvSpPr txBox="1">
          <a:spLocks noChangeArrowheads="1"/>
        </xdr:cNvSpPr>
      </xdr:nvSpPr>
      <xdr:spPr bwMode="auto">
        <a:xfrm flipH="1">
          <a:off x="4295775" y="38681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0</xdr:rowOff>
    </xdr:to>
    <xdr:sp macro="" textlink="">
      <xdr:nvSpPr>
        <xdr:cNvPr id="24" name="Text Box 12"/>
        <xdr:cNvSpPr txBox="1">
          <a:spLocks noChangeArrowheads="1"/>
        </xdr:cNvSpPr>
      </xdr:nvSpPr>
      <xdr:spPr bwMode="auto">
        <a:xfrm flipH="1">
          <a:off x="4295775" y="38681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13044</xdr:rowOff>
    </xdr:to>
    <xdr:sp macro="" textlink="">
      <xdr:nvSpPr>
        <xdr:cNvPr id="25" name="Text Box 4"/>
        <xdr:cNvSpPr txBox="1">
          <a:spLocks noChangeArrowheads="1"/>
        </xdr:cNvSpPr>
      </xdr:nvSpPr>
      <xdr:spPr bwMode="auto">
        <a:xfrm flipH="1">
          <a:off x="4295775" y="3868102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9525</xdr:rowOff>
    </xdr:to>
    <xdr:sp macro="" textlink="">
      <xdr:nvSpPr>
        <xdr:cNvPr id="26" name="Text Box 4"/>
        <xdr:cNvSpPr txBox="1">
          <a:spLocks noChangeArrowheads="1"/>
        </xdr:cNvSpPr>
      </xdr:nvSpPr>
      <xdr:spPr bwMode="auto">
        <a:xfrm flipH="1">
          <a:off x="4295775" y="242792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23100</xdr:rowOff>
    </xdr:to>
    <xdr:sp macro="" textlink="">
      <xdr:nvSpPr>
        <xdr:cNvPr id="27" name="Text Box 12"/>
        <xdr:cNvSpPr txBox="1">
          <a:spLocks noChangeArrowheads="1"/>
        </xdr:cNvSpPr>
      </xdr:nvSpPr>
      <xdr:spPr bwMode="auto">
        <a:xfrm flipH="1">
          <a:off x="4295775" y="2427922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23313</xdr:rowOff>
    </xdr:to>
    <xdr:sp macro="" textlink="">
      <xdr:nvSpPr>
        <xdr:cNvPr id="28" name="Text Box 14"/>
        <xdr:cNvSpPr txBox="1">
          <a:spLocks noChangeArrowheads="1"/>
        </xdr:cNvSpPr>
      </xdr:nvSpPr>
      <xdr:spPr bwMode="auto">
        <a:xfrm flipH="1">
          <a:off x="4295775" y="2427922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23312</xdr:rowOff>
    </xdr:to>
    <xdr:sp macro="" textlink="">
      <xdr:nvSpPr>
        <xdr:cNvPr id="29" name="Text Box 16"/>
        <xdr:cNvSpPr txBox="1">
          <a:spLocks noChangeArrowheads="1"/>
        </xdr:cNvSpPr>
      </xdr:nvSpPr>
      <xdr:spPr bwMode="auto">
        <a:xfrm flipH="1">
          <a:off x="4295775" y="2427922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0</xdr:rowOff>
    </xdr:to>
    <xdr:sp macro="" textlink="">
      <xdr:nvSpPr>
        <xdr:cNvPr id="30" name="Text Box 12"/>
        <xdr:cNvSpPr txBox="1">
          <a:spLocks noChangeArrowheads="1"/>
        </xdr:cNvSpPr>
      </xdr:nvSpPr>
      <xdr:spPr bwMode="auto">
        <a:xfrm flipH="1">
          <a:off x="4295775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26760</xdr:rowOff>
    </xdr:to>
    <xdr:sp macro="" textlink="">
      <xdr:nvSpPr>
        <xdr:cNvPr id="31" name="Text Box 4"/>
        <xdr:cNvSpPr txBox="1">
          <a:spLocks noChangeArrowheads="1"/>
        </xdr:cNvSpPr>
      </xdr:nvSpPr>
      <xdr:spPr bwMode="auto">
        <a:xfrm flipH="1">
          <a:off x="4295775" y="2427922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9525</xdr:rowOff>
    </xdr:to>
    <xdr:sp macro="" textlink="">
      <xdr:nvSpPr>
        <xdr:cNvPr id="32" name="Text Box 4"/>
        <xdr:cNvSpPr txBox="1">
          <a:spLocks noChangeArrowheads="1"/>
        </xdr:cNvSpPr>
      </xdr:nvSpPr>
      <xdr:spPr bwMode="auto">
        <a:xfrm flipH="1">
          <a:off x="4295775" y="242792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23100</xdr:rowOff>
    </xdr:to>
    <xdr:sp macro="" textlink="">
      <xdr:nvSpPr>
        <xdr:cNvPr id="33" name="Text Box 12"/>
        <xdr:cNvSpPr txBox="1">
          <a:spLocks noChangeArrowheads="1"/>
        </xdr:cNvSpPr>
      </xdr:nvSpPr>
      <xdr:spPr bwMode="auto">
        <a:xfrm flipH="1">
          <a:off x="4295775" y="2427922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23313</xdr:rowOff>
    </xdr:to>
    <xdr:sp macro="" textlink="">
      <xdr:nvSpPr>
        <xdr:cNvPr id="34" name="Text Box 14"/>
        <xdr:cNvSpPr txBox="1">
          <a:spLocks noChangeArrowheads="1"/>
        </xdr:cNvSpPr>
      </xdr:nvSpPr>
      <xdr:spPr bwMode="auto">
        <a:xfrm flipH="1">
          <a:off x="4295775" y="2427922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23312</xdr:rowOff>
    </xdr:to>
    <xdr:sp macro="" textlink="">
      <xdr:nvSpPr>
        <xdr:cNvPr id="35" name="Text Box 16"/>
        <xdr:cNvSpPr txBox="1">
          <a:spLocks noChangeArrowheads="1"/>
        </xdr:cNvSpPr>
      </xdr:nvSpPr>
      <xdr:spPr bwMode="auto">
        <a:xfrm flipH="1">
          <a:off x="4295775" y="2427922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0</xdr:rowOff>
    </xdr:to>
    <xdr:sp macro="" textlink="">
      <xdr:nvSpPr>
        <xdr:cNvPr id="36" name="Text Box 12"/>
        <xdr:cNvSpPr txBox="1">
          <a:spLocks noChangeArrowheads="1"/>
        </xdr:cNvSpPr>
      </xdr:nvSpPr>
      <xdr:spPr bwMode="auto">
        <a:xfrm flipH="1">
          <a:off x="4295775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26760</xdr:rowOff>
    </xdr:to>
    <xdr:sp macro="" textlink="">
      <xdr:nvSpPr>
        <xdr:cNvPr id="37" name="Text Box 4"/>
        <xdr:cNvSpPr txBox="1">
          <a:spLocks noChangeArrowheads="1"/>
        </xdr:cNvSpPr>
      </xdr:nvSpPr>
      <xdr:spPr bwMode="auto">
        <a:xfrm flipH="1">
          <a:off x="4295775" y="2427922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27557</xdr:rowOff>
    </xdr:to>
    <xdr:sp macro="" textlink="">
      <xdr:nvSpPr>
        <xdr:cNvPr id="38" name="Text Box 4"/>
        <xdr:cNvSpPr txBox="1">
          <a:spLocks noChangeArrowheads="1"/>
        </xdr:cNvSpPr>
      </xdr:nvSpPr>
      <xdr:spPr bwMode="auto">
        <a:xfrm flipH="1">
          <a:off x="4063253" y="3868102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0</xdr:rowOff>
    </xdr:to>
    <xdr:sp macro="" textlink="">
      <xdr:nvSpPr>
        <xdr:cNvPr id="39" name="Text Box 12"/>
        <xdr:cNvSpPr txBox="1">
          <a:spLocks noChangeArrowheads="1"/>
        </xdr:cNvSpPr>
      </xdr:nvSpPr>
      <xdr:spPr bwMode="auto">
        <a:xfrm flipH="1">
          <a:off x="4063253" y="386810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0</xdr:rowOff>
    </xdr:to>
    <xdr:sp macro="" textlink="">
      <xdr:nvSpPr>
        <xdr:cNvPr id="40" name="Text Box 14"/>
        <xdr:cNvSpPr txBox="1">
          <a:spLocks noChangeArrowheads="1"/>
        </xdr:cNvSpPr>
      </xdr:nvSpPr>
      <xdr:spPr bwMode="auto">
        <a:xfrm flipH="1">
          <a:off x="4063253" y="386810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0</xdr:rowOff>
    </xdr:to>
    <xdr:sp macro="" textlink="">
      <xdr:nvSpPr>
        <xdr:cNvPr id="41" name="Text Box 16"/>
        <xdr:cNvSpPr txBox="1">
          <a:spLocks noChangeArrowheads="1"/>
        </xdr:cNvSpPr>
      </xdr:nvSpPr>
      <xdr:spPr bwMode="auto">
        <a:xfrm flipH="1">
          <a:off x="4063253" y="386810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0</xdr:rowOff>
    </xdr:to>
    <xdr:sp macro="" textlink="">
      <xdr:nvSpPr>
        <xdr:cNvPr id="42" name="Text Box 12"/>
        <xdr:cNvSpPr txBox="1">
          <a:spLocks noChangeArrowheads="1"/>
        </xdr:cNvSpPr>
      </xdr:nvSpPr>
      <xdr:spPr bwMode="auto">
        <a:xfrm flipH="1">
          <a:off x="4063253" y="386810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13044</xdr:rowOff>
    </xdr:to>
    <xdr:sp macro="" textlink="">
      <xdr:nvSpPr>
        <xdr:cNvPr id="43" name="Text Box 4"/>
        <xdr:cNvSpPr txBox="1">
          <a:spLocks noChangeArrowheads="1"/>
        </xdr:cNvSpPr>
      </xdr:nvSpPr>
      <xdr:spPr bwMode="auto">
        <a:xfrm flipH="1">
          <a:off x="4063253" y="3868102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44" name="Text Box 4"/>
        <xdr:cNvSpPr txBox="1">
          <a:spLocks noChangeArrowheads="1"/>
        </xdr:cNvSpPr>
      </xdr:nvSpPr>
      <xdr:spPr bwMode="auto">
        <a:xfrm flipH="1">
          <a:off x="4295775" y="242792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23100</xdr:rowOff>
    </xdr:to>
    <xdr:sp macro="" textlink="">
      <xdr:nvSpPr>
        <xdr:cNvPr id="45" name="Text Box 12"/>
        <xdr:cNvSpPr txBox="1">
          <a:spLocks noChangeArrowheads="1"/>
        </xdr:cNvSpPr>
      </xdr:nvSpPr>
      <xdr:spPr bwMode="auto">
        <a:xfrm flipH="1">
          <a:off x="4063253" y="242792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23313</xdr:rowOff>
    </xdr:to>
    <xdr:sp macro="" textlink="">
      <xdr:nvSpPr>
        <xdr:cNvPr id="46" name="Text Box 14"/>
        <xdr:cNvSpPr txBox="1">
          <a:spLocks noChangeArrowheads="1"/>
        </xdr:cNvSpPr>
      </xdr:nvSpPr>
      <xdr:spPr bwMode="auto">
        <a:xfrm flipH="1">
          <a:off x="4063253" y="242792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23312</xdr:rowOff>
    </xdr:to>
    <xdr:sp macro="" textlink="">
      <xdr:nvSpPr>
        <xdr:cNvPr id="47" name="Text Box 16"/>
        <xdr:cNvSpPr txBox="1">
          <a:spLocks noChangeArrowheads="1"/>
        </xdr:cNvSpPr>
      </xdr:nvSpPr>
      <xdr:spPr bwMode="auto">
        <a:xfrm flipH="1">
          <a:off x="4063253" y="242792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0</xdr:rowOff>
    </xdr:to>
    <xdr:sp macro="" textlink="">
      <xdr:nvSpPr>
        <xdr:cNvPr id="48" name="Text Box 12"/>
        <xdr:cNvSpPr txBox="1">
          <a:spLocks noChangeArrowheads="1"/>
        </xdr:cNvSpPr>
      </xdr:nvSpPr>
      <xdr:spPr bwMode="auto">
        <a:xfrm flipH="1">
          <a:off x="4063253" y="242792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26760</xdr:rowOff>
    </xdr:to>
    <xdr:sp macro="" textlink="">
      <xdr:nvSpPr>
        <xdr:cNvPr id="49" name="Text Box 4"/>
        <xdr:cNvSpPr txBox="1">
          <a:spLocks noChangeArrowheads="1"/>
        </xdr:cNvSpPr>
      </xdr:nvSpPr>
      <xdr:spPr bwMode="auto">
        <a:xfrm flipH="1">
          <a:off x="4063253" y="242792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50" name="Text Box 4"/>
        <xdr:cNvSpPr txBox="1">
          <a:spLocks noChangeArrowheads="1"/>
        </xdr:cNvSpPr>
      </xdr:nvSpPr>
      <xdr:spPr bwMode="auto">
        <a:xfrm flipH="1">
          <a:off x="4295775" y="242792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23100</xdr:rowOff>
    </xdr:to>
    <xdr:sp macro="" textlink="">
      <xdr:nvSpPr>
        <xdr:cNvPr id="51" name="Text Box 12"/>
        <xdr:cNvSpPr txBox="1">
          <a:spLocks noChangeArrowheads="1"/>
        </xdr:cNvSpPr>
      </xdr:nvSpPr>
      <xdr:spPr bwMode="auto">
        <a:xfrm flipH="1">
          <a:off x="4063253" y="242792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23313</xdr:rowOff>
    </xdr:to>
    <xdr:sp macro="" textlink="">
      <xdr:nvSpPr>
        <xdr:cNvPr id="52" name="Text Box 14"/>
        <xdr:cNvSpPr txBox="1">
          <a:spLocks noChangeArrowheads="1"/>
        </xdr:cNvSpPr>
      </xdr:nvSpPr>
      <xdr:spPr bwMode="auto">
        <a:xfrm flipH="1">
          <a:off x="4063253" y="242792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23312</xdr:rowOff>
    </xdr:to>
    <xdr:sp macro="" textlink="">
      <xdr:nvSpPr>
        <xdr:cNvPr id="53" name="Text Box 16"/>
        <xdr:cNvSpPr txBox="1">
          <a:spLocks noChangeArrowheads="1"/>
        </xdr:cNvSpPr>
      </xdr:nvSpPr>
      <xdr:spPr bwMode="auto">
        <a:xfrm flipH="1">
          <a:off x="4063253" y="242792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0</xdr:rowOff>
    </xdr:to>
    <xdr:sp macro="" textlink="">
      <xdr:nvSpPr>
        <xdr:cNvPr id="54" name="Text Box 12"/>
        <xdr:cNvSpPr txBox="1">
          <a:spLocks noChangeArrowheads="1"/>
        </xdr:cNvSpPr>
      </xdr:nvSpPr>
      <xdr:spPr bwMode="auto">
        <a:xfrm flipH="1">
          <a:off x="4063253" y="242792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26760</xdr:rowOff>
    </xdr:to>
    <xdr:sp macro="" textlink="">
      <xdr:nvSpPr>
        <xdr:cNvPr id="55" name="Text Box 4"/>
        <xdr:cNvSpPr txBox="1">
          <a:spLocks noChangeArrowheads="1"/>
        </xdr:cNvSpPr>
      </xdr:nvSpPr>
      <xdr:spPr bwMode="auto">
        <a:xfrm flipH="1">
          <a:off x="4063253" y="242792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27557</xdr:rowOff>
    </xdr:to>
    <xdr:sp macro="" textlink="">
      <xdr:nvSpPr>
        <xdr:cNvPr id="56" name="Text Box 4"/>
        <xdr:cNvSpPr txBox="1">
          <a:spLocks noChangeArrowheads="1"/>
        </xdr:cNvSpPr>
      </xdr:nvSpPr>
      <xdr:spPr bwMode="auto">
        <a:xfrm flipH="1">
          <a:off x="4295775" y="3868102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0</xdr:rowOff>
    </xdr:to>
    <xdr:sp macro="" textlink="">
      <xdr:nvSpPr>
        <xdr:cNvPr id="57" name="Text Box 12"/>
        <xdr:cNvSpPr txBox="1">
          <a:spLocks noChangeArrowheads="1"/>
        </xdr:cNvSpPr>
      </xdr:nvSpPr>
      <xdr:spPr bwMode="auto">
        <a:xfrm flipH="1">
          <a:off x="4295775" y="38681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0</xdr:rowOff>
    </xdr:to>
    <xdr:sp macro="" textlink="">
      <xdr:nvSpPr>
        <xdr:cNvPr id="58" name="Text Box 14"/>
        <xdr:cNvSpPr txBox="1">
          <a:spLocks noChangeArrowheads="1"/>
        </xdr:cNvSpPr>
      </xdr:nvSpPr>
      <xdr:spPr bwMode="auto">
        <a:xfrm flipH="1">
          <a:off x="4295775" y="38681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0</xdr:rowOff>
    </xdr:to>
    <xdr:sp macro="" textlink="">
      <xdr:nvSpPr>
        <xdr:cNvPr id="59" name="Text Box 16"/>
        <xdr:cNvSpPr txBox="1">
          <a:spLocks noChangeArrowheads="1"/>
        </xdr:cNvSpPr>
      </xdr:nvSpPr>
      <xdr:spPr bwMode="auto">
        <a:xfrm flipH="1">
          <a:off x="4295775" y="38681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0</xdr:rowOff>
    </xdr:to>
    <xdr:sp macro="" textlink="">
      <xdr:nvSpPr>
        <xdr:cNvPr id="60" name="Text Box 12"/>
        <xdr:cNvSpPr txBox="1">
          <a:spLocks noChangeArrowheads="1"/>
        </xdr:cNvSpPr>
      </xdr:nvSpPr>
      <xdr:spPr bwMode="auto">
        <a:xfrm flipH="1">
          <a:off x="4295775" y="38681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13044</xdr:rowOff>
    </xdr:to>
    <xdr:sp macro="" textlink="">
      <xdr:nvSpPr>
        <xdr:cNvPr id="61" name="Text Box 4"/>
        <xdr:cNvSpPr txBox="1">
          <a:spLocks noChangeArrowheads="1"/>
        </xdr:cNvSpPr>
      </xdr:nvSpPr>
      <xdr:spPr bwMode="auto">
        <a:xfrm flipH="1">
          <a:off x="4295775" y="3868102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9525</xdr:rowOff>
    </xdr:to>
    <xdr:sp macro="" textlink="">
      <xdr:nvSpPr>
        <xdr:cNvPr id="62" name="Text Box 4"/>
        <xdr:cNvSpPr txBox="1">
          <a:spLocks noChangeArrowheads="1"/>
        </xdr:cNvSpPr>
      </xdr:nvSpPr>
      <xdr:spPr bwMode="auto">
        <a:xfrm flipH="1">
          <a:off x="4295775" y="242792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23100</xdr:rowOff>
    </xdr:to>
    <xdr:sp macro="" textlink="">
      <xdr:nvSpPr>
        <xdr:cNvPr id="63" name="Text Box 12"/>
        <xdr:cNvSpPr txBox="1">
          <a:spLocks noChangeArrowheads="1"/>
        </xdr:cNvSpPr>
      </xdr:nvSpPr>
      <xdr:spPr bwMode="auto">
        <a:xfrm flipH="1">
          <a:off x="4295775" y="2427922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23313</xdr:rowOff>
    </xdr:to>
    <xdr:sp macro="" textlink="">
      <xdr:nvSpPr>
        <xdr:cNvPr id="64" name="Text Box 14"/>
        <xdr:cNvSpPr txBox="1">
          <a:spLocks noChangeArrowheads="1"/>
        </xdr:cNvSpPr>
      </xdr:nvSpPr>
      <xdr:spPr bwMode="auto">
        <a:xfrm flipH="1">
          <a:off x="4295775" y="2427922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23312</xdr:rowOff>
    </xdr:to>
    <xdr:sp macro="" textlink="">
      <xdr:nvSpPr>
        <xdr:cNvPr id="65" name="Text Box 16"/>
        <xdr:cNvSpPr txBox="1">
          <a:spLocks noChangeArrowheads="1"/>
        </xdr:cNvSpPr>
      </xdr:nvSpPr>
      <xdr:spPr bwMode="auto">
        <a:xfrm flipH="1">
          <a:off x="4295775" y="2427922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0</xdr:rowOff>
    </xdr:to>
    <xdr:sp macro="" textlink="">
      <xdr:nvSpPr>
        <xdr:cNvPr id="66" name="Text Box 12"/>
        <xdr:cNvSpPr txBox="1">
          <a:spLocks noChangeArrowheads="1"/>
        </xdr:cNvSpPr>
      </xdr:nvSpPr>
      <xdr:spPr bwMode="auto">
        <a:xfrm flipH="1">
          <a:off x="4295775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26760</xdr:rowOff>
    </xdr:to>
    <xdr:sp macro="" textlink="">
      <xdr:nvSpPr>
        <xdr:cNvPr id="67" name="Text Box 4"/>
        <xdr:cNvSpPr txBox="1">
          <a:spLocks noChangeArrowheads="1"/>
        </xdr:cNvSpPr>
      </xdr:nvSpPr>
      <xdr:spPr bwMode="auto">
        <a:xfrm flipH="1">
          <a:off x="4295775" y="2427922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9525</xdr:rowOff>
    </xdr:to>
    <xdr:sp macro="" textlink="">
      <xdr:nvSpPr>
        <xdr:cNvPr id="68" name="Text Box 4"/>
        <xdr:cNvSpPr txBox="1">
          <a:spLocks noChangeArrowheads="1"/>
        </xdr:cNvSpPr>
      </xdr:nvSpPr>
      <xdr:spPr bwMode="auto">
        <a:xfrm flipH="1">
          <a:off x="4295775" y="242792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23100</xdr:rowOff>
    </xdr:to>
    <xdr:sp macro="" textlink="">
      <xdr:nvSpPr>
        <xdr:cNvPr id="69" name="Text Box 12"/>
        <xdr:cNvSpPr txBox="1">
          <a:spLocks noChangeArrowheads="1"/>
        </xdr:cNvSpPr>
      </xdr:nvSpPr>
      <xdr:spPr bwMode="auto">
        <a:xfrm flipH="1">
          <a:off x="4295775" y="2427922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23313</xdr:rowOff>
    </xdr:to>
    <xdr:sp macro="" textlink="">
      <xdr:nvSpPr>
        <xdr:cNvPr id="70" name="Text Box 14"/>
        <xdr:cNvSpPr txBox="1">
          <a:spLocks noChangeArrowheads="1"/>
        </xdr:cNvSpPr>
      </xdr:nvSpPr>
      <xdr:spPr bwMode="auto">
        <a:xfrm flipH="1">
          <a:off x="4295775" y="2427922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23312</xdr:rowOff>
    </xdr:to>
    <xdr:sp macro="" textlink="">
      <xdr:nvSpPr>
        <xdr:cNvPr id="71" name="Text Box 16"/>
        <xdr:cNvSpPr txBox="1">
          <a:spLocks noChangeArrowheads="1"/>
        </xdr:cNvSpPr>
      </xdr:nvSpPr>
      <xdr:spPr bwMode="auto">
        <a:xfrm flipH="1">
          <a:off x="4295775" y="2427922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0</xdr:rowOff>
    </xdr:to>
    <xdr:sp macro="" textlink="">
      <xdr:nvSpPr>
        <xdr:cNvPr id="72" name="Text Box 12"/>
        <xdr:cNvSpPr txBox="1">
          <a:spLocks noChangeArrowheads="1"/>
        </xdr:cNvSpPr>
      </xdr:nvSpPr>
      <xdr:spPr bwMode="auto">
        <a:xfrm flipH="1">
          <a:off x="4295775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26760</xdr:rowOff>
    </xdr:to>
    <xdr:sp macro="" textlink="">
      <xdr:nvSpPr>
        <xdr:cNvPr id="73" name="Text Box 4"/>
        <xdr:cNvSpPr txBox="1">
          <a:spLocks noChangeArrowheads="1"/>
        </xdr:cNvSpPr>
      </xdr:nvSpPr>
      <xdr:spPr bwMode="auto">
        <a:xfrm flipH="1">
          <a:off x="4295775" y="2427922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74" name="Text Box 4"/>
        <xdr:cNvSpPr txBox="1">
          <a:spLocks noChangeArrowheads="1"/>
        </xdr:cNvSpPr>
      </xdr:nvSpPr>
      <xdr:spPr bwMode="auto">
        <a:xfrm flipH="1">
          <a:off x="4295775" y="242792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23100</xdr:rowOff>
    </xdr:to>
    <xdr:sp macro="" textlink="">
      <xdr:nvSpPr>
        <xdr:cNvPr id="75" name="Text Box 12"/>
        <xdr:cNvSpPr txBox="1">
          <a:spLocks noChangeArrowheads="1"/>
        </xdr:cNvSpPr>
      </xdr:nvSpPr>
      <xdr:spPr bwMode="auto">
        <a:xfrm flipH="1">
          <a:off x="4063253" y="242792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23313</xdr:rowOff>
    </xdr:to>
    <xdr:sp macro="" textlink="">
      <xdr:nvSpPr>
        <xdr:cNvPr id="76" name="Text Box 14"/>
        <xdr:cNvSpPr txBox="1">
          <a:spLocks noChangeArrowheads="1"/>
        </xdr:cNvSpPr>
      </xdr:nvSpPr>
      <xdr:spPr bwMode="auto">
        <a:xfrm flipH="1">
          <a:off x="4063253" y="242792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23312</xdr:rowOff>
    </xdr:to>
    <xdr:sp macro="" textlink="">
      <xdr:nvSpPr>
        <xdr:cNvPr id="77" name="Text Box 16"/>
        <xdr:cNvSpPr txBox="1">
          <a:spLocks noChangeArrowheads="1"/>
        </xdr:cNvSpPr>
      </xdr:nvSpPr>
      <xdr:spPr bwMode="auto">
        <a:xfrm flipH="1">
          <a:off x="4063253" y="242792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0</xdr:rowOff>
    </xdr:to>
    <xdr:sp macro="" textlink="">
      <xdr:nvSpPr>
        <xdr:cNvPr id="78" name="Text Box 12"/>
        <xdr:cNvSpPr txBox="1">
          <a:spLocks noChangeArrowheads="1"/>
        </xdr:cNvSpPr>
      </xdr:nvSpPr>
      <xdr:spPr bwMode="auto">
        <a:xfrm flipH="1">
          <a:off x="4063253" y="242792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26760</xdr:rowOff>
    </xdr:to>
    <xdr:sp macro="" textlink="">
      <xdr:nvSpPr>
        <xdr:cNvPr id="79" name="Text Box 4"/>
        <xdr:cNvSpPr txBox="1">
          <a:spLocks noChangeArrowheads="1"/>
        </xdr:cNvSpPr>
      </xdr:nvSpPr>
      <xdr:spPr bwMode="auto">
        <a:xfrm flipH="1">
          <a:off x="4063253" y="242792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80" name="Text Box 4"/>
        <xdr:cNvSpPr txBox="1">
          <a:spLocks noChangeArrowheads="1"/>
        </xdr:cNvSpPr>
      </xdr:nvSpPr>
      <xdr:spPr bwMode="auto">
        <a:xfrm flipH="1">
          <a:off x="4295775" y="242792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23100</xdr:rowOff>
    </xdr:to>
    <xdr:sp macro="" textlink="">
      <xdr:nvSpPr>
        <xdr:cNvPr id="81" name="Text Box 12"/>
        <xdr:cNvSpPr txBox="1">
          <a:spLocks noChangeArrowheads="1"/>
        </xdr:cNvSpPr>
      </xdr:nvSpPr>
      <xdr:spPr bwMode="auto">
        <a:xfrm flipH="1">
          <a:off x="4063253" y="242792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23313</xdr:rowOff>
    </xdr:to>
    <xdr:sp macro="" textlink="">
      <xdr:nvSpPr>
        <xdr:cNvPr id="82" name="Text Box 14"/>
        <xdr:cNvSpPr txBox="1">
          <a:spLocks noChangeArrowheads="1"/>
        </xdr:cNvSpPr>
      </xdr:nvSpPr>
      <xdr:spPr bwMode="auto">
        <a:xfrm flipH="1">
          <a:off x="4063253" y="242792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23312</xdr:rowOff>
    </xdr:to>
    <xdr:sp macro="" textlink="">
      <xdr:nvSpPr>
        <xdr:cNvPr id="83" name="Text Box 16"/>
        <xdr:cNvSpPr txBox="1">
          <a:spLocks noChangeArrowheads="1"/>
        </xdr:cNvSpPr>
      </xdr:nvSpPr>
      <xdr:spPr bwMode="auto">
        <a:xfrm flipH="1">
          <a:off x="4063253" y="242792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0</xdr:rowOff>
    </xdr:to>
    <xdr:sp macro="" textlink="">
      <xdr:nvSpPr>
        <xdr:cNvPr id="84" name="Text Box 12"/>
        <xdr:cNvSpPr txBox="1">
          <a:spLocks noChangeArrowheads="1"/>
        </xdr:cNvSpPr>
      </xdr:nvSpPr>
      <xdr:spPr bwMode="auto">
        <a:xfrm flipH="1">
          <a:off x="4063253" y="242792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26760</xdr:rowOff>
    </xdr:to>
    <xdr:sp macro="" textlink="">
      <xdr:nvSpPr>
        <xdr:cNvPr id="85" name="Text Box 4"/>
        <xdr:cNvSpPr txBox="1">
          <a:spLocks noChangeArrowheads="1"/>
        </xdr:cNvSpPr>
      </xdr:nvSpPr>
      <xdr:spPr bwMode="auto">
        <a:xfrm flipH="1">
          <a:off x="4063253" y="242792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27557</xdr:rowOff>
    </xdr:to>
    <xdr:sp macro="" textlink="">
      <xdr:nvSpPr>
        <xdr:cNvPr id="86" name="Text Box 4"/>
        <xdr:cNvSpPr txBox="1">
          <a:spLocks noChangeArrowheads="1"/>
        </xdr:cNvSpPr>
      </xdr:nvSpPr>
      <xdr:spPr bwMode="auto">
        <a:xfrm flipH="1">
          <a:off x="4063253" y="3868102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0</xdr:rowOff>
    </xdr:to>
    <xdr:sp macro="" textlink="">
      <xdr:nvSpPr>
        <xdr:cNvPr id="87" name="Text Box 12"/>
        <xdr:cNvSpPr txBox="1">
          <a:spLocks noChangeArrowheads="1"/>
        </xdr:cNvSpPr>
      </xdr:nvSpPr>
      <xdr:spPr bwMode="auto">
        <a:xfrm flipH="1">
          <a:off x="4063253" y="386810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0</xdr:rowOff>
    </xdr:to>
    <xdr:sp macro="" textlink="">
      <xdr:nvSpPr>
        <xdr:cNvPr id="88" name="Text Box 14"/>
        <xdr:cNvSpPr txBox="1">
          <a:spLocks noChangeArrowheads="1"/>
        </xdr:cNvSpPr>
      </xdr:nvSpPr>
      <xdr:spPr bwMode="auto">
        <a:xfrm flipH="1">
          <a:off x="4063253" y="386810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0</xdr:rowOff>
    </xdr:to>
    <xdr:sp macro="" textlink="">
      <xdr:nvSpPr>
        <xdr:cNvPr id="89" name="Text Box 16"/>
        <xdr:cNvSpPr txBox="1">
          <a:spLocks noChangeArrowheads="1"/>
        </xdr:cNvSpPr>
      </xdr:nvSpPr>
      <xdr:spPr bwMode="auto">
        <a:xfrm flipH="1">
          <a:off x="4063253" y="386810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0</xdr:rowOff>
    </xdr:to>
    <xdr:sp macro="" textlink="">
      <xdr:nvSpPr>
        <xdr:cNvPr id="90" name="Text Box 12"/>
        <xdr:cNvSpPr txBox="1">
          <a:spLocks noChangeArrowheads="1"/>
        </xdr:cNvSpPr>
      </xdr:nvSpPr>
      <xdr:spPr bwMode="auto">
        <a:xfrm flipH="1">
          <a:off x="4063253" y="386810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13044</xdr:rowOff>
    </xdr:to>
    <xdr:sp macro="" textlink="">
      <xdr:nvSpPr>
        <xdr:cNvPr id="91" name="Text Box 4"/>
        <xdr:cNvSpPr txBox="1">
          <a:spLocks noChangeArrowheads="1"/>
        </xdr:cNvSpPr>
      </xdr:nvSpPr>
      <xdr:spPr bwMode="auto">
        <a:xfrm flipH="1">
          <a:off x="4063253" y="3868102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92" name="Text Box 4"/>
        <xdr:cNvSpPr txBox="1">
          <a:spLocks noChangeArrowheads="1"/>
        </xdr:cNvSpPr>
      </xdr:nvSpPr>
      <xdr:spPr bwMode="auto">
        <a:xfrm flipH="1">
          <a:off x="4295775" y="242792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23100</xdr:rowOff>
    </xdr:to>
    <xdr:sp macro="" textlink="">
      <xdr:nvSpPr>
        <xdr:cNvPr id="93" name="Text Box 12"/>
        <xdr:cNvSpPr txBox="1">
          <a:spLocks noChangeArrowheads="1"/>
        </xdr:cNvSpPr>
      </xdr:nvSpPr>
      <xdr:spPr bwMode="auto">
        <a:xfrm flipH="1">
          <a:off x="4063253" y="242792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23313</xdr:rowOff>
    </xdr:to>
    <xdr:sp macro="" textlink="">
      <xdr:nvSpPr>
        <xdr:cNvPr id="94" name="Text Box 14"/>
        <xdr:cNvSpPr txBox="1">
          <a:spLocks noChangeArrowheads="1"/>
        </xdr:cNvSpPr>
      </xdr:nvSpPr>
      <xdr:spPr bwMode="auto">
        <a:xfrm flipH="1">
          <a:off x="4063253" y="242792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23312</xdr:rowOff>
    </xdr:to>
    <xdr:sp macro="" textlink="">
      <xdr:nvSpPr>
        <xdr:cNvPr id="95" name="Text Box 16"/>
        <xdr:cNvSpPr txBox="1">
          <a:spLocks noChangeArrowheads="1"/>
        </xdr:cNvSpPr>
      </xdr:nvSpPr>
      <xdr:spPr bwMode="auto">
        <a:xfrm flipH="1">
          <a:off x="4063253" y="242792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0</xdr:rowOff>
    </xdr:to>
    <xdr:sp macro="" textlink="">
      <xdr:nvSpPr>
        <xdr:cNvPr id="96" name="Text Box 12"/>
        <xdr:cNvSpPr txBox="1">
          <a:spLocks noChangeArrowheads="1"/>
        </xdr:cNvSpPr>
      </xdr:nvSpPr>
      <xdr:spPr bwMode="auto">
        <a:xfrm flipH="1">
          <a:off x="4063253" y="242792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26760</xdr:rowOff>
    </xdr:to>
    <xdr:sp macro="" textlink="">
      <xdr:nvSpPr>
        <xdr:cNvPr id="97" name="Text Box 4"/>
        <xdr:cNvSpPr txBox="1">
          <a:spLocks noChangeArrowheads="1"/>
        </xdr:cNvSpPr>
      </xdr:nvSpPr>
      <xdr:spPr bwMode="auto">
        <a:xfrm flipH="1">
          <a:off x="4063253" y="242792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98" name="Text Box 4"/>
        <xdr:cNvSpPr txBox="1">
          <a:spLocks noChangeArrowheads="1"/>
        </xdr:cNvSpPr>
      </xdr:nvSpPr>
      <xdr:spPr bwMode="auto">
        <a:xfrm flipH="1">
          <a:off x="4295775" y="242792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23100</xdr:rowOff>
    </xdr:to>
    <xdr:sp macro="" textlink="">
      <xdr:nvSpPr>
        <xdr:cNvPr id="99" name="Text Box 12"/>
        <xdr:cNvSpPr txBox="1">
          <a:spLocks noChangeArrowheads="1"/>
        </xdr:cNvSpPr>
      </xdr:nvSpPr>
      <xdr:spPr bwMode="auto">
        <a:xfrm flipH="1">
          <a:off x="4063253" y="242792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23313</xdr:rowOff>
    </xdr:to>
    <xdr:sp macro="" textlink="">
      <xdr:nvSpPr>
        <xdr:cNvPr id="100" name="Text Box 14"/>
        <xdr:cNvSpPr txBox="1">
          <a:spLocks noChangeArrowheads="1"/>
        </xdr:cNvSpPr>
      </xdr:nvSpPr>
      <xdr:spPr bwMode="auto">
        <a:xfrm flipH="1">
          <a:off x="4063253" y="242792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23312</xdr:rowOff>
    </xdr:to>
    <xdr:sp macro="" textlink="">
      <xdr:nvSpPr>
        <xdr:cNvPr id="101" name="Text Box 16"/>
        <xdr:cNvSpPr txBox="1">
          <a:spLocks noChangeArrowheads="1"/>
        </xdr:cNvSpPr>
      </xdr:nvSpPr>
      <xdr:spPr bwMode="auto">
        <a:xfrm flipH="1">
          <a:off x="4063253" y="242792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0</xdr:rowOff>
    </xdr:to>
    <xdr:sp macro="" textlink="">
      <xdr:nvSpPr>
        <xdr:cNvPr id="102" name="Text Box 12"/>
        <xdr:cNvSpPr txBox="1">
          <a:spLocks noChangeArrowheads="1"/>
        </xdr:cNvSpPr>
      </xdr:nvSpPr>
      <xdr:spPr bwMode="auto">
        <a:xfrm flipH="1">
          <a:off x="4063253" y="242792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26760</xdr:rowOff>
    </xdr:to>
    <xdr:sp macro="" textlink="">
      <xdr:nvSpPr>
        <xdr:cNvPr id="103" name="Text Box 4"/>
        <xdr:cNvSpPr txBox="1">
          <a:spLocks noChangeArrowheads="1"/>
        </xdr:cNvSpPr>
      </xdr:nvSpPr>
      <xdr:spPr bwMode="auto">
        <a:xfrm flipH="1">
          <a:off x="4063253" y="242792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27557</xdr:rowOff>
    </xdr:to>
    <xdr:sp macro="" textlink="">
      <xdr:nvSpPr>
        <xdr:cNvPr id="104" name="Text Box 4"/>
        <xdr:cNvSpPr txBox="1">
          <a:spLocks noChangeArrowheads="1"/>
        </xdr:cNvSpPr>
      </xdr:nvSpPr>
      <xdr:spPr bwMode="auto">
        <a:xfrm flipH="1">
          <a:off x="4295775" y="3868102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0</xdr:rowOff>
    </xdr:to>
    <xdr:sp macro="" textlink="">
      <xdr:nvSpPr>
        <xdr:cNvPr id="105" name="Text Box 12"/>
        <xdr:cNvSpPr txBox="1">
          <a:spLocks noChangeArrowheads="1"/>
        </xdr:cNvSpPr>
      </xdr:nvSpPr>
      <xdr:spPr bwMode="auto">
        <a:xfrm flipH="1">
          <a:off x="4295775" y="38681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0</xdr:rowOff>
    </xdr:to>
    <xdr:sp macro="" textlink="">
      <xdr:nvSpPr>
        <xdr:cNvPr id="106" name="Text Box 14"/>
        <xdr:cNvSpPr txBox="1">
          <a:spLocks noChangeArrowheads="1"/>
        </xdr:cNvSpPr>
      </xdr:nvSpPr>
      <xdr:spPr bwMode="auto">
        <a:xfrm flipH="1">
          <a:off x="4295775" y="38681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0</xdr:rowOff>
    </xdr:to>
    <xdr:sp macro="" textlink="">
      <xdr:nvSpPr>
        <xdr:cNvPr id="107" name="Text Box 16"/>
        <xdr:cNvSpPr txBox="1">
          <a:spLocks noChangeArrowheads="1"/>
        </xdr:cNvSpPr>
      </xdr:nvSpPr>
      <xdr:spPr bwMode="auto">
        <a:xfrm flipH="1">
          <a:off x="4295775" y="38681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0</xdr:rowOff>
    </xdr:to>
    <xdr:sp macro="" textlink="">
      <xdr:nvSpPr>
        <xdr:cNvPr id="108" name="Text Box 12"/>
        <xdr:cNvSpPr txBox="1">
          <a:spLocks noChangeArrowheads="1"/>
        </xdr:cNvSpPr>
      </xdr:nvSpPr>
      <xdr:spPr bwMode="auto">
        <a:xfrm flipH="1">
          <a:off x="4295775" y="38681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13044</xdr:rowOff>
    </xdr:to>
    <xdr:sp macro="" textlink="">
      <xdr:nvSpPr>
        <xdr:cNvPr id="109" name="Text Box 4"/>
        <xdr:cNvSpPr txBox="1">
          <a:spLocks noChangeArrowheads="1"/>
        </xdr:cNvSpPr>
      </xdr:nvSpPr>
      <xdr:spPr bwMode="auto">
        <a:xfrm flipH="1">
          <a:off x="4295775" y="3868102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9525</xdr:rowOff>
    </xdr:to>
    <xdr:sp macro="" textlink="">
      <xdr:nvSpPr>
        <xdr:cNvPr id="110" name="Text Box 4"/>
        <xdr:cNvSpPr txBox="1">
          <a:spLocks noChangeArrowheads="1"/>
        </xdr:cNvSpPr>
      </xdr:nvSpPr>
      <xdr:spPr bwMode="auto">
        <a:xfrm flipH="1">
          <a:off x="4295775" y="242792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23100</xdr:rowOff>
    </xdr:to>
    <xdr:sp macro="" textlink="">
      <xdr:nvSpPr>
        <xdr:cNvPr id="111" name="Text Box 12"/>
        <xdr:cNvSpPr txBox="1">
          <a:spLocks noChangeArrowheads="1"/>
        </xdr:cNvSpPr>
      </xdr:nvSpPr>
      <xdr:spPr bwMode="auto">
        <a:xfrm flipH="1">
          <a:off x="4295775" y="2427922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23313</xdr:rowOff>
    </xdr:to>
    <xdr:sp macro="" textlink="">
      <xdr:nvSpPr>
        <xdr:cNvPr id="112" name="Text Box 14"/>
        <xdr:cNvSpPr txBox="1">
          <a:spLocks noChangeArrowheads="1"/>
        </xdr:cNvSpPr>
      </xdr:nvSpPr>
      <xdr:spPr bwMode="auto">
        <a:xfrm flipH="1">
          <a:off x="4295775" y="2427922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23312</xdr:rowOff>
    </xdr:to>
    <xdr:sp macro="" textlink="">
      <xdr:nvSpPr>
        <xdr:cNvPr id="113" name="Text Box 16"/>
        <xdr:cNvSpPr txBox="1">
          <a:spLocks noChangeArrowheads="1"/>
        </xdr:cNvSpPr>
      </xdr:nvSpPr>
      <xdr:spPr bwMode="auto">
        <a:xfrm flipH="1">
          <a:off x="4295775" y="2427922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0</xdr:rowOff>
    </xdr:to>
    <xdr:sp macro="" textlink="">
      <xdr:nvSpPr>
        <xdr:cNvPr id="114" name="Text Box 12"/>
        <xdr:cNvSpPr txBox="1">
          <a:spLocks noChangeArrowheads="1"/>
        </xdr:cNvSpPr>
      </xdr:nvSpPr>
      <xdr:spPr bwMode="auto">
        <a:xfrm flipH="1">
          <a:off x="4295775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26760</xdr:rowOff>
    </xdr:to>
    <xdr:sp macro="" textlink="">
      <xdr:nvSpPr>
        <xdr:cNvPr id="115" name="Text Box 4"/>
        <xdr:cNvSpPr txBox="1">
          <a:spLocks noChangeArrowheads="1"/>
        </xdr:cNvSpPr>
      </xdr:nvSpPr>
      <xdr:spPr bwMode="auto">
        <a:xfrm flipH="1">
          <a:off x="4295775" y="2427922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9525</xdr:rowOff>
    </xdr:to>
    <xdr:sp macro="" textlink="">
      <xdr:nvSpPr>
        <xdr:cNvPr id="116" name="Text Box 4"/>
        <xdr:cNvSpPr txBox="1">
          <a:spLocks noChangeArrowheads="1"/>
        </xdr:cNvSpPr>
      </xdr:nvSpPr>
      <xdr:spPr bwMode="auto">
        <a:xfrm flipH="1">
          <a:off x="4295775" y="242792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23100</xdr:rowOff>
    </xdr:to>
    <xdr:sp macro="" textlink="">
      <xdr:nvSpPr>
        <xdr:cNvPr id="117" name="Text Box 12"/>
        <xdr:cNvSpPr txBox="1">
          <a:spLocks noChangeArrowheads="1"/>
        </xdr:cNvSpPr>
      </xdr:nvSpPr>
      <xdr:spPr bwMode="auto">
        <a:xfrm flipH="1">
          <a:off x="4295775" y="2427922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23313</xdr:rowOff>
    </xdr:to>
    <xdr:sp macro="" textlink="">
      <xdr:nvSpPr>
        <xdr:cNvPr id="118" name="Text Box 14"/>
        <xdr:cNvSpPr txBox="1">
          <a:spLocks noChangeArrowheads="1"/>
        </xdr:cNvSpPr>
      </xdr:nvSpPr>
      <xdr:spPr bwMode="auto">
        <a:xfrm flipH="1">
          <a:off x="4295775" y="2427922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23312</xdr:rowOff>
    </xdr:to>
    <xdr:sp macro="" textlink="">
      <xdr:nvSpPr>
        <xdr:cNvPr id="119" name="Text Box 16"/>
        <xdr:cNvSpPr txBox="1">
          <a:spLocks noChangeArrowheads="1"/>
        </xdr:cNvSpPr>
      </xdr:nvSpPr>
      <xdr:spPr bwMode="auto">
        <a:xfrm flipH="1">
          <a:off x="4295775" y="2427922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0</xdr:rowOff>
    </xdr:to>
    <xdr:sp macro="" textlink="">
      <xdr:nvSpPr>
        <xdr:cNvPr id="120" name="Text Box 12"/>
        <xdr:cNvSpPr txBox="1">
          <a:spLocks noChangeArrowheads="1"/>
        </xdr:cNvSpPr>
      </xdr:nvSpPr>
      <xdr:spPr bwMode="auto">
        <a:xfrm flipH="1">
          <a:off x="4295775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26760</xdr:rowOff>
    </xdr:to>
    <xdr:sp macro="" textlink="">
      <xdr:nvSpPr>
        <xdr:cNvPr id="121" name="Text Box 4"/>
        <xdr:cNvSpPr txBox="1">
          <a:spLocks noChangeArrowheads="1"/>
        </xdr:cNvSpPr>
      </xdr:nvSpPr>
      <xdr:spPr bwMode="auto">
        <a:xfrm flipH="1">
          <a:off x="4295775" y="2427922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27557</xdr:rowOff>
    </xdr:to>
    <xdr:sp macro="" textlink="">
      <xdr:nvSpPr>
        <xdr:cNvPr id="122" name="Text Box 4"/>
        <xdr:cNvSpPr txBox="1">
          <a:spLocks noChangeArrowheads="1"/>
        </xdr:cNvSpPr>
      </xdr:nvSpPr>
      <xdr:spPr bwMode="auto">
        <a:xfrm flipH="1">
          <a:off x="4063253" y="3868102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0</xdr:rowOff>
    </xdr:to>
    <xdr:sp macro="" textlink="">
      <xdr:nvSpPr>
        <xdr:cNvPr id="123" name="Text Box 12"/>
        <xdr:cNvSpPr txBox="1">
          <a:spLocks noChangeArrowheads="1"/>
        </xdr:cNvSpPr>
      </xdr:nvSpPr>
      <xdr:spPr bwMode="auto">
        <a:xfrm flipH="1">
          <a:off x="4063253" y="386810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0</xdr:rowOff>
    </xdr:to>
    <xdr:sp macro="" textlink="">
      <xdr:nvSpPr>
        <xdr:cNvPr id="124" name="Text Box 14"/>
        <xdr:cNvSpPr txBox="1">
          <a:spLocks noChangeArrowheads="1"/>
        </xdr:cNvSpPr>
      </xdr:nvSpPr>
      <xdr:spPr bwMode="auto">
        <a:xfrm flipH="1">
          <a:off x="4063253" y="386810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0</xdr:rowOff>
    </xdr:to>
    <xdr:sp macro="" textlink="">
      <xdr:nvSpPr>
        <xdr:cNvPr id="125" name="Text Box 16"/>
        <xdr:cNvSpPr txBox="1">
          <a:spLocks noChangeArrowheads="1"/>
        </xdr:cNvSpPr>
      </xdr:nvSpPr>
      <xdr:spPr bwMode="auto">
        <a:xfrm flipH="1">
          <a:off x="4063253" y="386810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0</xdr:rowOff>
    </xdr:to>
    <xdr:sp macro="" textlink="">
      <xdr:nvSpPr>
        <xdr:cNvPr id="126" name="Text Box 12"/>
        <xdr:cNvSpPr txBox="1">
          <a:spLocks noChangeArrowheads="1"/>
        </xdr:cNvSpPr>
      </xdr:nvSpPr>
      <xdr:spPr bwMode="auto">
        <a:xfrm flipH="1">
          <a:off x="4063253" y="386810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2621168</xdr:colOff>
      <xdr:row>234</xdr:row>
      <xdr:rowOff>13044</xdr:rowOff>
    </xdr:to>
    <xdr:sp macro="" textlink="">
      <xdr:nvSpPr>
        <xdr:cNvPr id="127" name="Text Box 4"/>
        <xdr:cNvSpPr txBox="1">
          <a:spLocks noChangeArrowheads="1"/>
        </xdr:cNvSpPr>
      </xdr:nvSpPr>
      <xdr:spPr bwMode="auto">
        <a:xfrm flipH="1">
          <a:off x="4063253" y="3868102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128" name="Text Box 4"/>
        <xdr:cNvSpPr txBox="1">
          <a:spLocks noChangeArrowheads="1"/>
        </xdr:cNvSpPr>
      </xdr:nvSpPr>
      <xdr:spPr bwMode="auto">
        <a:xfrm flipH="1">
          <a:off x="4295775" y="242792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23100</xdr:rowOff>
    </xdr:to>
    <xdr:sp macro="" textlink="">
      <xdr:nvSpPr>
        <xdr:cNvPr id="129" name="Text Box 12"/>
        <xdr:cNvSpPr txBox="1">
          <a:spLocks noChangeArrowheads="1"/>
        </xdr:cNvSpPr>
      </xdr:nvSpPr>
      <xdr:spPr bwMode="auto">
        <a:xfrm flipH="1">
          <a:off x="4063253" y="242792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23313</xdr:rowOff>
    </xdr:to>
    <xdr:sp macro="" textlink="">
      <xdr:nvSpPr>
        <xdr:cNvPr id="130" name="Text Box 14"/>
        <xdr:cNvSpPr txBox="1">
          <a:spLocks noChangeArrowheads="1"/>
        </xdr:cNvSpPr>
      </xdr:nvSpPr>
      <xdr:spPr bwMode="auto">
        <a:xfrm flipH="1">
          <a:off x="4063253" y="242792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23312</xdr:rowOff>
    </xdr:to>
    <xdr:sp macro="" textlink="">
      <xdr:nvSpPr>
        <xdr:cNvPr id="131" name="Text Box 16"/>
        <xdr:cNvSpPr txBox="1">
          <a:spLocks noChangeArrowheads="1"/>
        </xdr:cNvSpPr>
      </xdr:nvSpPr>
      <xdr:spPr bwMode="auto">
        <a:xfrm flipH="1">
          <a:off x="4063253" y="242792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0</xdr:rowOff>
    </xdr:to>
    <xdr:sp macro="" textlink="">
      <xdr:nvSpPr>
        <xdr:cNvPr id="132" name="Text Box 12"/>
        <xdr:cNvSpPr txBox="1">
          <a:spLocks noChangeArrowheads="1"/>
        </xdr:cNvSpPr>
      </xdr:nvSpPr>
      <xdr:spPr bwMode="auto">
        <a:xfrm flipH="1">
          <a:off x="4063253" y="242792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26760</xdr:rowOff>
    </xdr:to>
    <xdr:sp macro="" textlink="">
      <xdr:nvSpPr>
        <xdr:cNvPr id="133" name="Text Box 4"/>
        <xdr:cNvSpPr txBox="1">
          <a:spLocks noChangeArrowheads="1"/>
        </xdr:cNvSpPr>
      </xdr:nvSpPr>
      <xdr:spPr bwMode="auto">
        <a:xfrm flipH="1">
          <a:off x="4063253" y="242792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134" name="Text Box 4"/>
        <xdr:cNvSpPr txBox="1">
          <a:spLocks noChangeArrowheads="1"/>
        </xdr:cNvSpPr>
      </xdr:nvSpPr>
      <xdr:spPr bwMode="auto">
        <a:xfrm flipH="1">
          <a:off x="4295775" y="242792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23100</xdr:rowOff>
    </xdr:to>
    <xdr:sp macro="" textlink="">
      <xdr:nvSpPr>
        <xdr:cNvPr id="135" name="Text Box 12"/>
        <xdr:cNvSpPr txBox="1">
          <a:spLocks noChangeArrowheads="1"/>
        </xdr:cNvSpPr>
      </xdr:nvSpPr>
      <xdr:spPr bwMode="auto">
        <a:xfrm flipH="1">
          <a:off x="4063253" y="242792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23313</xdr:rowOff>
    </xdr:to>
    <xdr:sp macro="" textlink="">
      <xdr:nvSpPr>
        <xdr:cNvPr id="136" name="Text Box 14"/>
        <xdr:cNvSpPr txBox="1">
          <a:spLocks noChangeArrowheads="1"/>
        </xdr:cNvSpPr>
      </xdr:nvSpPr>
      <xdr:spPr bwMode="auto">
        <a:xfrm flipH="1">
          <a:off x="4063253" y="242792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23312</xdr:rowOff>
    </xdr:to>
    <xdr:sp macro="" textlink="">
      <xdr:nvSpPr>
        <xdr:cNvPr id="137" name="Text Box 16"/>
        <xdr:cNvSpPr txBox="1">
          <a:spLocks noChangeArrowheads="1"/>
        </xdr:cNvSpPr>
      </xdr:nvSpPr>
      <xdr:spPr bwMode="auto">
        <a:xfrm flipH="1">
          <a:off x="4063253" y="242792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0</xdr:rowOff>
    </xdr:to>
    <xdr:sp macro="" textlink="">
      <xdr:nvSpPr>
        <xdr:cNvPr id="138" name="Text Box 12"/>
        <xdr:cNvSpPr txBox="1">
          <a:spLocks noChangeArrowheads="1"/>
        </xdr:cNvSpPr>
      </xdr:nvSpPr>
      <xdr:spPr bwMode="auto">
        <a:xfrm flipH="1">
          <a:off x="4063253" y="242792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26760</xdr:rowOff>
    </xdr:to>
    <xdr:sp macro="" textlink="">
      <xdr:nvSpPr>
        <xdr:cNvPr id="139" name="Text Box 4"/>
        <xdr:cNvSpPr txBox="1">
          <a:spLocks noChangeArrowheads="1"/>
        </xdr:cNvSpPr>
      </xdr:nvSpPr>
      <xdr:spPr bwMode="auto">
        <a:xfrm flipH="1">
          <a:off x="4063253" y="242792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27557</xdr:rowOff>
    </xdr:to>
    <xdr:sp macro="" textlink="">
      <xdr:nvSpPr>
        <xdr:cNvPr id="140" name="Text Box 4"/>
        <xdr:cNvSpPr txBox="1">
          <a:spLocks noChangeArrowheads="1"/>
        </xdr:cNvSpPr>
      </xdr:nvSpPr>
      <xdr:spPr bwMode="auto">
        <a:xfrm flipH="1">
          <a:off x="4295775" y="3868102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0</xdr:rowOff>
    </xdr:to>
    <xdr:sp macro="" textlink="">
      <xdr:nvSpPr>
        <xdr:cNvPr id="141" name="Text Box 12"/>
        <xdr:cNvSpPr txBox="1">
          <a:spLocks noChangeArrowheads="1"/>
        </xdr:cNvSpPr>
      </xdr:nvSpPr>
      <xdr:spPr bwMode="auto">
        <a:xfrm flipH="1">
          <a:off x="4295775" y="38681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0</xdr:rowOff>
    </xdr:to>
    <xdr:sp macro="" textlink="">
      <xdr:nvSpPr>
        <xdr:cNvPr id="142" name="Text Box 14"/>
        <xdr:cNvSpPr txBox="1">
          <a:spLocks noChangeArrowheads="1"/>
        </xdr:cNvSpPr>
      </xdr:nvSpPr>
      <xdr:spPr bwMode="auto">
        <a:xfrm flipH="1">
          <a:off x="4295775" y="38681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0</xdr:rowOff>
    </xdr:to>
    <xdr:sp macro="" textlink="">
      <xdr:nvSpPr>
        <xdr:cNvPr id="143" name="Text Box 16"/>
        <xdr:cNvSpPr txBox="1">
          <a:spLocks noChangeArrowheads="1"/>
        </xdr:cNvSpPr>
      </xdr:nvSpPr>
      <xdr:spPr bwMode="auto">
        <a:xfrm flipH="1">
          <a:off x="4295775" y="38681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0</xdr:rowOff>
    </xdr:to>
    <xdr:sp macro="" textlink="">
      <xdr:nvSpPr>
        <xdr:cNvPr id="144" name="Text Box 12"/>
        <xdr:cNvSpPr txBox="1">
          <a:spLocks noChangeArrowheads="1"/>
        </xdr:cNvSpPr>
      </xdr:nvSpPr>
      <xdr:spPr bwMode="auto">
        <a:xfrm flipH="1">
          <a:off x="4295775" y="38681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13044</xdr:rowOff>
    </xdr:to>
    <xdr:sp macro="" textlink="">
      <xdr:nvSpPr>
        <xdr:cNvPr id="145" name="Text Box 4"/>
        <xdr:cNvSpPr txBox="1">
          <a:spLocks noChangeArrowheads="1"/>
        </xdr:cNvSpPr>
      </xdr:nvSpPr>
      <xdr:spPr bwMode="auto">
        <a:xfrm flipH="1">
          <a:off x="4295775" y="3868102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9525</xdr:rowOff>
    </xdr:to>
    <xdr:sp macro="" textlink="">
      <xdr:nvSpPr>
        <xdr:cNvPr id="146" name="Text Box 4"/>
        <xdr:cNvSpPr txBox="1">
          <a:spLocks noChangeArrowheads="1"/>
        </xdr:cNvSpPr>
      </xdr:nvSpPr>
      <xdr:spPr bwMode="auto">
        <a:xfrm flipH="1">
          <a:off x="4295775" y="242792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23100</xdr:rowOff>
    </xdr:to>
    <xdr:sp macro="" textlink="">
      <xdr:nvSpPr>
        <xdr:cNvPr id="147" name="Text Box 12"/>
        <xdr:cNvSpPr txBox="1">
          <a:spLocks noChangeArrowheads="1"/>
        </xdr:cNvSpPr>
      </xdr:nvSpPr>
      <xdr:spPr bwMode="auto">
        <a:xfrm flipH="1">
          <a:off x="4295775" y="2427922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23313</xdr:rowOff>
    </xdr:to>
    <xdr:sp macro="" textlink="">
      <xdr:nvSpPr>
        <xdr:cNvPr id="148" name="Text Box 14"/>
        <xdr:cNvSpPr txBox="1">
          <a:spLocks noChangeArrowheads="1"/>
        </xdr:cNvSpPr>
      </xdr:nvSpPr>
      <xdr:spPr bwMode="auto">
        <a:xfrm flipH="1">
          <a:off x="4295775" y="2427922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23312</xdr:rowOff>
    </xdr:to>
    <xdr:sp macro="" textlink="">
      <xdr:nvSpPr>
        <xdr:cNvPr id="149" name="Text Box 16"/>
        <xdr:cNvSpPr txBox="1">
          <a:spLocks noChangeArrowheads="1"/>
        </xdr:cNvSpPr>
      </xdr:nvSpPr>
      <xdr:spPr bwMode="auto">
        <a:xfrm flipH="1">
          <a:off x="4295775" y="2427922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0</xdr:rowOff>
    </xdr:to>
    <xdr:sp macro="" textlink="">
      <xdr:nvSpPr>
        <xdr:cNvPr id="150" name="Text Box 12"/>
        <xdr:cNvSpPr txBox="1">
          <a:spLocks noChangeArrowheads="1"/>
        </xdr:cNvSpPr>
      </xdr:nvSpPr>
      <xdr:spPr bwMode="auto">
        <a:xfrm flipH="1">
          <a:off x="4295775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26760</xdr:rowOff>
    </xdr:to>
    <xdr:sp macro="" textlink="">
      <xdr:nvSpPr>
        <xdr:cNvPr id="151" name="Text Box 4"/>
        <xdr:cNvSpPr txBox="1">
          <a:spLocks noChangeArrowheads="1"/>
        </xdr:cNvSpPr>
      </xdr:nvSpPr>
      <xdr:spPr bwMode="auto">
        <a:xfrm flipH="1">
          <a:off x="4295775" y="2427922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9525</xdr:rowOff>
    </xdr:to>
    <xdr:sp macro="" textlink="">
      <xdr:nvSpPr>
        <xdr:cNvPr id="152" name="Text Box 4"/>
        <xdr:cNvSpPr txBox="1">
          <a:spLocks noChangeArrowheads="1"/>
        </xdr:cNvSpPr>
      </xdr:nvSpPr>
      <xdr:spPr bwMode="auto">
        <a:xfrm flipH="1">
          <a:off x="4295775" y="242792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23100</xdr:rowOff>
    </xdr:to>
    <xdr:sp macro="" textlink="">
      <xdr:nvSpPr>
        <xdr:cNvPr id="153" name="Text Box 12"/>
        <xdr:cNvSpPr txBox="1">
          <a:spLocks noChangeArrowheads="1"/>
        </xdr:cNvSpPr>
      </xdr:nvSpPr>
      <xdr:spPr bwMode="auto">
        <a:xfrm flipH="1">
          <a:off x="4295775" y="2427922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23313</xdr:rowOff>
    </xdr:to>
    <xdr:sp macro="" textlink="">
      <xdr:nvSpPr>
        <xdr:cNvPr id="154" name="Text Box 14"/>
        <xdr:cNvSpPr txBox="1">
          <a:spLocks noChangeArrowheads="1"/>
        </xdr:cNvSpPr>
      </xdr:nvSpPr>
      <xdr:spPr bwMode="auto">
        <a:xfrm flipH="1">
          <a:off x="4295775" y="2427922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23312</xdr:rowOff>
    </xdr:to>
    <xdr:sp macro="" textlink="">
      <xdr:nvSpPr>
        <xdr:cNvPr id="155" name="Text Box 16"/>
        <xdr:cNvSpPr txBox="1">
          <a:spLocks noChangeArrowheads="1"/>
        </xdr:cNvSpPr>
      </xdr:nvSpPr>
      <xdr:spPr bwMode="auto">
        <a:xfrm flipH="1">
          <a:off x="4295775" y="2427922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0</xdr:rowOff>
    </xdr:to>
    <xdr:sp macro="" textlink="">
      <xdr:nvSpPr>
        <xdr:cNvPr id="156" name="Text Box 12"/>
        <xdr:cNvSpPr txBox="1">
          <a:spLocks noChangeArrowheads="1"/>
        </xdr:cNvSpPr>
      </xdr:nvSpPr>
      <xdr:spPr bwMode="auto">
        <a:xfrm flipH="1">
          <a:off x="4295775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26760</xdr:rowOff>
    </xdr:to>
    <xdr:sp macro="" textlink="">
      <xdr:nvSpPr>
        <xdr:cNvPr id="157" name="Text Box 4"/>
        <xdr:cNvSpPr txBox="1">
          <a:spLocks noChangeArrowheads="1"/>
        </xdr:cNvSpPr>
      </xdr:nvSpPr>
      <xdr:spPr bwMode="auto">
        <a:xfrm flipH="1">
          <a:off x="4295775" y="2427922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158" name="Text Box 4"/>
        <xdr:cNvSpPr txBox="1">
          <a:spLocks noChangeArrowheads="1"/>
        </xdr:cNvSpPr>
      </xdr:nvSpPr>
      <xdr:spPr bwMode="auto">
        <a:xfrm flipH="1">
          <a:off x="4295775" y="242792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23100</xdr:rowOff>
    </xdr:to>
    <xdr:sp macro="" textlink="">
      <xdr:nvSpPr>
        <xdr:cNvPr id="159" name="Text Box 12"/>
        <xdr:cNvSpPr txBox="1">
          <a:spLocks noChangeArrowheads="1"/>
        </xdr:cNvSpPr>
      </xdr:nvSpPr>
      <xdr:spPr bwMode="auto">
        <a:xfrm flipH="1">
          <a:off x="4063253" y="242792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23313</xdr:rowOff>
    </xdr:to>
    <xdr:sp macro="" textlink="">
      <xdr:nvSpPr>
        <xdr:cNvPr id="160" name="Text Box 14"/>
        <xdr:cNvSpPr txBox="1">
          <a:spLocks noChangeArrowheads="1"/>
        </xdr:cNvSpPr>
      </xdr:nvSpPr>
      <xdr:spPr bwMode="auto">
        <a:xfrm flipH="1">
          <a:off x="4063253" y="242792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23312</xdr:rowOff>
    </xdr:to>
    <xdr:sp macro="" textlink="">
      <xdr:nvSpPr>
        <xdr:cNvPr id="161" name="Text Box 16"/>
        <xdr:cNvSpPr txBox="1">
          <a:spLocks noChangeArrowheads="1"/>
        </xdr:cNvSpPr>
      </xdr:nvSpPr>
      <xdr:spPr bwMode="auto">
        <a:xfrm flipH="1">
          <a:off x="4063253" y="242792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0</xdr:rowOff>
    </xdr:to>
    <xdr:sp macro="" textlink="">
      <xdr:nvSpPr>
        <xdr:cNvPr id="162" name="Text Box 12"/>
        <xdr:cNvSpPr txBox="1">
          <a:spLocks noChangeArrowheads="1"/>
        </xdr:cNvSpPr>
      </xdr:nvSpPr>
      <xdr:spPr bwMode="auto">
        <a:xfrm flipH="1">
          <a:off x="4063253" y="242792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26760</xdr:rowOff>
    </xdr:to>
    <xdr:sp macro="" textlink="">
      <xdr:nvSpPr>
        <xdr:cNvPr id="163" name="Text Box 4"/>
        <xdr:cNvSpPr txBox="1">
          <a:spLocks noChangeArrowheads="1"/>
        </xdr:cNvSpPr>
      </xdr:nvSpPr>
      <xdr:spPr bwMode="auto">
        <a:xfrm flipH="1">
          <a:off x="4063253" y="242792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164" name="Text Box 4"/>
        <xdr:cNvSpPr txBox="1">
          <a:spLocks noChangeArrowheads="1"/>
        </xdr:cNvSpPr>
      </xdr:nvSpPr>
      <xdr:spPr bwMode="auto">
        <a:xfrm flipH="1">
          <a:off x="4295775" y="242792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23100</xdr:rowOff>
    </xdr:to>
    <xdr:sp macro="" textlink="">
      <xdr:nvSpPr>
        <xdr:cNvPr id="165" name="Text Box 12"/>
        <xdr:cNvSpPr txBox="1">
          <a:spLocks noChangeArrowheads="1"/>
        </xdr:cNvSpPr>
      </xdr:nvSpPr>
      <xdr:spPr bwMode="auto">
        <a:xfrm flipH="1">
          <a:off x="4063253" y="2427922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23313</xdr:rowOff>
    </xdr:to>
    <xdr:sp macro="" textlink="">
      <xdr:nvSpPr>
        <xdr:cNvPr id="166" name="Text Box 14"/>
        <xdr:cNvSpPr txBox="1">
          <a:spLocks noChangeArrowheads="1"/>
        </xdr:cNvSpPr>
      </xdr:nvSpPr>
      <xdr:spPr bwMode="auto">
        <a:xfrm flipH="1">
          <a:off x="4063253" y="2427922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23312</xdr:rowOff>
    </xdr:to>
    <xdr:sp macro="" textlink="">
      <xdr:nvSpPr>
        <xdr:cNvPr id="167" name="Text Box 16"/>
        <xdr:cNvSpPr txBox="1">
          <a:spLocks noChangeArrowheads="1"/>
        </xdr:cNvSpPr>
      </xdr:nvSpPr>
      <xdr:spPr bwMode="auto">
        <a:xfrm flipH="1">
          <a:off x="4063253" y="2427922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0</xdr:rowOff>
    </xdr:to>
    <xdr:sp macro="" textlink="">
      <xdr:nvSpPr>
        <xdr:cNvPr id="168" name="Text Box 12"/>
        <xdr:cNvSpPr txBox="1">
          <a:spLocks noChangeArrowheads="1"/>
        </xdr:cNvSpPr>
      </xdr:nvSpPr>
      <xdr:spPr bwMode="auto">
        <a:xfrm flipH="1">
          <a:off x="4063253" y="2427922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2621168</xdr:colOff>
      <xdr:row>146</xdr:row>
      <xdr:rowOff>26760</xdr:rowOff>
    </xdr:to>
    <xdr:sp macro="" textlink="">
      <xdr:nvSpPr>
        <xdr:cNvPr id="169" name="Text Box 4"/>
        <xdr:cNvSpPr txBox="1">
          <a:spLocks noChangeArrowheads="1"/>
        </xdr:cNvSpPr>
      </xdr:nvSpPr>
      <xdr:spPr bwMode="auto">
        <a:xfrm flipH="1">
          <a:off x="4063253" y="2427922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39283</xdr:rowOff>
    </xdr:to>
    <xdr:sp macro="" textlink="">
      <xdr:nvSpPr>
        <xdr:cNvPr id="170" name="Text Box 4"/>
        <xdr:cNvSpPr txBox="1">
          <a:spLocks noChangeArrowheads="1"/>
        </xdr:cNvSpPr>
      </xdr:nvSpPr>
      <xdr:spPr bwMode="auto">
        <a:xfrm flipH="1">
          <a:off x="4063253" y="3868102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32725</xdr:rowOff>
    </xdr:to>
    <xdr:sp macro="" textlink="">
      <xdr:nvSpPr>
        <xdr:cNvPr id="171" name="Text Box 12"/>
        <xdr:cNvSpPr txBox="1">
          <a:spLocks noChangeArrowheads="1"/>
        </xdr:cNvSpPr>
      </xdr:nvSpPr>
      <xdr:spPr bwMode="auto">
        <a:xfrm flipH="1">
          <a:off x="4063253" y="3868102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34743</xdr:rowOff>
    </xdr:to>
    <xdr:sp macro="" textlink="">
      <xdr:nvSpPr>
        <xdr:cNvPr id="172" name="Text Box 14"/>
        <xdr:cNvSpPr txBox="1">
          <a:spLocks noChangeArrowheads="1"/>
        </xdr:cNvSpPr>
      </xdr:nvSpPr>
      <xdr:spPr bwMode="auto">
        <a:xfrm flipH="1">
          <a:off x="4063253" y="3868102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34742</xdr:rowOff>
    </xdr:to>
    <xdr:sp macro="" textlink="">
      <xdr:nvSpPr>
        <xdr:cNvPr id="173" name="Text Box 16"/>
        <xdr:cNvSpPr txBox="1">
          <a:spLocks noChangeArrowheads="1"/>
        </xdr:cNvSpPr>
      </xdr:nvSpPr>
      <xdr:spPr bwMode="auto">
        <a:xfrm flipH="1">
          <a:off x="4063253" y="3868102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30162</xdr:rowOff>
    </xdr:to>
    <xdr:sp macro="" textlink="">
      <xdr:nvSpPr>
        <xdr:cNvPr id="174" name="Text Box 12"/>
        <xdr:cNvSpPr txBox="1">
          <a:spLocks noChangeArrowheads="1"/>
        </xdr:cNvSpPr>
      </xdr:nvSpPr>
      <xdr:spPr bwMode="auto">
        <a:xfrm flipH="1">
          <a:off x="4063253" y="3868102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20664</xdr:rowOff>
    </xdr:to>
    <xdr:sp macro="" textlink="">
      <xdr:nvSpPr>
        <xdr:cNvPr id="175" name="Text Box 4"/>
        <xdr:cNvSpPr txBox="1">
          <a:spLocks noChangeArrowheads="1"/>
        </xdr:cNvSpPr>
      </xdr:nvSpPr>
      <xdr:spPr bwMode="auto">
        <a:xfrm flipH="1">
          <a:off x="4063253" y="3868102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80456</xdr:rowOff>
    </xdr:to>
    <xdr:sp macro="" textlink="">
      <xdr:nvSpPr>
        <xdr:cNvPr id="176" name="Text Box 4"/>
        <xdr:cNvSpPr txBox="1">
          <a:spLocks noChangeArrowheads="1"/>
        </xdr:cNvSpPr>
      </xdr:nvSpPr>
      <xdr:spPr bwMode="auto">
        <a:xfrm flipH="1">
          <a:off x="4063253" y="242792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24544</xdr:rowOff>
    </xdr:to>
    <xdr:sp macro="" textlink="">
      <xdr:nvSpPr>
        <xdr:cNvPr id="177" name="Text Box 12"/>
        <xdr:cNvSpPr txBox="1">
          <a:spLocks noChangeArrowheads="1"/>
        </xdr:cNvSpPr>
      </xdr:nvSpPr>
      <xdr:spPr bwMode="auto">
        <a:xfrm flipH="1">
          <a:off x="4063253" y="242792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23162</xdr:rowOff>
    </xdr:to>
    <xdr:sp macro="" textlink="">
      <xdr:nvSpPr>
        <xdr:cNvPr id="178" name="Text Box 14"/>
        <xdr:cNvSpPr txBox="1">
          <a:spLocks noChangeArrowheads="1"/>
        </xdr:cNvSpPr>
      </xdr:nvSpPr>
      <xdr:spPr bwMode="auto">
        <a:xfrm flipH="1">
          <a:off x="4063253" y="242792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23161</xdr:rowOff>
    </xdr:to>
    <xdr:sp macro="" textlink="">
      <xdr:nvSpPr>
        <xdr:cNvPr id="179" name="Text Box 16"/>
        <xdr:cNvSpPr txBox="1">
          <a:spLocks noChangeArrowheads="1"/>
        </xdr:cNvSpPr>
      </xdr:nvSpPr>
      <xdr:spPr bwMode="auto">
        <a:xfrm flipH="1">
          <a:off x="4063253" y="242792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80989</xdr:rowOff>
    </xdr:to>
    <xdr:sp macro="" textlink="">
      <xdr:nvSpPr>
        <xdr:cNvPr id="180" name="Text Box 12"/>
        <xdr:cNvSpPr txBox="1">
          <a:spLocks noChangeArrowheads="1"/>
        </xdr:cNvSpPr>
      </xdr:nvSpPr>
      <xdr:spPr bwMode="auto">
        <a:xfrm flipH="1">
          <a:off x="4063253" y="242792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30996</xdr:rowOff>
    </xdr:to>
    <xdr:sp macro="" textlink="">
      <xdr:nvSpPr>
        <xdr:cNvPr id="181" name="Text Box 4"/>
        <xdr:cNvSpPr txBox="1">
          <a:spLocks noChangeArrowheads="1"/>
        </xdr:cNvSpPr>
      </xdr:nvSpPr>
      <xdr:spPr bwMode="auto">
        <a:xfrm flipH="1">
          <a:off x="4063253" y="242792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80456</xdr:rowOff>
    </xdr:to>
    <xdr:sp macro="" textlink="">
      <xdr:nvSpPr>
        <xdr:cNvPr id="182" name="Text Box 4"/>
        <xdr:cNvSpPr txBox="1">
          <a:spLocks noChangeArrowheads="1"/>
        </xdr:cNvSpPr>
      </xdr:nvSpPr>
      <xdr:spPr bwMode="auto">
        <a:xfrm flipH="1">
          <a:off x="4063253" y="242792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24544</xdr:rowOff>
    </xdr:to>
    <xdr:sp macro="" textlink="">
      <xdr:nvSpPr>
        <xdr:cNvPr id="183" name="Text Box 12"/>
        <xdr:cNvSpPr txBox="1">
          <a:spLocks noChangeArrowheads="1"/>
        </xdr:cNvSpPr>
      </xdr:nvSpPr>
      <xdr:spPr bwMode="auto">
        <a:xfrm flipH="1">
          <a:off x="4063253" y="242792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23162</xdr:rowOff>
    </xdr:to>
    <xdr:sp macro="" textlink="">
      <xdr:nvSpPr>
        <xdr:cNvPr id="184" name="Text Box 14"/>
        <xdr:cNvSpPr txBox="1">
          <a:spLocks noChangeArrowheads="1"/>
        </xdr:cNvSpPr>
      </xdr:nvSpPr>
      <xdr:spPr bwMode="auto">
        <a:xfrm flipH="1">
          <a:off x="4063253" y="242792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23161</xdr:rowOff>
    </xdr:to>
    <xdr:sp macro="" textlink="">
      <xdr:nvSpPr>
        <xdr:cNvPr id="185" name="Text Box 16"/>
        <xdr:cNvSpPr txBox="1">
          <a:spLocks noChangeArrowheads="1"/>
        </xdr:cNvSpPr>
      </xdr:nvSpPr>
      <xdr:spPr bwMode="auto">
        <a:xfrm flipH="1">
          <a:off x="4063253" y="242792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80989</xdr:rowOff>
    </xdr:to>
    <xdr:sp macro="" textlink="">
      <xdr:nvSpPr>
        <xdr:cNvPr id="186" name="Text Box 12"/>
        <xdr:cNvSpPr txBox="1">
          <a:spLocks noChangeArrowheads="1"/>
        </xdr:cNvSpPr>
      </xdr:nvSpPr>
      <xdr:spPr bwMode="auto">
        <a:xfrm flipH="1">
          <a:off x="4063253" y="242792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30996</xdr:rowOff>
    </xdr:to>
    <xdr:sp macro="" textlink="">
      <xdr:nvSpPr>
        <xdr:cNvPr id="187" name="Text Box 4"/>
        <xdr:cNvSpPr txBox="1">
          <a:spLocks noChangeArrowheads="1"/>
        </xdr:cNvSpPr>
      </xdr:nvSpPr>
      <xdr:spPr bwMode="auto">
        <a:xfrm flipH="1">
          <a:off x="4063253" y="242792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39283</xdr:rowOff>
    </xdr:to>
    <xdr:sp macro="" textlink="">
      <xdr:nvSpPr>
        <xdr:cNvPr id="188" name="Text Box 4"/>
        <xdr:cNvSpPr txBox="1">
          <a:spLocks noChangeArrowheads="1"/>
        </xdr:cNvSpPr>
      </xdr:nvSpPr>
      <xdr:spPr bwMode="auto">
        <a:xfrm flipH="1">
          <a:off x="4295775" y="3868102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32725</xdr:rowOff>
    </xdr:to>
    <xdr:sp macro="" textlink="">
      <xdr:nvSpPr>
        <xdr:cNvPr id="189" name="Text Box 12"/>
        <xdr:cNvSpPr txBox="1">
          <a:spLocks noChangeArrowheads="1"/>
        </xdr:cNvSpPr>
      </xdr:nvSpPr>
      <xdr:spPr bwMode="auto">
        <a:xfrm flipH="1">
          <a:off x="4295775" y="3868102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34743</xdr:rowOff>
    </xdr:to>
    <xdr:sp macro="" textlink="">
      <xdr:nvSpPr>
        <xdr:cNvPr id="190" name="Text Box 14"/>
        <xdr:cNvSpPr txBox="1">
          <a:spLocks noChangeArrowheads="1"/>
        </xdr:cNvSpPr>
      </xdr:nvSpPr>
      <xdr:spPr bwMode="auto">
        <a:xfrm flipH="1">
          <a:off x="4295775" y="3868102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34742</xdr:rowOff>
    </xdr:to>
    <xdr:sp macro="" textlink="">
      <xdr:nvSpPr>
        <xdr:cNvPr id="191" name="Text Box 16"/>
        <xdr:cNvSpPr txBox="1">
          <a:spLocks noChangeArrowheads="1"/>
        </xdr:cNvSpPr>
      </xdr:nvSpPr>
      <xdr:spPr bwMode="auto">
        <a:xfrm flipH="1">
          <a:off x="4295775" y="3868102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30162</xdr:rowOff>
    </xdr:to>
    <xdr:sp macro="" textlink="">
      <xdr:nvSpPr>
        <xdr:cNvPr id="192" name="Text Box 12"/>
        <xdr:cNvSpPr txBox="1">
          <a:spLocks noChangeArrowheads="1"/>
        </xdr:cNvSpPr>
      </xdr:nvSpPr>
      <xdr:spPr bwMode="auto">
        <a:xfrm flipH="1">
          <a:off x="4295775" y="3868102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20664</xdr:rowOff>
    </xdr:to>
    <xdr:sp macro="" textlink="">
      <xdr:nvSpPr>
        <xdr:cNvPr id="193" name="Text Box 4"/>
        <xdr:cNvSpPr txBox="1">
          <a:spLocks noChangeArrowheads="1"/>
        </xdr:cNvSpPr>
      </xdr:nvSpPr>
      <xdr:spPr bwMode="auto">
        <a:xfrm flipH="1">
          <a:off x="4295775" y="3868102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80456</xdr:rowOff>
    </xdr:to>
    <xdr:sp macro="" textlink="">
      <xdr:nvSpPr>
        <xdr:cNvPr id="194" name="Text Box 4"/>
        <xdr:cNvSpPr txBox="1">
          <a:spLocks noChangeArrowheads="1"/>
        </xdr:cNvSpPr>
      </xdr:nvSpPr>
      <xdr:spPr bwMode="auto">
        <a:xfrm flipH="1">
          <a:off x="4295775" y="242792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24544</xdr:rowOff>
    </xdr:to>
    <xdr:sp macro="" textlink="">
      <xdr:nvSpPr>
        <xdr:cNvPr id="195" name="Text Box 12"/>
        <xdr:cNvSpPr txBox="1">
          <a:spLocks noChangeArrowheads="1"/>
        </xdr:cNvSpPr>
      </xdr:nvSpPr>
      <xdr:spPr bwMode="auto">
        <a:xfrm flipH="1">
          <a:off x="4295775" y="242792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23162</xdr:rowOff>
    </xdr:to>
    <xdr:sp macro="" textlink="">
      <xdr:nvSpPr>
        <xdr:cNvPr id="196" name="Text Box 14"/>
        <xdr:cNvSpPr txBox="1">
          <a:spLocks noChangeArrowheads="1"/>
        </xdr:cNvSpPr>
      </xdr:nvSpPr>
      <xdr:spPr bwMode="auto">
        <a:xfrm flipH="1">
          <a:off x="4295775" y="242792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23161</xdr:rowOff>
    </xdr:to>
    <xdr:sp macro="" textlink="">
      <xdr:nvSpPr>
        <xdr:cNvPr id="197" name="Text Box 16"/>
        <xdr:cNvSpPr txBox="1">
          <a:spLocks noChangeArrowheads="1"/>
        </xdr:cNvSpPr>
      </xdr:nvSpPr>
      <xdr:spPr bwMode="auto">
        <a:xfrm flipH="1">
          <a:off x="4295775" y="242792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80989</xdr:rowOff>
    </xdr:to>
    <xdr:sp macro="" textlink="">
      <xdr:nvSpPr>
        <xdr:cNvPr id="198" name="Text Box 12"/>
        <xdr:cNvSpPr txBox="1">
          <a:spLocks noChangeArrowheads="1"/>
        </xdr:cNvSpPr>
      </xdr:nvSpPr>
      <xdr:spPr bwMode="auto">
        <a:xfrm flipH="1">
          <a:off x="4295775" y="242792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30996</xdr:rowOff>
    </xdr:to>
    <xdr:sp macro="" textlink="">
      <xdr:nvSpPr>
        <xdr:cNvPr id="199" name="Text Box 4"/>
        <xdr:cNvSpPr txBox="1">
          <a:spLocks noChangeArrowheads="1"/>
        </xdr:cNvSpPr>
      </xdr:nvSpPr>
      <xdr:spPr bwMode="auto">
        <a:xfrm flipH="1">
          <a:off x="4295775" y="242792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80456</xdr:rowOff>
    </xdr:to>
    <xdr:sp macro="" textlink="">
      <xdr:nvSpPr>
        <xdr:cNvPr id="200" name="Text Box 4"/>
        <xdr:cNvSpPr txBox="1">
          <a:spLocks noChangeArrowheads="1"/>
        </xdr:cNvSpPr>
      </xdr:nvSpPr>
      <xdr:spPr bwMode="auto">
        <a:xfrm flipH="1">
          <a:off x="4295775" y="242792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24544</xdr:rowOff>
    </xdr:to>
    <xdr:sp macro="" textlink="">
      <xdr:nvSpPr>
        <xdr:cNvPr id="201" name="Text Box 12"/>
        <xdr:cNvSpPr txBox="1">
          <a:spLocks noChangeArrowheads="1"/>
        </xdr:cNvSpPr>
      </xdr:nvSpPr>
      <xdr:spPr bwMode="auto">
        <a:xfrm flipH="1">
          <a:off x="4295775" y="242792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23162</xdr:rowOff>
    </xdr:to>
    <xdr:sp macro="" textlink="">
      <xdr:nvSpPr>
        <xdr:cNvPr id="202" name="Text Box 14"/>
        <xdr:cNvSpPr txBox="1">
          <a:spLocks noChangeArrowheads="1"/>
        </xdr:cNvSpPr>
      </xdr:nvSpPr>
      <xdr:spPr bwMode="auto">
        <a:xfrm flipH="1">
          <a:off x="4295775" y="242792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23161</xdr:rowOff>
    </xdr:to>
    <xdr:sp macro="" textlink="">
      <xdr:nvSpPr>
        <xdr:cNvPr id="203" name="Text Box 16"/>
        <xdr:cNvSpPr txBox="1">
          <a:spLocks noChangeArrowheads="1"/>
        </xdr:cNvSpPr>
      </xdr:nvSpPr>
      <xdr:spPr bwMode="auto">
        <a:xfrm flipH="1">
          <a:off x="4295775" y="242792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80989</xdr:rowOff>
    </xdr:to>
    <xdr:sp macro="" textlink="">
      <xdr:nvSpPr>
        <xdr:cNvPr id="204" name="Text Box 12"/>
        <xdr:cNvSpPr txBox="1">
          <a:spLocks noChangeArrowheads="1"/>
        </xdr:cNvSpPr>
      </xdr:nvSpPr>
      <xdr:spPr bwMode="auto">
        <a:xfrm flipH="1">
          <a:off x="4295775" y="242792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30996</xdr:rowOff>
    </xdr:to>
    <xdr:sp macro="" textlink="">
      <xdr:nvSpPr>
        <xdr:cNvPr id="205" name="Text Box 4"/>
        <xdr:cNvSpPr txBox="1">
          <a:spLocks noChangeArrowheads="1"/>
        </xdr:cNvSpPr>
      </xdr:nvSpPr>
      <xdr:spPr bwMode="auto">
        <a:xfrm flipH="1">
          <a:off x="4295775" y="242792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39283</xdr:rowOff>
    </xdr:to>
    <xdr:sp macro="" textlink="">
      <xdr:nvSpPr>
        <xdr:cNvPr id="206" name="Text Box 4"/>
        <xdr:cNvSpPr txBox="1">
          <a:spLocks noChangeArrowheads="1"/>
        </xdr:cNvSpPr>
      </xdr:nvSpPr>
      <xdr:spPr bwMode="auto">
        <a:xfrm flipH="1">
          <a:off x="4063253" y="3868102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32725</xdr:rowOff>
    </xdr:to>
    <xdr:sp macro="" textlink="">
      <xdr:nvSpPr>
        <xdr:cNvPr id="207" name="Text Box 12"/>
        <xdr:cNvSpPr txBox="1">
          <a:spLocks noChangeArrowheads="1"/>
        </xdr:cNvSpPr>
      </xdr:nvSpPr>
      <xdr:spPr bwMode="auto">
        <a:xfrm flipH="1">
          <a:off x="4063253" y="3868102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34743</xdr:rowOff>
    </xdr:to>
    <xdr:sp macro="" textlink="">
      <xdr:nvSpPr>
        <xdr:cNvPr id="208" name="Text Box 14"/>
        <xdr:cNvSpPr txBox="1">
          <a:spLocks noChangeArrowheads="1"/>
        </xdr:cNvSpPr>
      </xdr:nvSpPr>
      <xdr:spPr bwMode="auto">
        <a:xfrm flipH="1">
          <a:off x="4063253" y="3868102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34742</xdr:rowOff>
    </xdr:to>
    <xdr:sp macro="" textlink="">
      <xdr:nvSpPr>
        <xdr:cNvPr id="209" name="Text Box 16"/>
        <xdr:cNvSpPr txBox="1">
          <a:spLocks noChangeArrowheads="1"/>
        </xdr:cNvSpPr>
      </xdr:nvSpPr>
      <xdr:spPr bwMode="auto">
        <a:xfrm flipH="1">
          <a:off x="4063253" y="3868102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30162</xdr:rowOff>
    </xdr:to>
    <xdr:sp macro="" textlink="">
      <xdr:nvSpPr>
        <xdr:cNvPr id="210" name="Text Box 12"/>
        <xdr:cNvSpPr txBox="1">
          <a:spLocks noChangeArrowheads="1"/>
        </xdr:cNvSpPr>
      </xdr:nvSpPr>
      <xdr:spPr bwMode="auto">
        <a:xfrm flipH="1">
          <a:off x="4063253" y="3868102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20664</xdr:rowOff>
    </xdr:to>
    <xdr:sp macro="" textlink="">
      <xdr:nvSpPr>
        <xdr:cNvPr id="211" name="Text Box 4"/>
        <xdr:cNvSpPr txBox="1">
          <a:spLocks noChangeArrowheads="1"/>
        </xdr:cNvSpPr>
      </xdr:nvSpPr>
      <xdr:spPr bwMode="auto">
        <a:xfrm flipH="1">
          <a:off x="4063253" y="3868102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80456</xdr:rowOff>
    </xdr:to>
    <xdr:sp macro="" textlink="">
      <xdr:nvSpPr>
        <xdr:cNvPr id="212" name="Text Box 4"/>
        <xdr:cNvSpPr txBox="1">
          <a:spLocks noChangeArrowheads="1"/>
        </xdr:cNvSpPr>
      </xdr:nvSpPr>
      <xdr:spPr bwMode="auto">
        <a:xfrm flipH="1">
          <a:off x="4063253" y="242792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24544</xdr:rowOff>
    </xdr:to>
    <xdr:sp macro="" textlink="">
      <xdr:nvSpPr>
        <xdr:cNvPr id="213" name="Text Box 12"/>
        <xdr:cNvSpPr txBox="1">
          <a:spLocks noChangeArrowheads="1"/>
        </xdr:cNvSpPr>
      </xdr:nvSpPr>
      <xdr:spPr bwMode="auto">
        <a:xfrm flipH="1">
          <a:off x="4063253" y="242792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23162</xdr:rowOff>
    </xdr:to>
    <xdr:sp macro="" textlink="">
      <xdr:nvSpPr>
        <xdr:cNvPr id="214" name="Text Box 14"/>
        <xdr:cNvSpPr txBox="1">
          <a:spLocks noChangeArrowheads="1"/>
        </xdr:cNvSpPr>
      </xdr:nvSpPr>
      <xdr:spPr bwMode="auto">
        <a:xfrm flipH="1">
          <a:off x="4063253" y="242792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23161</xdr:rowOff>
    </xdr:to>
    <xdr:sp macro="" textlink="">
      <xdr:nvSpPr>
        <xdr:cNvPr id="215" name="Text Box 16"/>
        <xdr:cNvSpPr txBox="1">
          <a:spLocks noChangeArrowheads="1"/>
        </xdr:cNvSpPr>
      </xdr:nvSpPr>
      <xdr:spPr bwMode="auto">
        <a:xfrm flipH="1">
          <a:off x="4063253" y="242792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80989</xdr:rowOff>
    </xdr:to>
    <xdr:sp macro="" textlink="">
      <xdr:nvSpPr>
        <xdr:cNvPr id="216" name="Text Box 12"/>
        <xdr:cNvSpPr txBox="1">
          <a:spLocks noChangeArrowheads="1"/>
        </xdr:cNvSpPr>
      </xdr:nvSpPr>
      <xdr:spPr bwMode="auto">
        <a:xfrm flipH="1">
          <a:off x="4063253" y="242792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30996</xdr:rowOff>
    </xdr:to>
    <xdr:sp macro="" textlink="">
      <xdr:nvSpPr>
        <xdr:cNvPr id="217" name="Text Box 4"/>
        <xdr:cNvSpPr txBox="1">
          <a:spLocks noChangeArrowheads="1"/>
        </xdr:cNvSpPr>
      </xdr:nvSpPr>
      <xdr:spPr bwMode="auto">
        <a:xfrm flipH="1">
          <a:off x="4063253" y="242792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80456</xdr:rowOff>
    </xdr:to>
    <xdr:sp macro="" textlink="">
      <xdr:nvSpPr>
        <xdr:cNvPr id="218" name="Text Box 4"/>
        <xdr:cNvSpPr txBox="1">
          <a:spLocks noChangeArrowheads="1"/>
        </xdr:cNvSpPr>
      </xdr:nvSpPr>
      <xdr:spPr bwMode="auto">
        <a:xfrm flipH="1">
          <a:off x="4063253" y="242792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24544</xdr:rowOff>
    </xdr:to>
    <xdr:sp macro="" textlink="">
      <xdr:nvSpPr>
        <xdr:cNvPr id="219" name="Text Box 12"/>
        <xdr:cNvSpPr txBox="1">
          <a:spLocks noChangeArrowheads="1"/>
        </xdr:cNvSpPr>
      </xdr:nvSpPr>
      <xdr:spPr bwMode="auto">
        <a:xfrm flipH="1">
          <a:off x="4063253" y="242792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23162</xdr:rowOff>
    </xdr:to>
    <xdr:sp macro="" textlink="">
      <xdr:nvSpPr>
        <xdr:cNvPr id="220" name="Text Box 14"/>
        <xdr:cNvSpPr txBox="1">
          <a:spLocks noChangeArrowheads="1"/>
        </xdr:cNvSpPr>
      </xdr:nvSpPr>
      <xdr:spPr bwMode="auto">
        <a:xfrm flipH="1">
          <a:off x="4063253" y="242792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23161</xdr:rowOff>
    </xdr:to>
    <xdr:sp macro="" textlink="">
      <xdr:nvSpPr>
        <xdr:cNvPr id="221" name="Text Box 16"/>
        <xdr:cNvSpPr txBox="1">
          <a:spLocks noChangeArrowheads="1"/>
        </xdr:cNvSpPr>
      </xdr:nvSpPr>
      <xdr:spPr bwMode="auto">
        <a:xfrm flipH="1">
          <a:off x="4063253" y="242792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80989</xdr:rowOff>
    </xdr:to>
    <xdr:sp macro="" textlink="">
      <xdr:nvSpPr>
        <xdr:cNvPr id="222" name="Text Box 12"/>
        <xdr:cNvSpPr txBox="1">
          <a:spLocks noChangeArrowheads="1"/>
        </xdr:cNvSpPr>
      </xdr:nvSpPr>
      <xdr:spPr bwMode="auto">
        <a:xfrm flipH="1">
          <a:off x="4063253" y="242792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30996</xdr:rowOff>
    </xdr:to>
    <xdr:sp macro="" textlink="">
      <xdr:nvSpPr>
        <xdr:cNvPr id="223" name="Text Box 4"/>
        <xdr:cNvSpPr txBox="1">
          <a:spLocks noChangeArrowheads="1"/>
        </xdr:cNvSpPr>
      </xdr:nvSpPr>
      <xdr:spPr bwMode="auto">
        <a:xfrm flipH="1">
          <a:off x="4063253" y="242792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39283</xdr:rowOff>
    </xdr:to>
    <xdr:sp macro="" textlink="">
      <xdr:nvSpPr>
        <xdr:cNvPr id="224" name="Text Box 4"/>
        <xdr:cNvSpPr txBox="1">
          <a:spLocks noChangeArrowheads="1"/>
        </xdr:cNvSpPr>
      </xdr:nvSpPr>
      <xdr:spPr bwMode="auto">
        <a:xfrm flipH="1">
          <a:off x="4295775" y="3868102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32725</xdr:rowOff>
    </xdr:to>
    <xdr:sp macro="" textlink="">
      <xdr:nvSpPr>
        <xdr:cNvPr id="225" name="Text Box 12"/>
        <xdr:cNvSpPr txBox="1">
          <a:spLocks noChangeArrowheads="1"/>
        </xdr:cNvSpPr>
      </xdr:nvSpPr>
      <xdr:spPr bwMode="auto">
        <a:xfrm flipH="1">
          <a:off x="4295775" y="3868102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34743</xdr:rowOff>
    </xdr:to>
    <xdr:sp macro="" textlink="">
      <xdr:nvSpPr>
        <xdr:cNvPr id="226" name="Text Box 14"/>
        <xdr:cNvSpPr txBox="1">
          <a:spLocks noChangeArrowheads="1"/>
        </xdr:cNvSpPr>
      </xdr:nvSpPr>
      <xdr:spPr bwMode="auto">
        <a:xfrm flipH="1">
          <a:off x="4295775" y="3868102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34742</xdr:rowOff>
    </xdr:to>
    <xdr:sp macro="" textlink="">
      <xdr:nvSpPr>
        <xdr:cNvPr id="227" name="Text Box 16"/>
        <xdr:cNvSpPr txBox="1">
          <a:spLocks noChangeArrowheads="1"/>
        </xdr:cNvSpPr>
      </xdr:nvSpPr>
      <xdr:spPr bwMode="auto">
        <a:xfrm flipH="1">
          <a:off x="4295775" y="3868102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30162</xdr:rowOff>
    </xdr:to>
    <xdr:sp macro="" textlink="">
      <xdr:nvSpPr>
        <xdr:cNvPr id="228" name="Text Box 12"/>
        <xdr:cNvSpPr txBox="1">
          <a:spLocks noChangeArrowheads="1"/>
        </xdr:cNvSpPr>
      </xdr:nvSpPr>
      <xdr:spPr bwMode="auto">
        <a:xfrm flipH="1">
          <a:off x="4295775" y="3868102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0</xdr:colOff>
      <xdr:row>234</xdr:row>
      <xdr:rowOff>20664</xdr:rowOff>
    </xdr:to>
    <xdr:sp macro="" textlink="">
      <xdr:nvSpPr>
        <xdr:cNvPr id="229" name="Text Box 4"/>
        <xdr:cNvSpPr txBox="1">
          <a:spLocks noChangeArrowheads="1"/>
        </xdr:cNvSpPr>
      </xdr:nvSpPr>
      <xdr:spPr bwMode="auto">
        <a:xfrm flipH="1">
          <a:off x="4295775" y="3868102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80456</xdr:rowOff>
    </xdr:to>
    <xdr:sp macro="" textlink="">
      <xdr:nvSpPr>
        <xdr:cNvPr id="230" name="Text Box 4"/>
        <xdr:cNvSpPr txBox="1">
          <a:spLocks noChangeArrowheads="1"/>
        </xdr:cNvSpPr>
      </xdr:nvSpPr>
      <xdr:spPr bwMode="auto">
        <a:xfrm flipH="1">
          <a:off x="4295775" y="242792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24544</xdr:rowOff>
    </xdr:to>
    <xdr:sp macro="" textlink="">
      <xdr:nvSpPr>
        <xdr:cNvPr id="231" name="Text Box 12"/>
        <xdr:cNvSpPr txBox="1">
          <a:spLocks noChangeArrowheads="1"/>
        </xdr:cNvSpPr>
      </xdr:nvSpPr>
      <xdr:spPr bwMode="auto">
        <a:xfrm flipH="1">
          <a:off x="4295775" y="242792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23162</xdr:rowOff>
    </xdr:to>
    <xdr:sp macro="" textlink="">
      <xdr:nvSpPr>
        <xdr:cNvPr id="232" name="Text Box 14"/>
        <xdr:cNvSpPr txBox="1">
          <a:spLocks noChangeArrowheads="1"/>
        </xdr:cNvSpPr>
      </xdr:nvSpPr>
      <xdr:spPr bwMode="auto">
        <a:xfrm flipH="1">
          <a:off x="4295775" y="242792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23161</xdr:rowOff>
    </xdr:to>
    <xdr:sp macro="" textlink="">
      <xdr:nvSpPr>
        <xdr:cNvPr id="233" name="Text Box 16"/>
        <xdr:cNvSpPr txBox="1">
          <a:spLocks noChangeArrowheads="1"/>
        </xdr:cNvSpPr>
      </xdr:nvSpPr>
      <xdr:spPr bwMode="auto">
        <a:xfrm flipH="1">
          <a:off x="4295775" y="242792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80989</xdr:rowOff>
    </xdr:to>
    <xdr:sp macro="" textlink="">
      <xdr:nvSpPr>
        <xdr:cNvPr id="234" name="Text Box 12"/>
        <xdr:cNvSpPr txBox="1">
          <a:spLocks noChangeArrowheads="1"/>
        </xdr:cNvSpPr>
      </xdr:nvSpPr>
      <xdr:spPr bwMode="auto">
        <a:xfrm flipH="1">
          <a:off x="4295775" y="242792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30996</xdr:rowOff>
    </xdr:to>
    <xdr:sp macro="" textlink="">
      <xdr:nvSpPr>
        <xdr:cNvPr id="235" name="Text Box 4"/>
        <xdr:cNvSpPr txBox="1">
          <a:spLocks noChangeArrowheads="1"/>
        </xdr:cNvSpPr>
      </xdr:nvSpPr>
      <xdr:spPr bwMode="auto">
        <a:xfrm flipH="1">
          <a:off x="4295775" y="242792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80456</xdr:rowOff>
    </xdr:to>
    <xdr:sp macro="" textlink="">
      <xdr:nvSpPr>
        <xdr:cNvPr id="236" name="Text Box 4"/>
        <xdr:cNvSpPr txBox="1">
          <a:spLocks noChangeArrowheads="1"/>
        </xdr:cNvSpPr>
      </xdr:nvSpPr>
      <xdr:spPr bwMode="auto">
        <a:xfrm flipH="1">
          <a:off x="4295775" y="242792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24544</xdr:rowOff>
    </xdr:to>
    <xdr:sp macro="" textlink="">
      <xdr:nvSpPr>
        <xdr:cNvPr id="237" name="Text Box 12"/>
        <xdr:cNvSpPr txBox="1">
          <a:spLocks noChangeArrowheads="1"/>
        </xdr:cNvSpPr>
      </xdr:nvSpPr>
      <xdr:spPr bwMode="auto">
        <a:xfrm flipH="1">
          <a:off x="4295775" y="242792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23162</xdr:rowOff>
    </xdr:to>
    <xdr:sp macro="" textlink="">
      <xdr:nvSpPr>
        <xdr:cNvPr id="238" name="Text Box 14"/>
        <xdr:cNvSpPr txBox="1">
          <a:spLocks noChangeArrowheads="1"/>
        </xdr:cNvSpPr>
      </xdr:nvSpPr>
      <xdr:spPr bwMode="auto">
        <a:xfrm flipH="1">
          <a:off x="4295775" y="242792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23161</xdr:rowOff>
    </xdr:to>
    <xdr:sp macro="" textlink="">
      <xdr:nvSpPr>
        <xdr:cNvPr id="239" name="Text Box 16"/>
        <xdr:cNvSpPr txBox="1">
          <a:spLocks noChangeArrowheads="1"/>
        </xdr:cNvSpPr>
      </xdr:nvSpPr>
      <xdr:spPr bwMode="auto">
        <a:xfrm flipH="1">
          <a:off x="4295775" y="242792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80989</xdr:rowOff>
    </xdr:to>
    <xdr:sp macro="" textlink="">
      <xdr:nvSpPr>
        <xdr:cNvPr id="240" name="Text Box 12"/>
        <xdr:cNvSpPr txBox="1">
          <a:spLocks noChangeArrowheads="1"/>
        </xdr:cNvSpPr>
      </xdr:nvSpPr>
      <xdr:spPr bwMode="auto">
        <a:xfrm flipH="1">
          <a:off x="4295775" y="242792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0</xdr:colOff>
      <xdr:row>146</xdr:row>
      <xdr:rowOff>30996</xdr:rowOff>
    </xdr:to>
    <xdr:sp macro="" textlink="">
      <xdr:nvSpPr>
        <xdr:cNvPr id="241" name="Text Box 4"/>
        <xdr:cNvSpPr txBox="1">
          <a:spLocks noChangeArrowheads="1"/>
        </xdr:cNvSpPr>
      </xdr:nvSpPr>
      <xdr:spPr bwMode="auto">
        <a:xfrm flipH="1">
          <a:off x="4295775" y="242792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80456</xdr:rowOff>
    </xdr:to>
    <xdr:sp macro="" textlink="">
      <xdr:nvSpPr>
        <xdr:cNvPr id="242" name="Text Box 4"/>
        <xdr:cNvSpPr txBox="1">
          <a:spLocks noChangeArrowheads="1"/>
        </xdr:cNvSpPr>
      </xdr:nvSpPr>
      <xdr:spPr bwMode="auto">
        <a:xfrm flipH="1">
          <a:off x="4063253" y="242792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24544</xdr:rowOff>
    </xdr:to>
    <xdr:sp macro="" textlink="">
      <xdr:nvSpPr>
        <xdr:cNvPr id="243" name="Text Box 12"/>
        <xdr:cNvSpPr txBox="1">
          <a:spLocks noChangeArrowheads="1"/>
        </xdr:cNvSpPr>
      </xdr:nvSpPr>
      <xdr:spPr bwMode="auto">
        <a:xfrm flipH="1">
          <a:off x="4063253" y="242792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23162</xdr:rowOff>
    </xdr:to>
    <xdr:sp macro="" textlink="">
      <xdr:nvSpPr>
        <xdr:cNvPr id="244" name="Text Box 14"/>
        <xdr:cNvSpPr txBox="1">
          <a:spLocks noChangeArrowheads="1"/>
        </xdr:cNvSpPr>
      </xdr:nvSpPr>
      <xdr:spPr bwMode="auto">
        <a:xfrm flipH="1">
          <a:off x="4063253" y="242792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23161</xdr:rowOff>
    </xdr:to>
    <xdr:sp macro="" textlink="">
      <xdr:nvSpPr>
        <xdr:cNvPr id="245" name="Text Box 16"/>
        <xdr:cNvSpPr txBox="1">
          <a:spLocks noChangeArrowheads="1"/>
        </xdr:cNvSpPr>
      </xdr:nvSpPr>
      <xdr:spPr bwMode="auto">
        <a:xfrm flipH="1">
          <a:off x="4063253" y="242792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80989</xdr:rowOff>
    </xdr:to>
    <xdr:sp macro="" textlink="">
      <xdr:nvSpPr>
        <xdr:cNvPr id="246" name="Text Box 12"/>
        <xdr:cNvSpPr txBox="1">
          <a:spLocks noChangeArrowheads="1"/>
        </xdr:cNvSpPr>
      </xdr:nvSpPr>
      <xdr:spPr bwMode="auto">
        <a:xfrm flipH="1">
          <a:off x="4063253" y="242792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30996</xdr:rowOff>
    </xdr:to>
    <xdr:sp macro="" textlink="">
      <xdr:nvSpPr>
        <xdr:cNvPr id="247" name="Text Box 4"/>
        <xdr:cNvSpPr txBox="1">
          <a:spLocks noChangeArrowheads="1"/>
        </xdr:cNvSpPr>
      </xdr:nvSpPr>
      <xdr:spPr bwMode="auto">
        <a:xfrm flipH="1">
          <a:off x="4063253" y="242792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80456</xdr:rowOff>
    </xdr:to>
    <xdr:sp macro="" textlink="">
      <xdr:nvSpPr>
        <xdr:cNvPr id="248" name="Text Box 4"/>
        <xdr:cNvSpPr txBox="1">
          <a:spLocks noChangeArrowheads="1"/>
        </xdr:cNvSpPr>
      </xdr:nvSpPr>
      <xdr:spPr bwMode="auto">
        <a:xfrm flipH="1">
          <a:off x="4063253" y="2427922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24544</xdr:rowOff>
    </xdr:to>
    <xdr:sp macro="" textlink="">
      <xdr:nvSpPr>
        <xdr:cNvPr id="249" name="Text Box 12"/>
        <xdr:cNvSpPr txBox="1">
          <a:spLocks noChangeArrowheads="1"/>
        </xdr:cNvSpPr>
      </xdr:nvSpPr>
      <xdr:spPr bwMode="auto">
        <a:xfrm flipH="1">
          <a:off x="4063253" y="2427922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23162</xdr:rowOff>
    </xdr:to>
    <xdr:sp macro="" textlink="">
      <xdr:nvSpPr>
        <xdr:cNvPr id="250" name="Text Box 14"/>
        <xdr:cNvSpPr txBox="1">
          <a:spLocks noChangeArrowheads="1"/>
        </xdr:cNvSpPr>
      </xdr:nvSpPr>
      <xdr:spPr bwMode="auto">
        <a:xfrm flipH="1">
          <a:off x="4063253" y="2427922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23161</xdr:rowOff>
    </xdr:to>
    <xdr:sp macro="" textlink="">
      <xdr:nvSpPr>
        <xdr:cNvPr id="251" name="Text Box 16"/>
        <xdr:cNvSpPr txBox="1">
          <a:spLocks noChangeArrowheads="1"/>
        </xdr:cNvSpPr>
      </xdr:nvSpPr>
      <xdr:spPr bwMode="auto">
        <a:xfrm flipH="1">
          <a:off x="4063253" y="2427922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80989</xdr:rowOff>
    </xdr:to>
    <xdr:sp macro="" textlink="">
      <xdr:nvSpPr>
        <xdr:cNvPr id="252" name="Text Box 12"/>
        <xdr:cNvSpPr txBox="1">
          <a:spLocks noChangeArrowheads="1"/>
        </xdr:cNvSpPr>
      </xdr:nvSpPr>
      <xdr:spPr bwMode="auto">
        <a:xfrm flipH="1">
          <a:off x="4063253" y="2427922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30996</xdr:rowOff>
    </xdr:to>
    <xdr:sp macro="" textlink="">
      <xdr:nvSpPr>
        <xdr:cNvPr id="253" name="Text Box 4"/>
        <xdr:cNvSpPr txBox="1">
          <a:spLocks noChangeArrowheads="1"/>
        </xdr:cNvSpPr>
      </xdr:nvSpPr>
      <xdr:spPr bwMode="auto">
        <a:xfrm flipH="1">
          <a:off x="4063253" y="2427922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39283</xdr:rowOff>
    </xdr:to>
    <xdr:sp macro="" textlink="">
      <xdr:nvSpPr>
        <xdr:cNvPr id="254" name="Text Box 4"/>
        <xdr:cNvSpPr txBox="1">
          <a:spLocks noChangeArrowheads="1"/>
        </xdr:cNvSpPr>
      </xdr:nvSpPr>
      <xdr:spPr bwMode="auto">
        <a:xfrm flipH="1">
          <a:off x="4063253" y="3868102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32725</xdr:rowOff>
    </xdr:to>
    <xdr:sp macro="" textlink="">
      <xdr:nvSpPr>
        <xdr:cNvPr id="255" name="Text Box 12"/>
        <xdr:cNvSpPr txBox="1">
          <a:spLocks noChangeArrowheads="1"/>
        </xdr:cNvSpPr>
      </xdr:nvSpPr>
      <xdr:spPr bwMode="auto">
        <a:xfrm flipH="1">
          <a:off x="4063253" y="3868102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34743</xdr:rowOff>
    </xdr:to>
    <xdr:sp macro="" textlink="">
      <xdr:nvSpPr>
        <xdr:cNvPr id="256" name="Text Box 14"/>
        <xdr:cNvSpPr txBox="1">
          <a:spLocks noChangeArrowheads="1"/>
        </xdr:cNvSpPr>
      </xdr:nvSpPr>
      <xdr:spPr bwMode="auto">
        <a:xfrm flipH="1">
          <a:off x="4063253" y="3868102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34742</xdr:rowOff>
    </xdr:to>
    <xdr:sp macro="" textlink="">
      <xdr:nvSpPr>
        <xdr:cNvPr id="257" name="Text Box 16"/>
        <xdr:cNvSpPr txBox="1">
          <a:spLocks noChangeArrowheads="1"/>
        </xdr:cNvSpPr>
      </xdr:nvSpPr>
      <xdr:spPr bwMode="auto">
        <a:xfrm flipH="1">
          <a:off x="4063253" y="3868102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30162</xdr:rowOff>
    </xdr:to>
    <xdr:sp macro="" textlink="">
      <xdr:nvSpPr>
        <xdr:cNvPr id="258" name="Text Box 12"/>
        <xdr:cNvSpPr txBox="1">
          <a:spLocks noChangeArrowheads="1"/>
        </xdr:cNvSpPr>
      </xdr:nvSpPr>
      <xdr:spPr bwMode="auto">
        <a:xfrm flipH="1">
          <a:off x="4063253" y="3868102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20664</xdr:rowOff>
    </xdr:to>
    <xdr:sp macro="" textlink="">
      <xdr:nvSpPr>
        <xdr:cNvPr id="259" name="Text Box 4"/>
        <xdr:cNvSpPr txBox="1">
          <a:spLocks noChangeArrowheads="1"/>
        </xdr:cNvSpPr>
      </xdr:nvSpPr>
      <xdr:spPr bwMode="auto">
        <a:xfrm flipH="1">
          <a:off x="4063253" y="3868102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60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61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62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63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64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65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66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67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68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69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70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71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72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73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74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75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76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77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78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79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80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81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82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83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39283</xdr:rowOff>
    </xdr:to>
    <xdr:sp macro="" textlink="">
      <xdr:nvSpPr>
        <xdr:cNvPr id="284" name="Text Box 4"/>
        <xdr:cNvSpPr txBox="1">
          <a:spLocks noChangeArrowheads="1"/>
        </xdr:cNvSpPr>
      </xdr:nvSpPr>
      <xdr:spPr bwMode="auto">
        <a:xfrm flipH="1">
          <a:off x="4063253" y="3868102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32725</xdr:rowOff>
    </xdr:to>
    <xdr:sp macro="" textlink="">
      <xdr:nvSpPr>
        <xdr:cNvPr id="285" name="Text Box 12"/>
        <xdr:cNvSpPr txBox="1">
          <a:spLocks noChangeArrowheads="1"/>
        </xdr:cNvSpPr>
      </xdr:nvSpPr>
      <xdr:spPr bwMode="auto">
        <a:xfrm flipH="1">
          <a:off x="4063253" y="3868102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34743</xdr:rowOff>
    </xdr:to>
    <xdr:sp macro="" textlink="">
      <xdr:nvSpPr>
        <xdr:cNvPr id="286" name="Text Box 14"/>
        <xdr:cNvSpPr txBox="1">
          <a:spLocks noChangeArrowheads="1"/>
        </xdr:cNvSpPr>
      </xdr:nvSpPr>
      <xdr:spPr bwMode="auto">
        <a:xfrm flipH="1">
          <a:off x="4063253" y="3868102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34742</xdr:rowOff>
    </xdr:to>
    <xdr:sp macro="" textlink="">
      <xdr:nvSpPr>
        <xdr:cNvPr id="287" name="Text Box 16"/>
        <xdr:cNvSpPr txBox="1">
          <a:spLocks noChangeArrowheads="1"/>
        </xdr:cNvSpPr>
      </xdr:nvSpPr>
      <xdr:spPr bwMode="auto">
        <a:xfrm flipH="1">
          <a:off x="4063253" y="3868102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30162</xdr:rowOff>
    </xdr:to>
    <xdr:sp macro="" textlink="">
      <xdr:nvSpPr>
        <xdr:cNvPr id="288" name="Text Box 12"/>
        <xdr:cNvSpPr txBox="1">
          <a:spLocks noChangeArrowheads="1"/>
        </xdr:cNvSpPr>
      </xdr:nvSpPr>
      <xdr:spPr bwMode="auto">
        <a:xfrm flipH="1">
          <a:off x="4063253" y="3868102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20664</xdr:rowOff>
    </xdr:to>
    <xdr:sp macro="" textlink="">
      <xdr:nvSpPr>
        <xdr:cNvPr id="289" name="Text Box 4"/>
        <xdr:cNvSpPr txBox="1">
          <a:spLocks noChangeArrowheads="1"/>
        </xdr:cNvSpPr>
      </xdr:nvSpPr>
      <xdr:spPr bwMode="auto">
        <a:xfrm flipH="1">
          <a:off x="4063253" y="3868102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90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91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92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93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94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95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96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97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98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299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00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01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02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03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04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05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06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07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08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09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10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11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12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13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39283</xdr:rowOff>
    </xdr:to>
    <xdr:sp macro="" textlink="">
      <xdr:nvSpPr>
        <xdr:cNvPr id="314" name="Text Box 4"/>
        <xdr:cNvSpPr txBox="1">
          <a:spLocks noChangeArrowheads="1"/>
        </xdr:cNvSpPr>
      </xdr:nvSpPr>
      <xdr:spPr bwMode="auto">
        <a:xfrm flipH="1">
          <a:off x="4063253" y="3868102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32725</xdr:rowOff>
    </xdr:to>
    <xdr:sp macro="" textlink="">
      <xdr:nvSpPr>
        <xdr:cNvPr id="315" name="Text Box 12"/>
        <xdr:cNvSpPr txBox="1">
          <a:spLocks noChangeArrowheads="1"/>
        </xdr:cNvSpPr>
      </xdr:nvSpPr>
      <xdr:spPr bwMode="auto">
        <a:xfrm flipH="1">
          <a:off x="4063253" y="3868102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34743</xdr:rowOff>
    </xdr:to>
    <xdr:sp macro="" textlink="">
      <xdr:nvSpPr>
        <xdr:cNvPr id="316" name="Text Box 14"/>
        <xdr:cNvSpPr txBox="1">
          <a:spLocks noChangeArrowheads="1"/>
        </xdr:cNvSpPr>
      </xdr:nvSpPr>
      <xdr:spPr bwMode="auto">
        <a:xfrm flipH="1">
          <a:off x="4063253" y="3868102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34742</xdr:rowOff>
    </xdr:to>
    <xdr:sp macro="" textlink="">
      <xdr:nvSpPr>
        <xdr:cNvPr id="317" name="Text Box 16"/>
        <xdr:cNvSpPr txBox="1">
          <a:spLocks noChangeArrowheads="1"/>
        </xdr:cNvSpPr>
      </xdr:nvSpPr>
      <xdr:spPr bwMode="auto">
        <a:xfrm flipH="1">
          <a:off x="4063253" y="3868102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30162</xdr:rowOff>
    </xdr:to>
    <xdr:sp macro="" textlink="">
      <xdr:nvSpPr>
        <xdr:cNvPr id="318" name="Text Box 12"/>
        <xdr:cNvSpPr txBox="1">
          <a:spLocks noChangeArrowheads="1"/>
        </xdr:cNvSpPr>
      </xdr:nvSpPr>
      <xdr:spPr bwMode="auto">
        <a:xfrm flipH="1">
          <a:off x="4063253" y="3868102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20664</xdr:rowOff>
    </xdr:to>
    <xdr:sp macro="" textlink="">
      <xdr:nvSpPr>
        <xdr:cNvPr id="319" name="Text Box 4"/>
        <xdr:cNvSpPr txBox="1">
          <a:spLocks noChangeArrowheads="1"/>
        </xdr:cNvSpPr>
      </xdr:nvSpPr>
      <xdr:spPr bwMode="auto">
        <a:xfrm flipH="1">
          <a:off x="4063253" y="3868102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20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21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22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23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24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25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26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27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28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29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30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31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32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33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34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35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36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37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38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39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40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41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42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43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39283</xdr:rowOff>
    </xdr:to>
    <xdr:sp macro="" textlink="">
      <xdr:nvSpPr>
        <xdr:cNvPr id="344" name="Text Box 4"/>
        <xdr:cNvSpPr txBox="1">
          <a:spLocks noChangeArrowheads="1"/>
        </xdr:cNvSpPr>
      </xdr:nvSpPr>
      <xdr:spPr bwMode="auto">
        <a:xfrm flipH="1">
          <a:off x="4063253" y="3868102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32725</xdr:rowOff>
    </xdr:to>
    <xdr:sp macro="" textlink="">
      <xdr:nvSpPr>
        <xdr:cNvPr id="345" name="Text Box 12"/>
        <xdr:cNvSpPr txBox="1">
          <a:spLocks noChangeArrowheads="1"/>
        </xdr:cNvSpPr>
      </xdr:nvSpPr>
      <xdr:spPr bwMode="auto">
        <a:xfrm flipH="1">
          <a:off x="4063253" y="3868102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34743</xdr:rowOff>
    </xdr:to>
    <xdr:sp macro="" textlink="">
      <xdr:nvSpPr>
        <xdr:cNvPr id="346" name="Text Box 14"/>
        <xdr:cNvSpPr txBox="1">
          <a:spLocks noChangeArrowheads="1"/>
        </xdr:cNvSpPr>
      </xdr:nvSpPr>
      <xdr:spPr bwMode="auto">
        <a:xfrm flipH="1">
          <a:off x="4063253" y="3868102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34742</xdr:rowOff>
    </xdr:to>
    <xdr:sp macro="" textlink="">
      <xdr:nvSpPr>
        <xdr:cNvPr id="347" name="Text Box 16"/>
        <xdr:cNvSpPr txBox="1">
          <a:spLocks noChangeArrowheads="1"/>
        </xdr:cNvSpPr>
      </xdr:nvSpPr>
      <xdr:spPr bwMode="auto">
        <a:xfrm flipH="1">
          <a:off x="4063253" y="3868102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30162</xdr:rowOff>
    </xdr:to>
    <xdr:sp macro="" textlink="">
      <xdr:nvSpPr>
        <xdr:cNvPr id="348" name="Text Box 12"/>
        <xdr:cNvSpPr txBox="1">
          <a:spLocks noChangeArrowheads="1"/>
        </xdr:cNvSpPr>
      </xdr:nvSpPr>
      <xdr:spPr bwMode="auto">
        <a:xfrm flipH="1">
          <a:off x="4063253" y="3868102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20664</xdr:rowOff>
    </xdr:to>
    <xdr:sp macro="" textlink="">
      <xdr:nvSpPr>
        <xdr:cNvPr id="349" name="Text Box 4"/>
        <xdr:cNvSpPr txBox="1">
          <a:spLocks noChangeArrowheads="1"/>
        </xdr:cNvSpPr>
      </xdr:nvSpPr>
      <xdr:spPr bwMode="auto">
        <a:xfrm flipH="1">
          <a:off x="4063253" y="3868102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39283</xdr:rowOff>
    </xdr:to>
    <xdr:sp macro="" textlink="">
      <xdr:nvSpPr>
        <xdr:cNvPr id="350" name="Text Box 4"/>
        <xdr:cNvSpPr txBox="1">
          <a:spLocks noChangeArrowheads="1"/>
        </xdr:cNvSpPr>
      </xdr:nvSpPr>
      <xdr:spPr bwMode="auto">
        <a:xfrm flipH="1">
          <a:off x="4063253" y="3868102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32725</xdr:rowOff>
    </xdr:to>
    <xdr:sp macro="" textlink="">
      <xdr:nvSpPr>
        <xdr:cNvPr id="351" name="Text Box 12"/>
        <xdr:cNvSpPr txBox="1">
          <a:spLocks noChangeArrowheads="1"/>
        </xdr:cNvSpPr>
      </xdr:nvSpPr>
      <xdr:spPr bwMode="auto">
        <a:xfrm flipH="1">
          <a:off x="4063253" y="3868102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34743</xdr:rowOff>
    </xdr:to>
    <xdr:sp macro="" textlink="">
      <xdr:nvSpPr>
        <xdr:cNvPr id="352" name="Text Box 14"/>
        <xdr:cNvSpPr txBox="1">
          <a:spLocks noChangeArrowheads="1"/>
        </xdr:cNvSpPr>
      </xdr:nvSpPr>
      <xdr:spPr bwMode="auto">
        <a:xfrm flipH="1">
          <a:off x="4063253" y="3868102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34742</xdr:rowOff>
    </xdr:to>
    <xdr:sp macro="" textlink="">
      <xdr:nvSpPr>
        <xdr:cNvPr id="353" name="Text Box 16"/>
        <xdr:cNvSpPr txBox="1">
          <a:spLocks noChangeArrowheads="1"/>
        </xdr:cNvSpPr>
      </xdr:nvSpPr>
      <xdr:spPr bwMode="auto">
        <a:xfrm flipH="1">
          <a:off x="4063253" y="3868102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30162</xdr:rowOff>
    </xdr:to>
    <xdr:sp macro="" textlink="">
      <xdr:nvSpPr>
        <xdr:cNvPr id="354" name="Text Box 12"/>
        <xdr:cNvSpPr txBox="1">
          <a:spLocks noChangeArrowheads="1"/>
        </xdr:cNvSpPr>
      </xdr:nvSpPr>
      <xdr:spPr bwMode="auto">
        <a:xfrm flipH="1">
          <a:off x="4063253" y="3868102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20664</xdr:rowOff>
    </xdr:to>
    <xdr:sp macro="" textlink="">
      <xdr:nvSpPr>
        <xdr:cNvPr id="355" name="Text Box 4"/>
        <xdr:cNvSpPr txBox="1">
          <a:spLocks noChangeArrowheads="1"/>
        </xdr:cNvSpPr>
      </xdr:nvSpPr>
      <xdr:spPr bwMode="auto">
        <a:xfrm flipH="1">
          <a:off x="4063253" y="3868102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39283</xdr:rowOff>
    </xdr:to>
    <xdr:sp macro="" textlink="">
      <xdr:nvSpPr>
        <xdr:cNvPr id="356" name="Text Box 4"/>
        <xdr:cNvSpPr txBox="1">
          <a:spLocks noChangeArrowheads="1"/>
        </xdr:cNvSpPr>
      </xdr:nvSpPr>
      <xdr:spPr bwMode="auto">
        <a:xfrm flipH="1">
          <a:off x="4063253" y="3868102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32725</xdr:rowOff>
    </xdr:to>
    <xdr:sp macro="" textlink="">
      <xdr:nvSpPr>
        <xdr:cNvPr id="357" name="Text Box 12"/>
        <xdr:cNvSpPr txBox="1">
          <a:spLocks noChangeArrowheads="1"/>
        </xdr:cNvSpPr>
      </xdr:nvSpPr>
      <xdr:spPr bwMode="auto">
        <a:xfrm flipH="1">
          <a:off x="4063253" y="3868102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34743</xdr:rowOff>
    </xdr:to>
    <xdr:sp macro="" textlink="">
      <xdr:nvSpPr>
        <xdr:cNvPr id="358" name="Text Box 14"/>
        <xdr:cNvSpPr txBox="1">
          <a:spLocks noChangeArrowheads="1"/>
        </xdr:cNvSpPr>
      </xdr:nvSpPr>
      <xdr:spPr bwMode="auto">
        <a:xfrm flipH="1">
          <a:off x="4063253" y="3868102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34742</xdr:rowOff>
    </xdr:to>
    <xdr:sp macro="" textlink="">
      <xdr:nvSpPr>
        <xdr:cNvPr id="359" name="Text Box 16"/>
        <xdr:cNvSpPr txBox="1">
          <a:spLocks noChangeArrowheads="1"/>
        </xdr:cNvSpPr>
      </xdr:nvSpPr>
      <xdr:spPr bwMode="auto">
        <a:xfrm flipH="1">
          <a:off x="4063253" y="3868102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30162</xdr:rowOff>
    </xdr:to>
    <xdr:sp macro="" textlink="">
      <xdr:nvSpPr>
        <xdr:cNvPr id="360" name="Text Box 12"/>
        <xdr:cNvSpPr txBox="1">
          <a:spLocks noChangeArrowheads="1"/>
        </xdr:cNvSpPr>
      </xdr:nvSpPr>
      <xdr:spPr bwMode="auto">
        <a:xfrm flipH="1">
          <a:off x="4063253" y="3868102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20664</xdr:rowOff>
    </xdr:to>
    <xdr:sp macro="" textlink="">
      <xdr:nvSpPr>
        <xdr:cNvPr id="361" name="Text Box 4"/>
        <xdr:cNvSpPr txBox="1">
          <a:spLocks noChangeArrowheads="1"/>
        </xdr:cNvSpPr>
      </xdr:nvSpPr>
      <xdr:spPr bwMode="auto">
        <a:xfrm flipH="1">
          <a:off x="4063253" y="3868102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62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63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64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65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66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67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68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69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70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71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72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73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74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75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76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77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78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79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80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81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82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83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84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85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86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87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88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89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90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91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92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93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94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95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96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97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98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399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00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01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02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03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04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05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06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07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08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09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10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11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12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13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14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15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16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17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18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19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20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21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22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23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24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25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26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27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28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29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30" name="Text Box 1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31" name="Text Box 16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32" name="Text Box 12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146</xdr:row>
      <xdr:rowOff>0</xdr:rowOff>
    </xdr:from>
    <xdr:to>
      <xdr:col>4</xdr:col>
      <xdr:colOff>2586878</xdr:colOff>
      <xdr:row>146</xdr:row>
      <xdr:rowOff>0</xdr:rowOff>
    </xdr:to>
    <xdr:sp macro="" textlink="">
      <xdr:nvSpPr>
        <xdr:cNvPr id="433" name="Text Box 4"/>
        <xdr:cNvSpPr txBox="1">
          <a:spLocks noChangeArrowheads="1"/>
        </xdr:cNvSpPr>
      </xdr:nvSpPr>
      <xdr:spPr bwMode="auto">
        <a:xfrm flipH="1">
          <a:off x="4063253" y="24279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39283</xdr:rowOff>
    </xdr:to>
    <xdr:sp macro="" textlink="">
      <xdr:nvSpPr>
        <xdr:cNvPr id="434" name="Text Box 4"/>
        <xdr:cNvSpPr txBox="1">
          <a:spLocks noChangeArrowheads="1"/>
        </xdr:cNvSpPr>
      </xdr:nvSpPr>
      <xdr:spPr bwMode="auto">
        <a:xfrm flipH="1">
          <a:off x="4063253" y="3868102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32725</xdr:rowOff>
    </xdr:to>
    <xdr:sp macro="" textlink="">
      <xdr:nvSpPr>
        <xdr:cNvPr id="435" name="Text Box 12"/>
        <xdr:cNvSpPr txBox="1">
          <a:spLocks noChangeArrowheads="1"/>
        </xdr:cNvSpPr>
      </xdr:nvSpPr>
      <xdr:spPr bwMode="auto">
        <a:xfrm flipH="1">
          <a:off x="4063253" y="3868102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34743</xdr:rowOff>
    </xdr:to>
    <xdr:sp macro="" textlink="">
      <xdr:nvSpPr>
        <xdr:cNvPr id="436" name="Text Box 14"/>
        <xdr:cNvSpPr txBox="1">
          <a:spLocks noChangeArrowheads="1"/>
        </xdr:cNvSpPr>
      </xdr:nvSpPr>
      <xdr:spPr bwMode="auto">
        <a:xfrm flipH="1">
          <a:off x="4063253" y="3868102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34742</xdr:rowOff>
    </xdr:to>
    <xdr:sp macro="" textlink="">
      <xdr:nvSpPr>
        <xdr:cNvPr id="437" name="Text Box 16"/>
        <xdr:cNvSpPr txBox="1">
          <a:spLocks noChangeArrowheads="1"/>
        </xdr:cNvSpPr>
      </xdr:nvSpPr>
      <xdr:spPr bwMode="auto">
        <a:xfrm flipH="1">
          <a:off x="4063253" y="3868102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30162</xdr:rowOff>
    </xdr:to>
    <xdr:sp macro="" textlink="">
      <xdr:nvSpPr>
        <xdr:cNvPr id="438" name="Text Box 12"/>
        <xdr:cNvSpPr txBox="1">
          <a:spLocks noChangeArrowheads="1"/>
        </xdr:cNvSpPr>
      </xdr:nvSpPr>
      <xdr:spPr bwMode="auto">
        <a:xfrm flipH="1">
          <a:off x="4063253" y="3868102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20664</xdr:rowOff>
    </xdr:to>
    <xdr:sp macro="" textlink="">
      <xdr:nvSpPr>
        <xdr:cNvPr id="439" name="Text Box 4"/>
        <xdr:cNvSpPr txBox="1">
          <a:spLocks noChangeArrowheads="1"/>
        </xdr:cNvSpPr>
      </xdr:nvSpPr>
      <xdr:spPr bwMode="auto">
        <a:xfrm flipH="1">
          <a:off x="4063253" y="3868102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39283</xdr:rowOff>
    </xdr:to>
    <xdr:sp macro="" textlink="">
      <xdr:nvSpPr>
        <xdr:cNvPr id="440" name="Text Box 4"/>
        <xdr:cNvSpPr txBox="1">
          <a:spLocks noChangeArrowheads="1"/>
        </xdr:cNvSpPr>
      </xdr:nvSpPr>
      <xdr:spPr bwMode="auto">
        <a:xfrm flipH="1">
          <a:off x="4063253" y="3868102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32725</xdr:rowOff>
    </xdr:to>
    <xdr:sp macro="" textlink="">
      <xdr:nvSpPr>
        <xdr:cNvPr id="441" name="Text Box 12"/>
        <xdr:cNvSpPr txBox="1">
          <a:spLocks noChangeArrowheads="1"/>
        </xdr:cNvSpPr>
      </xdr:nvSpPr>
      <xdr:spPr bwMode="auto">
        <a:xfrm flipH="1">
          <a:off x="4063253" y="3868102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34743</xdr:rowOff>
    </xdr:to>
    <xdr:sp macro="" textlink="">
      <xdr:nvSpPr>
        <xdr:cNvPr id="442" name="Text Box 14"/>
        <xdr:cNvSpPr txBox="1">
          <a:spLocks noChangeArrowheads="1"/>
        </xdr:cNvSpPr>
      </xdr:nvSpPr>
      <xdr:spPr bwMode="auto">
        <a:xfrm flipH="1">
          <a:off x="4063253" y="3868102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34742</xdr:rowOff>
    </xdr:to>
    <xdr:sp macro="" textlink="">
      <xdr:nvSpPr>
        <xdr:cNvPr id="443" name="Text Box 16"/>
        <xdr:cNvSpPr txBox="1">
          <a:spLocks noChangeArrowheads="1"/>
        </xdr:cNvSpPr>
      </xdr:nvSpPr>
      <xdr:spPr bwMode="auto">
        <a:xfrm flipH="1">
          <a:off x="4063253" y="3868102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30162</xdr:rowOff>
    </xdr:to>
    <xdr:sp macro="" textlink="">
      <xdr:nvSpPr>
        <xdr:cNvPr id="444" name="Text Box 12"/>
        <xdr:cNvSpPr txBox="1">
          <a:spLocks noChangeArrowheads="1"/>
        </xdr:cNvSpPr>
      </xdr:nvSpPr>
      <xdr:spPr bwMode="auto">
        <a:xfrm flipH="1">
          <a:off x="4063253" y="3868102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20664</xdr:rowOff>
    </xdr:to>
    <xdr:sp macro="" textlink="">
      <xdr:nvSpPr>
        <xdr:cNvPr id="445" name="Text Box 4"/>
        <xdr:cNvSpPr txBox="1">
          <a:spLocks noChangeArrowheads="1"/>
        </xdr:cNvSpPr>
      </xdr:nvSpPr>
      <xdr:spPr bwMode="auto">
        <a:xfrm flipH="1">
          <a:off x="4063253" y="3868102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39283</xdr:rowOff>
    </xdr:to>
    <xdr:sp macro="" textlink="">
      <xdr:nvSpPr>
        <xdr:cNvPr id="446" name="Text Box 4"/>
        <xdr:cNvSpPr txBox="1">
          <a:spLocks noChangeArrowheads="1"/>
        </xdr:cNvSpPr>
      </xdr:nvSpPr>
      <xdr:spPr bwMode="auto">
        <a:xfrm flipH="1">
          <a:off x="4063253" y="3868102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32725</xdr:rowOff>
    </xdr:to>
    <xdr:sp macro="" textlink="">
      <xdr:nvSpPr>
        <xdr:cNvPr id="447" name="Text Box 12"/>
        <xdr:cNvSpPr txBox="1">
          <a:spLocks noChangeArrowheads="1"/>
        </xdr:cNvSpPr>
      </xdr:nvSpPr>
      <xdr:spPr bwMode="auto">
        <a:xfrm flipH="1">
          <a:off x="4063253" y="3868102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34743</xdr:rowOff>
    </xdr:to>
    <xdr:sp macro="" textlink="">
      <xdr:nvSpPr>
        <xdr:cNvPr id="448" name="Text Box 14"/>
        <xdr:cNvSpPr txBox="1">
          <a:spLocks noChangeArrowheads="1"/>
        </xdr:cNvSpPr>
      </xdr:nvSpPr>
      <xdr:spPr bwMode="auto">
        <a:xfrm flipH="1">
          <a:off x="4063253" y="3868102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34742</xdr:rowOff>
    </xdr:to>
    <xdr:sp macro="" textlink="">
      <xdr:nvSpPr>
        <xdr:cNvPr id="449" name="Text Box 16"/>
        <xdr:cNvSpPr txBox="1">
          <a:spLocks noChangeArrowheads="1"/>
        </xdr:cNvSpPr>
      </xdr:nvSpPr>
      <xdr:spPr bwMode="auto">
        <a:xfrm flipH="1">
          <a:off x="4063253" y="3868102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30162</xdr:rowOff>
    </xdr:to>
    <xdr:sp macro="" textlink="">
      <xdr:nvSpPr>
        <xdr:cNvPr id="450" name="Text Box 12"/>
        <xdr:cNvSpPr txBox="1">
          <a:spLocks noChangeArrowheads="1"/>
        </xdr:cNvSpPr>
      </xdr:nvSpPr>
      <xdr:spPr bwMode="auto">
        <a:xfrm flipH="1">
          <a:off x="4063253" y="3868102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234</xdr:row>
      <xdr:rowOff>0</xdr:rowOff>
    </xdr:from>
    <xdr:to>
      <xdr:col>4</xdr:col>
      <xdr:colOff>2586878</xdr:colOff>
      <xdr:row>234</xdr:row>
      <xdr:rowOff>20664</xdr:rowOff>
    </xdr:to>
    <xdr:sp macro="" textlink="">
      <xdr:nvSpPr>
        <xdr:cNvPr id="451" name="Text Box 4"/>
        <xdr:cNvSpPr txBox="1">
          <a:spLocks noChangeArrowheads="1"/>
        </xdr:cNvSpPr>
      </xdr:nvSpPr>
      <xdr:spPr bwMode="auto">
        <a:xfrm flipH="1">
          <a:off x="4063253" y="3868102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27557</xdr:rowOff>
    </xdr:to>
    <xdr:sp macro="" textlink="">
      <xdr:nvSpPr>
        <xdr:cNvPr id="452" name="Text Box 4"/>
        <xdr:cNvSpPr txBox="1">
          <a:spLocks noChangeArrowheads="1"/>
        </xdr:cNvSpPr>
      </xdr:nvSpPr>
      <xdr:spPr bwMode="auto">
        <a:xfrm flipH="1">
          <a:off x="4063253" y="2650807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453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454" name="Text Box 14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455" name="Text Box 16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456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13044</xdr:rowOff>
    </xdr:to>
    <xdr:sp macro="" textlink="">
      <xdr:nvSpPr>
        <xdr:cNvPr id="457" name="Text Box 4"/>
        <xdr:cNvSpPr txBox="1">
          <a:spLocks noChangeArrowheads="1"/>
        </xdr:cNvSpPr>
      </xdr:nvSpPr>
      <xdr:spPr bwMode="auto">
        <a:xfrm flipH="1">
          <a:off x="4063253" y="2650807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458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459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460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461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46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463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46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46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46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46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46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46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27557</xdr:rowOff>
    </xdr:to>
    <xdr:sp macro="" textlink="">
      <xdr:nvSpPr>
        <xdr:cNvPr id="470" name="Text Box 4"/>
        <xdr:cNvSpPr txBox="1">
          <a:spLocks noChangeArrowheads="1"/>
        </xdr:cNvSpPr>
      </xdr:nvSpPr>
      <xdr:spPr bwMode="auto">
        <a:xfrm flipH="1">
          <a:off x="4295775" y="2650807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471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472" name="Text Box 14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473" name="Text Box 16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474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13044</xdr:rowOff>
    </xdr:to>
    <xdr:sp macro="" textlink="">
      <xdr:nvSpPr>
        <xdr:cNvPr id="475" name="Text Box 4"/>
        <xdr:cNvSpPr txBox="1">
          <a:spLocks noChangeArrowheads="1"/>
        </xdr:cNvSpPr>
      </xdr:nvSpPr>
      <xdr:spPr bwMode="auto">
        <a:xfrm flipH="1">
          <a:off x="4295775" y="2650807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476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477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478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479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480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481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482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483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484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485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486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487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27557</xdr:rowOff>
    </xdr:to>
    <xdr:sp macro="" textlink="">
      <xdr:nvSpPr>
        <xdr:cNvPr id="488" name="Text Box 4"/>
        <xdr:cNvSpPr txBox="1">
          <a:spLocks noChangeArrowheads="1"/>
        </xdr:cNvSpPr>
      </xdr:nvSpPr>
      <xdr:spPr bwMode="auto">
        <a:xfrm flipH="1">
          <a:off x="4063253" y="2650807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489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490" name="Text Box 14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491" name="Text Box 16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49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13044</xdr:rowOff>
    </xdr:to>
    <xdr:sp macro="" textlink="">
      <xdr:nvSpPr>
        <xdr:cNvPr id="493" name="Text Box 4"/>
        <xdr:cNvSpPr txBox="1">
          <a:spLocks noChangeArrowheads="1"/>
        </xdr:cNvSpPr>
      </xdr:nvSpPr>
      <xdr:spPr bwMode="auto">
        <a:xfrm flipH="1">
          <a:off x="4063253" y="2650807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49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49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49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49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49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49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500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501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502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503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504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505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27557</xdr:rowOff>
    </xdr:to>
    <xdr:sp macro="" textlink="">
      <xdr:nvSpPr>
        <xdr:cNvPr id="506" name="Text Box 4"/>
        <xdr:cNvSpPr txBox="1">
          <a:spLocks noChangeArrowheads="1"/>
        </xdr:cNvSpPr>
      </xdr:nvSpPr>
      <xdr:spPr bwMode="auto">
        <a:xfrm flipH="1">
          <a:off x="4295775" y="2650807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507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508" name="Text Box 14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509" name="Text Box 16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510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13044</xdr:rowOff>
    </xdr:to>
    <xdr:sp macro="" textlink="">
      <xdr:nvSpPr>
        <xdr:cNvPr id="511" name="Text Box 4"/>
        <xdr:cNvSpPr txBox="1">
          <a:spLocks noChangeArrowheads="1"/>
        </xdr:cNvSpPr>
      </xdr:nvSpPr>
      <xdr:spPr bwMode="auto">
        <a:xfrm flipH="1">
          <a:off x="4295775" y="2650807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512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513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514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515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516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517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518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519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520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521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522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523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52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52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52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52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52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52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530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531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532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533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534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535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27557</xdr:rowOff>
    </xdr:to>
    <xdr:sp macro="" textlink="">
      <xdr:nvSpPr>
        <xdr:cNvPr id="536" name="Text Box 4"/>
        <xdr:cNvSpPr txBox="1">
          <a:spLocks noChangeArrowheads="1"/>
        </xdr:cNvSpPr>
      </xdr:nvSpPr>
      <xdr:spPr bwMode="auto">
        <a:xfrm flipH="1">
          <a:off x="4063253" y="2650807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537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538" name="Text Box 14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539" name="Text Box 16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540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13044</xdr:rowOff>
    </xdr:to>
    <xdr:sp macro="" textlink="">
      <xdr:nvSpPr>
        <xdr:cNvPr id="541" name="Text Box 4"/>
        <xdr:cNvSpPr txBox="1">
          <a:spLocks noChangeArrowheads="1"/>
        </xdr:cNvSpPr>
      </xdr:nvSpPr>
      <xdr:spPr bwMode="auto">
        <a:xfrm flipH="1">
          <a:off x="4063253" y="2650807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542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543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544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545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546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547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548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549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550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551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55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553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27557</xdr:rowOff>
    </xdr:to>
    <xdr:sp macro="" textlink="">
      <xdr:nvSpPr>
        <xdr:cNvPr id="554" name="Text Box 4"/>
        <xdr:cNvSpPr txBox="1">
          <a:spLocks noChangeArrowheads="1"/>
        </xdr:cNvSpPr>
      </xdr:nvSpPr>
      <xdr:spPr bwMode="auto">
        <a:xfrm flipH="1">
          <a:off x="4295775" y="2650807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555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556" name="Text Box 14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557" name="Text Box 16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558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13044</xdr:rowOff>
    </xdr:to>
    <xdr:sp macro="" textlink="">
      <xdr:nvSpPr>
        <xdr:cNvPr id="559" name="Text Box 4"/>
        <xdr:cNvSpPr txBox="1">
          <a:spLocks noChangeArrowheads="1"/>
        </xdr:cNvSpPr>
      </xdr:nvSpPr>
      <xdr:spPr bwMode="auto">
        <a:xfrm flipH="1">
          <a:off x="4295775" y="2650807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560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561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562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563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564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565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566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567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568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569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570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571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27557</xdr:rowOff>
    </xdr:to>
    <xdr:sp macro="" textlink="">
      <xdr:nvSpPr>
        <xdr:cNvPr id="572" name="Text Box 4"/>
        <xdr:cNvSpPr txBox="1">
          <a:spLocks noChangeArrowheads="1"/>
        </xdr:cNvSpPr>
      </xdr:nvSpPr>
      <xdr:spPr bwMode="auto">
        <a:xfrm flipH="1">
          <a:off x="4063253" y="2650807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573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574" name="Text Box 14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575" name="Text Box 16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576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13044</xdr:rowOff>
    </xdr:to>
    <xdr:sp macro="" textlink="">
      <xdr:nvSpPr>
        <xdr:cNvPr id="577" name="Text Box 4"/>
        <xdr:cNvSpPr txBox="1">
          <a:spLocks noChangeArrowheads="1"/>
        </xdr:cNvSpPr>
      </xdr:nvSpPr>
      <xdr:spPr bwMode="auto">
        <a:xfrm flipH="1">
          <a:off x="4063253" y="2650807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578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579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580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581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58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583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58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58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58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58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58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58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27557</xdr:rowOff>
    </xdr:to>
    <xdr:sp macro="" textlink="">
      <xdr:nvSpPr>
        <xdr:cNvPr id="590" name="Text Box 4"/>
        <xdr:cNvSpPr txBox="1">
          <a:spLocks noChangeArrowheads="1"/>
        </xdr:cNvSpPr>
      </xdr:nvSpPr>
      <xdr:spPr bwMode="auto">
        <a:xfrm flipH="1">
          <a:off x="4295775" y="2650807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591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592" name="Text Box 14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593" name="Text Box 16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594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13044</xdr:rowOff>
    </xdr:to>
    <xdr:sp macro="" textlink="">
      <xdr:nvSpPr>
        <xdr:cNvPr id="595" name="Text Box 4"/>
        <xdr:cNvSpPr txBox="1">
          <a:spLocks noChangeArrowheads="1"/>
        </xdr:cNvSpPr>
      </xdr:nvSpPr>
      <xdr:spPr bwMode="auto">
        <a:xfrm flipH="1">
          <a:off x="4295775" y="2650807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596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597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598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599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600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601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602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603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604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605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606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607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608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609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610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611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61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613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61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61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61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61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61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61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620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621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622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623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624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625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626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627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628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629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630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631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632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633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634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635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636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637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39283</xdr:rowOff>
    </xdr:to>
    <xdr:sp macro="" textlink="">
      <xdr:nvSpPr>
        <xdr:cNvPr id="638" name="Text Box 4"/>
        <xdr:cNvSpPr txBox="1">
          <a:spLocks noChangeArrowheads="1"/>
        </xdr:cNvSpPr>
      </xdr:nvSpPr>
      <xdr:spPr bwMode="auto">
        <a:xfrm flipH="1">
          <a:off x="4295775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32725</xdr:rowOff>
    </xdr:to>
    <xdr:sp macro="" textlink="">
      <xdr:nvSpPr>
        <xdr:cNvPr id="639" name="Text Box 12"/>
        <xdr:cNvSpPr txBox="1">
          <a:spLocks noChangeArrowheads="1"/>
        </xdr:cNvSpPr>
      </xdr:nvSpPr>
      <xdr:spPr bwMode="auto">
        <a:xfrm flipH="1">
          <a:off x="4295775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80456</xdr:rowOff>
    </xdr:to>
    <xdr:sp macro="" textlink="">
      <xdr:nvSpPr>
        <xdr:cNvPr id="640" name="Text Box 4"/>
        <xdr:cNvSpPr txBox="1">
          <a:spLocks noChangeArrowheads="1"/>
        </xdr:cNvSpPr>
      </xdr:nvSpPr>
      <xdr:spPr bwMode="auto">
        <a:xfrm flipH="1">
          <a:off x="4295775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24544</xdr:rowOff>
    </xdr:to>
    <xdr:sp macro="" textlink="">
      <xdr:nvSpPr>
        <xdr:cNvPr id="641" name="Text Box 12"/>
        <xdr:cNvSpPr txBox="1">
          <a:spLocks noChangeArrowheads="1"/>
        </xdr:cNvSpPr>
      </xdr:nvSpPr>
      <xdr:spPr bwMode="auto">
        <a:xfrm flipH="1">
          <a:off x="4295775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23162</xdr:rowOff>
    </xdr:to>
    <xdr:sp macro="" textlink="">
      <xdr:nvSpPr>
        <xdr:cNvPr id="642" name="Text Box 14"/>
        <xdr:cNvSpPr txBox="1">
          <a:spLocks noChangeArrowheads="1"/>
        </xdr:cNvSpPr>
      </xdr:nvSpPr>
      <xdr:spPr bwMode="auto">
        <a:xfrm flipH="1">
          <a:off x="4295775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23161</xdr:rowOff>
    </xdr:to>
    <xdr:sp macro="" textlink="">
      <xdr:nvSpPr>
        <xdr:cNvPr id="643" name="Text Box 16"/>
        <xdr:cNvSpPr txBox="1">
          <a:spLocks noChangeArrowheads="1"/>
        </xdr:cNvSpPr>
      </xdr:nvSpPr>
      <xdr:spPr bwMode="auto">
        <a:xfrm flipH="1">
          <a:off x="4295775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80989</xdr:rowOff>
    </xdr:to>
    <xdr:sp macro="" textlink="">
      <xdr:nvSpPr>
        <xdr:cNvPr id="644" name="Text Box 12"/>
        <xdr:cNvSpPr txBox="1">
          <a:spLocks noChangeArrowheads="1"/>
        </xdr:cNvSpPr>
      </xdr:nvSpPr>
      <xdr:spPr bwMode="auto">
        <a:xfrm flipH="1">
          <a:off x="4295775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30996</xdr:rowOff>
    </xdr:to>
    <xdr:sp macro="" textlink="">
      <xdr:nvSpPr>
        <xdr:cNvPr id="645" name="Text Box 4"/>
        <xdr:cNvSpPr txBox="1">
          <a:spLocks noChangeArrowheads="1"/>
        </xdr:cNvSpPr>
      </xdr:nvSpPr>
      <xdr:spPr bwMode="auto">
        <a:xfrm flipH="1">
          <a:off x="4295775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80456</xdr:rowOff>
    </xdr:to>
    <xdr:sp macro="" textlink="">
      <xdr:nvSpPr>
        <xdr:cNvPr id="646" name="Text Box 4"/>
        <xdr:cNvSpPr txBox="1">
          <a:spLocks noChangeArrowheads="1"/>
        </xdr:cNvSpPr>
      </xdr:nvSpPr>
      <xdr:spPr bwMode="auto">
        <a:xfrm flipH="1">
          <a:off x="4295775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24544</xdr:rowOff>
    </xdr:to>
    <xdr:sp macro="" textlink="">
      <xdr:nvSpPr>
        <xdr:cNvPr id="647" name="Text Box 12"/>
        <xdr:cNvSpPr txBox="1">
          <a:spLocks noChangeArrowheads="1"/>
        </xdr:cNvSpPr>
      </xdr:nvSpPr>
      <xdr:spPr bwMode="auto">
        <a:xfrm flipH="1">
          <a:off x="4295775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23162</xdr:rowOff>
    </xdr:to>
    <xdr:sp macro="" textlink="">
      <xdr:nvSpPr>
        <xdr:cNvPr id="648" name="Text Box 14"/>
        <xdr:cNvSpPr txBox="1">
          <a:spLocks noChangeArrowheads="1"/>
        </xdr:cNvSpPr>
      </xdr:nvSpPr>
      <xdr:spPr bwMode="auto">
        <a:xfrm flipH="1">
          <a:off x="4295775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23161</xdr:rowOff>
    </xdr:to>
    <xdr:sp macro="" textlink="">
      <xdr:nvSpPr>
        <xdr:cNvPr id="649" name="Text Box 16"/>
        <xdr:cNvSpPr txBox="1">
          <a:spLocks noChangeArrowheads="1"/>
        </xdr:cNvSpPr>
      </xdr:nvSpPr>
      <xdr:spPr bwMode="auto">
        <a:xfrm flipH="1">
          <a:off x="4295775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80989</xdr:rowOff>
    </xdr:to>
    <xdr:sp macro="" textlink="">
      <xdr:nvSpPr>
        <xdr:cNvPr id="650" name="Text Box 12"/>
        <xdr:cNvSpPr txBox="1">
          <a:spLocks noChangeArrowheads="1"/>
        </xdr:cNvSpPr>
      </xdr:nvSpPr>
      <xdr:spPr bwMode="auto">
        <a:xfrm flipH="1">
          <a:off x="4295775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30996</xdr:rowOff>
    </xdr:to>
    <xdr:sp macro="" textlink="">
      <xdr:nvSpPr>
        <xdr:cNvPr id="651" name="Text Box 4"/>
        <xdr:cNvSpPr txBox="1">
          <a:spLocks noChangeArrowheads="1"/>
        </xdr:cNvSpPr>
      </xdr:nvSpPr>
      <xdr:spPr bwMode="auto">
        <a:xfrm flipH="1">
          <a:off x="4295775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652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653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654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655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656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657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658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659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660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661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662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663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664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665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666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667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668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669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39283</xdr:rowOff>
    </xdr:to>
    <xdr:sp macro="" textlink="">
      <xdr:nvSpPr>
        <xdr:cNvPr id="670" name="Text Box 4"/>
        <xdr:cNvSpPr txBox="1">
          <a:spLocks noChangeArrowheads="1"/>
        </xdr:cNvSpPr>
      </xdr:nvSpPr>
      <xdr:spPr bwMode="auto">
        <a:xfrm flipH="1">
          <a:off x="4295775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32725</xdr:rowOff>
    </xdr:to>
    <xdr:sp macro="" textlink="">
      <xdr:nvSpPr>
        <xdr:cNvPr id="671" name="Text Box 12"/>
        <xdr:cNvSpPr txBox="1">
          <a:spLocks noChangeArrowheads="1"/>
        </xdr:cNvSpPr>
      </xdr:nvSpPr>
      <xdr:spPr bwMode="auto">
        <a:xfrm flipH="1">
          <a:off x="4295775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34743</xdr:rowOff>
    </xdr:to>
    <xdr:sp macro="" textlink="">
      <xdr:nvSpPr>
        <xdr:cNvPr id="672" name="Text Box 14"/>
        <xdr:cNvSpPr txBox="1">
          <a:spLocks noChangeArrowheads="1"/>
        </xdr:cNvSpPr>
      </xdr:nvSpPr>
      <xdr:spPr bwMode="auto">
        <a:xfrm flipH="1">
          <a:off x="4295775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34742</xdr:rowOff>
    </xdr:to>
    <xdr:sp macro="" textlink="">
      <xdr:nvSpPr>
        <xdr:cNvPr id="673" name="Text Box 16"/>
        <xdr:cNvSpPr txBox="1">
          <a:spLocks noChangeArrowheads="1"/>
        </xdr:cNvSpPr>
      </xdr:nvSpPr>
      <xdr:spPr bwMode="auto">
        <a:xfrm flipH="1">
          <a:off x="4295775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30162</xdr:rowOff>
    </xdr:to>
    <xdr:sp macro="" textlink="">
      <xdr:nvSpPr>
        <xdr:cNvPr id="674" name="Text Box 12"/>
        <xdr:cNvSpPr txBox="1">
          <a:spLocks noChangeArrowheads="1"/>
        </xdr:cNvSpPr>
      </xdr:nvSpPr>
      <xdr:spPr bwMode="auto">
        <a:xfrm flipH="1">
          <a:off x="4295775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20664</xdr:rowOff>
    </xdr:to>
    <xdr:sp macro="" textlink="">
      <xdr:nvSpPr>
        <xdr:cNvPr id="675" name="Text Box 4"/>
        <xdr:cNvSpPr txBox="1">
          <a:spLocks noChangeArrowheads="1"/>
        </xdr:cNvSpPr>
      </xdr:nvSpPr>
      <xdr:spPr bwMode="auto">
        <a:xfrm flipH="1">
          <a:off x="4295775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80456</xdr:rowOff>
    </xdr:to>
    <xdr:sp macro="" textlink="">
      <xdr:nvSpPr>
        <xdr:cNvPr id="676" name="Text Box 4"/>
        <xdr:cNvSpPr txBox="1">
          <a:spLocks noChangeArrowheads="1"/>
        </xdr:cNvSpPr>
      </xdr:nvSpPr>
      <xdr:spPr bwMode="auto">
        <a:xfrm flipH="1">
          <a:off x="4295775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24544</xdr:rowOff>
    </xdr:to>
    <xdr:sp macro="" textlink="">
      <xdr:nvSpPr>
        <xdr:cNvPr id="677" name="Text Box 12"/>
        <xdr:cNvSpPr txBox="1">
          <a:spLocks noChangeArrowheads="1"/>
        </xdr:cNvSpPr>
      </xdr:nvSpPr>
      <xdr:spPr bwMode="auto">
        <a:xfrm flipH="1">
          <a:off x="4295775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23162</xdr:rowOff>
    </xdr:to>
    <xdr:sp macro="" textlink="">
      <xdr:nvSpPr>
        <xdr:cNvPr id="678" name="Text Box 14"/>
        <xdr:cNvSpPr txBox="1">
          <a:spLocks noChangeArrowheads="1"/>
        </xdr:cNvSpPr>
      </xdr:nvSpPr>
      <xdr:spPr bwMode="auto">
        <a:xfrm flipH="1">
          <a:off x="4295775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23161</xdr:rowOff>
    </xdr:to>
    <xdr:sp macro="" textlink="">
      <xdr:nvSpPr>
        <xdr:cNvPr id="679" name="Text Box 16"/>
        <xdr:cNvSpPr txBox="1">
          <a:spLocks noChangeArrowheads="1"/>
        </xdr:cNvSpPr>
      </xdr:nvSpPr>
      <xdr:spPr bwMode="auto">
        <a:xfrm flipH="1">
          <a:off x="4295775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80989</xdr:rowOff>
    </xdr:to>
    <xdr:sp macro="" textlink="">
      <xdr:nvSpPr>
        <xdr:cNvPr id="680" name="Text Box 12"/>
        <xdr:cNvSpPr txBox="1">
          <a:spLocks noChangeArrowheads="1"/>
        </xdr:cNvSpPr>
      </xdr:nvSpPr>
      <xdr:spPr bwMode="auto">
        <a:xfrm flipH="1">
          <a:off x="4295775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30996</xdr:rowOff>
    </xdr:to>
    <xdr:sp macro="" textlink="">
      <xdr:nvSpPr>
        <xdr:cNvPr id="681" name="Text Box 4"/>
        <xdr:cNvSpPr txBox="1">
          <a:spLocks noChangeArrowheads="1"/>
        </xdr:cNvSpPr>
      </xdr:nvSpPr>
      <xdr:spPr bwMode="auto">
        <a:xfrm flipH="1">
          <a:off x="4295775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80456</xdr:rowOff>
    </xdr:to>
    <xdr:sp macro="" textlink="">
      <xdr:nvSpPr>
        <xdr:cNvPr id="682" name="Text Box 4"/>
        <xdr:cNvSpPr txBox="1">
          <a:spLocks noChangeArrowheads="1"/>
        </xdr:cNvSpPr>
      </xdr:nvSpPr>
      <xdr:spPr bwMode="auto">
        <a:xfrm flipH="1">
          <a:off x="4295775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24544</xdr:rowOff>
    </xdr:to>
    <xdr:sp macro="" textlink="">
      <xdr:nvSpPr>
        <xdr:cNvPr id="683" name="Text Box 12"/>
        <xdr:cNvSpPr txBox="1">
          <a:spLocks noChangeArrowheads="1"/>
        </xdr:cNvSpPr>
      </xdr:nvSpPr>
      <xdr:spPr bwMode="auto">
        <a:xfrm flipH="1">
          <a:off x="4295775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23162</xdr:rowOff>
    </xdr:to>
    <xdr:sp macro="" textlink="">
      <xdr:nvSpPr>
        <xdr:cNvPr id="684" name="Text Box 14"/>
        <xdr:cNvSpPr txBox="1">
          <a:spLocks noChangeArrowheads="1"/>
        </xdr:cNvSpPr>
      </xdr:nvSpPr>
      <xdr:spPr bwMode="auto">
        <a:xfrm flipH="1">
          <a:off x="4295775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23161</xdr:rowOff>
    </xdr:to>
    <xdr:sp macro="" textlink="">
      <xdr:nvSpPr>
        <xdr:cNvPr id="685" name="Text Box 16"/>
        <xdr:cNvSpPr txBox="1">
          <a:spLocks noChangeArrowheads="1"/>
        </xdr:cNvSpPr>
      </xdr:nvSpPr>
      <xdr:spPr bwMode="auto">
        <a:xfrm flipH="1">
          <a:off x="4295775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80989</xdr:rowOff>
    </xdr:to>
    <xdr:sp macro="" textlink="">
      <xdr:nvSpPr>
        <xdr:cNvPr id="686" name="Text Box 12"/>
        <xdr:cNvSpPr txBox="1">
          <a:spLocks noChangeArrowheads="1"/>
        </xdr:cNvSpPr>
      </xdr:nvSpPr>
      <xdr:spPr bwMode="auto">
        <a:xfrm flipH="1">
          <a:off x="4295775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30996</xdr:rowOff>
    </xdr:to>
    <xdr:sp macro="" textlink="">
      <xdr:nvSpPr>
        <xdr:cNvPr id="687" name="Text Box 4"/>
        <xdr:cNvSpPr txBox="1">
          <a:spLocks noChangeArrowheads="1"/>
        </xdr:cNvSpPr>
      </xdr:nvSpPr>
      <xdr:spPr bwMode="auto">
        <a:xfrm flipH="1">
          <a:off x="4295775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688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689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690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691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692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693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694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695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696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697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698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699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700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701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702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703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704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705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0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0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0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0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1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1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1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1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1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1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1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1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1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1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2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2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2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2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24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25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26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27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28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29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730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731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732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733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734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735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3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3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3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3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4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4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4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4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4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4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4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4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4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4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5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5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5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5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54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55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56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57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58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59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760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761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762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763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764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765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6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6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6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6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7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7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7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7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7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7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7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7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7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7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8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8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8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8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84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85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86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87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88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789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790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791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792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793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794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795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796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797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798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799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800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801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802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803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804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805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806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807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0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0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1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1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1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1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14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15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16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17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18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19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20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21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22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23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24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25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2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2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2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2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3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3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3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3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3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3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3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3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3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3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4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4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4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4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44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45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46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47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48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49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50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51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52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53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54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55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5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5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5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5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6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6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6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6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6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6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6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6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6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6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7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7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7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7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74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75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76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77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78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879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880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881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882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883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884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885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886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887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888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889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890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891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892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893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894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895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896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897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27557</xdr:rowOff>
    </xdr:to>
    <xdr:sp macro="" textlink="">
      <xdr:nvSpPr>
        <xdr:cNvPr id="898" name="Text Box 4"/>
        <xdr:cNvSpPr txBox="1">
          <a:spLocks noChangeArrowheads="1"/>
        </xdr:cNvSpPr>
      </xdr:nvSpPr>
      <xdr:spPr bwMode="auto">
        <a:xfrm flipH="1">
          <a:off x="4063253" y="2650807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899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00" name="Text Box 14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01" name="Text Box 16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0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13044</xdr:rowOff>
    </xdr:to>
    <xdr:sp macro="" textlink="">
      <xdr:nvSpPr>
        <xdr:cNvPr id="903" name="Text Box 4"/>
        <xdr:cNvSpPr txBox="1">
          <a:spLocks noChangeArrowheads="1"/>
        </xdr:cNvSpPr>
      </xdr:nvSpPr>
      <xdr:spPr bwMode="auto">
        <a:xfrm flipH="1">
          <a:off x="4063253" y="2650807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90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90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90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90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0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90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910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911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912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913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14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915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27557</xdr:rowOff>
    </xdr:to>
    <xdr:sp macro="" textlink="">
      <xdr:nvSpPr>
        <xdr:cNvPr id="916" name="Text Box 4"/>
        <xdr:cNvSpPr txBox="1">
          <a:spLocks noChangeArrowheads="1"/>
        </xdr:cNvSpPr>
      </xdr:nvSpPr>
      <xdr:spPr bwMode="auto">
        <a:xfrm flipH="1">
          <a:off x="4295775" y="2650807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917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918" name="Text Box 14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919" name="Text Box 16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920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13044</xdr:rowOff>
    </xdr:to>
    <xdr:sp macro="" textlink="">
      <xdr:nvSpPr>
        <xdr:cNvPr id="921" name="Text Box 4"/>
        <xdr:cNvSpPr txBox="1">
          <a:spLocks noChangeArrowheads="1"/>
        </xdr:cNvSpPr>
      </xdr:nvSpPr>
      <xdr:spPr bwMode="auto">
        <a:xfrm flipH="1">
          <a:off x="4295775" y="2650807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922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923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924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925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926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927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928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929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930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931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932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933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27557</xdr:rowOff>
    </xdr:to>
    <xdr:sp macro="" textlink="">
      <xdr:nvSpPr>
        <xdr:cNvPr id="934" name="Text Box 4"/>
        <xdr:cNvSpPr txBox="1">
          <a:spLocks noChangeArrowheads="1"/>
        </xdr:cNvSpPr>
      </xdr:nvSpPr>
      <xdr:spPr bwMode="auto">
        <a:xfrm flipH="1">
          <a:off x="4063253" y="2650807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35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36" name="Text Box 14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37" name="Text Box 16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3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13044</xdr:rowOff>
    </xdr:to>
    <xdr:sp macro="" textlink="">
      <xdr:nvSpPr>
        <xdr:cNvPr id="939" name="Text Box 4"/>
        <xdr:cNvSpPr txBox="1">
          <a:spLocks noChangeArrowheads="1"/>
        </xdr:cNvSpPr>
      </xdr:nvSpPr>
      <xdr:spPr bwMode="auto">
        <a:xfrm flipH="1">
          <a:off x="4063253" y="2650807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940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941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942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943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44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945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946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947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948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949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50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951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27557</xdr:rowOff>
    </xdr:to>
    <xdr:sp macro="" textlink="">
      <xdr:nvSpPr>
        <xdr:cNvPr id="952" name="Text Box 4"/>
        <xdr:cNvSpPr txBox="1">
          <a:spLocks noChangeArrowheads="1"/>
        </xdr:cNvSpPr>
      </xdr:nvSpPr>
      <xdr:spPr bwMode="auto">
        <a:xfrm flipH="1">
          <a:off x="4295775" y="2650807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953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954" name="Text Box 14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955" name="Text Box 16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956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13044</xdr:rowOff>
    </xdr:to>
    <xdr:sp macro="" textlink="">
      <xdr:nvSpPr>
        <xdr:cNvPr id="957" name="Text Box 4"/>
        <xdr:cNvSpPr txBox="1">
          <a:spLocks noChangeArrowheads="1"/>
        </xdr:cNvSpPr>
      </xdr:nvSpPr>
      <xdr:spPr bwMode="auto">
        <a:xfrm flipH="1">
          <a:off x="4295775" y="2650807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958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959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960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961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962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963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964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965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966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967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968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969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970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971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972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973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74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975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976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977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978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979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80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981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27557</xdr:rowOff>
    </xdr:to>
    <xdr:sp macro="" textlink="">
      <xdr:nvSpPr>
        <xdr:cNvPr id="982" name="Text Box 4"/>
        <xdr:cNvSpPr txBox="1">
          <a:spLocks noChangeArrowheads="1"/>
        </xdr:cNvSpPr>
      </xdr:nvSpPr>
      <xdr:spPr bwMode="auto">
        <a:xfrm flipH="1">
          <a:off x="4063253" y="2650807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83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84" name="Text Box 14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85" name="Text Box 16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86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13044</xdr:rowOff>
    </xdr:to>
    <xdr:sp macro="" textlink="">
      <xdr:nvSpPr>
        <xdr:cNvPr id="987" name="Text Box 4"/>
        <xdr:cNvSpPr txBox="1">
          <a:spLocks noChangeArrowheads="1"/>
        </xdr:cNvSpPr>
      </xdr:nvSpPr>
      <xdr:spPr bwMode="auto">
        <a:xfrm flipH="1">
          <a:off x="4063253" y="2650807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988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989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990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991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9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993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99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99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99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99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99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99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27557</xdr:rowOff>
    </xdr:to>
    <xdr:sp macro="" textlink="">
      <xdr:nvSpPr>
        <xdr:cNvPr id="1000" name="Text Box 4"/>
        <xdr:cNvSpPr txBox="1">
          <a:spLocks noChangeArrowheads="1"/>
        </xdr:cNvSpPr>
      </xdr:nvSpPr>
      <xdr:spPr bwMode="auto">
        <a:xfrm flipH="1">
          <a:off x="4295775" y="2650807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001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002" name="Text Box 14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003" name="Text Box 16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004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13044</xdr:rowOff>
    </xdr:to>
    <xdr:sp macro="" textlink="">
      <xdr:nvSpPr>
        <xdr:cNvPr id="1005" name="Text Box 4"/>
        <xdr:cNvSpPr txBox="1">
          <a:spLocks noChangeArrowheads="1"/>
        </xdr:cNvSpPr>
      </xdr:nvSpPr>
      <xdr:spPr bwMode="auto">
        <a:xfrm flipH="1">
          <a:off x="4295775" y="2650807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006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007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008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009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010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011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012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013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014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015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016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017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27557</xdr:rowOff>
    </xdr:to>
    <xdr:sp macro="" textlink="">
      <xdr:nvSpPr>
        <xdr:cNvPr id="1018" name="Text Box 4"/>
        <xdr:cNvSpPr txBox="1">
          <a:spLocks noChangeArrowheads="1"/>
        </xdr:cNvSpPr>
      </xdr:nvSpPr>
      <xdr:spPr bwMode="auto">
        <a:xfrm flipH="1">
          <a:off x="4063253" y="2650807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019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020" name="Text Box 14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021" name="Text Box 16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02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13044</xdr:rowOff>
    </xdr:to>
    <xdr:sp macro="" textlink="">
      <xdr:nvSpPr>
        <xdr:cNvPr id="1023" name="Text Box 4"/>
        <xdr:cNvSpPr txBox="1">
          <a:spLocks noChangeArrowheads="1"/>
        </xdr:cNvSpPr>
      </xdr:nvSpPr>
      <xdr:spPr bwMode="auto">
        <a:xfrm flipH="1">
          <a:off x="4063253" y="2650807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02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02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02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02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02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02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030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031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032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033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034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035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27557</xdr:rowOff>
    </xdr:to>
    <xdr:sp macro="" textlink="">
      <xdr:nvSpPr>
        <xdr:cNvPr id="1036" name="Text Box 4"/>
        <xdr:cNvSpPr txBox="1">
          <a:spLocks noChangeArrowheads="1"/>
        </xdr:cNvSpPr>
      </xdr:nvSpPr>
      <xdr:spPr bwMode="auto">
        <a:xfrm flipH="1">
          <a:off x="4295775" y="2650807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037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038" name="Text Box 14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039" name="Text Box 16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040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13044</xdr:rowOff>
    </xdr:to>
    <xdr:sp macro="" textlink="">
      <xdr:nvSpPr>
        <xdr:cNvPr id="1041" name="Text Box 4"/>
        <xdr:cNvSpPr txBox="1">
          <a:spLocks noChangeArrowheads="1"/>
        </xdr:cNvSpPr>
      </xdr:nvSpPr>
      <xdr:spPr bwMode="auto">
        <a:xfrm flipH="1">
          <a:off x="4295775" y="2650807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042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043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044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045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046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047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048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049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050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051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052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053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05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05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05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05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05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05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060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061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062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063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064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065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066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067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068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069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070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071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1072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1073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1074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1075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1076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1077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1078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1079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1080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1081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1082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1083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39283</xdr:rowOff>
    </xdr:to>
    <xdr:sp macro="" textlink="">
      <xdr:nvSpPr>
        <xdr:cNvPr id="1084" name="Text Box 4"/>
        <xdr:cNvSpPr txBox="1">
          <a:spLocks noChangeArrowheads="1"/>
        </xdr:cNvSpPr>
      </xdr:nvSpPr>
      <xdr:spPr bwMode="auto">
        <a:xfrm flipH="1">
          <a:off x="4295775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32725</xdr:rowOff>
    </xdr:to>
    <xdr:sp macro="" textlink="">
      <xdr:nvSpPr>
        <xdr:cNvPr id="1085" name="Text Box 12"/>
        <xdr:cNvSpPr txBox="1">
          <a:spLocks noChangeArrowheads="1"/>
        </xdr:cNvSpPr>
      </xdr:nvSpPr>
      <xdr:spPr bwMode="auto">
        <a:xfrm flipH="1">
          <a:off x="4295775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34743</xdr:rowOff>
    </xdr:to>
    <xdr:sp macro="" textlink="">
      <xdr:nvSpPr>
        <xdr:cNvPr id="1086" name="Text Box 14"/>
        <xdr:cNvSpPr txBox="1">
          <a:spLocks noChangeArrowheads="1"/>
        </xdr:cNvSpPr>
      </xdr:nvSpPr>
      <xdr:spPr bwMode="auto">
        <a:xfrm flipH="1">
          <a:off x="4295775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34742</xdr:rowOff>
    </xdr:to>
    <xdr:sp macro="" textlink="">
      <xdr:nvSpPr>
        <xdr:cNvPr id="1087" name="Text Box 16"/>
        <xdr:cNvSpPr txBox="1">
          <a:spLocks noChangeArrowheads="1"/>
        </xdr:cNvSpPr>
      </xdr:nvSpPr>
      <xdr:spPr bwMode="auto">
        <a:xfrm flipH="1">
          <a:off x="4295775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30162</xdr:rowOff>
    </xdr:to>
    <xdr:sp macro="" textlink="">
      <xdr:nvSpPr>
        <xdr:cNvPr id="1088" name="Text Box 12"/>
        <xdr:cNvSpPr txBox="1">
          <a:spLocks noChangeArrowheads="1"/>
        </xdr:cNvSpPr>
      </xdr:nvSpPr>
      <xdr:spPr bwMode="auto">
        <a:xfrm flipH="1">
          <a:off x="4295775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20664</xdr:rowOff>
    </xdr:to>
    <xdr:sp macro="" textlink="">
      <xdr:nvSpPr>
        <xdr:cNvPr id="1089" name="Text Box 4"/>
        <xdr:cNvSpPr txBox="1">
          <a:spLocks noChangeArrowheads="1"/>
        </xdr:cNvSpPr>
      </xdr:nvSpPr>
      <xdr:spPr bwMode="auto">
        <a:xfrm flipH="1">
          <a:off x="4295775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80456</xdr:rowOff>
    </xdr:to>
    <xdr:sp macro="" textlink="">
      <xdr:nvSpPr>
        <xdr:cNvPr id="1090" name="Text Box 4"/>
        <xdr:cNvSpPr txBox="1">
          <a:spLocks noChangeArrowheads="1"/>
        </xdr:cNvSpPr>
      </xdr:nvSpPr>
      <xdr:spPr bwMode="auto">
        <a:xfrm flipH="1">
          <a:off x="4295775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24544</xdr:rowOff>
    </xdr:to>
    <xdr:sp macro="" textlink="">
      <xdr:nvSpPr>
        <xdr:cNvPr id="1091" name="Text Box 12"/>
        <xdr:cNvSpPr txBox="1">
          <a:spLocks noChangeArrowheads="1"/>
        </xdr:cNvSpPr>
      </xdr:nvSpPr>
      <xdr:spPr bwMode="auto">
        <a:xfrm flipH="1">
          <a:off x="4295775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23162</xdr:rowOff>
    </xdr:to>
    <xdr:sp macro="" textlink="">
      <xdr:nvSpPr>
        <xdr:cNvPr id="1092" name="Text Box 14"/>
        <xdr:cNvSpPr txBox="1">
          <a:spLocks noChangeArrowheads="1"/>
        </xdr:cNvSpPr>
      </xdr:nvSpPr>
      <xdr:spPr bwMode="auto">
        <a:xfrm flipH="1">
          <a:off x="4295775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23161</xdr:rowOff>
    </xdr:to>
    <xdr:sp macro="" textlink="">
      <xdr:nvSpPr>
        <xdr:cNvPr id="1093" name="Text Box 16"/>
        <xdr:cNvSpPr txBox="1">
          <a:spLocks noChangeArrowheads="1"/>
        </xdr:cNvSpPr>
      </xdr:nvSpPr>
      <xdr:spPr bwMode="auto">
        <a:xfrm flipH="1">
          <a:off x="4295775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80989</xdr:rowOff>
    </xdr:to>
    <xdr:sp macro="" textlink="">
      <xdr:nvSpPr>
        <xdr:cNvPr id="1094" name="Text Box 12"/>
        <xdr:cNvSpPr txBox="1">
          <a:spLocks noChangeArrowheads="1"/>
        </xdr:cNvSpPr>
      </xdr:nvSpPr>
      <xdr:spPr bwMode="auto">
        <a:xfrm flipH="1">
          <a:off x="4295775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30996</xdr:rowOff>
    </xdr:to>
    <xdr:sp macro="" textlink="">
      <xdr:nvSpPr>
        <xdr:cNvPr id="1095" name="Text Box 4"/>
        <xdr:cNvSpPr txBox="1">
          <a:spLocks noChangeArrowheads="1"/>
        </xdr:cNvSpPr>
      </xdr:nvSpPr>
      <xdr:spPr bwMode="auto">
        <a:xfrm flipH="1">
          <a:off x="4295775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80456</xdr:rowOff>
    </xdr:to>
    <xdr:sp macro="" textlink="">
      <xdr:nvSpPr>
        <xdr:cNvPr id="1096" name="Text Box 4"/>
        <xdr:cNvSpPr txBox="1">
          <a:spLocks noChangeArrowheads="1"/>
        </xdr:cNvSpPr>
      </xdr:nvSpPr>
      <xdr:spPr bwMode="auto">
        <a:xfrm flipH="1">
          <a:off x="4295775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24544</xdr:rowOff>
    </xdr:to>
    <xdr:sp macro="" textlink="">
      <xdr:nvSpPr>
        <xdr:cNvPr id="1097" name="Text Box 12"/>
        <xdr:cNvSpPr txBox="1">
          <a:spLocks noChangeArrowheads="1"/>
        </xdr:cNvSpPr>
      </xdr:nvSpPr>
      <xdr:spPr bwMode="auto">
        <a:xfrm flipH="1">
          <a:off x="4295775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23162</xdr:rowOff>
    </xdr:to>
    <xdr:sp macro="" textlink="">
      <xdr:nvSpPr>
        <xdr:cNvPr id="1098" name="Text Box 14"/>
        <xdr:cNvSpPr txBox="1">
          <a:spLocks noChangeArrowheads="1"/>
        </xdr:cNvSpPr>
      </xdr:nvSpPr>
      <xdr:spPr bwMode="auto">
        <a:xfrm flipH="1">
          <a:off x="4295775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23161</xdr:rowOff>
    </xdr:to>
    <xdr:sp macro="" textlink="">
      <xdr:nvSpPr>
        <xdr:cNvPr id="1099" name="Text Box 16"/>
        <xdr:cNvSpPr txBox="1">
          <a:spLocks noChangeArrowheads="1"/>
        </xdr:cNvSpPr>
      </xdr:nvSpPr>
      <xdr:spPr bwMode="auto">
        <a:xfrm flipH="1">
          <a:off x="4295775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80989</xdr:rowOff>
    </xdr:to>
    <xdr:sp macro="" textlink="">
      <xdr:nvSpPr>
        <xdr:cNvPr id="1100" name="Text Box 12"/>
        <xdr:cNvSpPr txBox="1">
          <a:spLocks noChangeArrowheads="1"/>
        </xdr:cNvSpPr>
      </xdr:nvSpPr>
      <xdr:spPr bwMode="auto">
        <a:xfrm flipH="1">
          <a:off x="4295775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30996</xdr:rowOff>
    </xdr:to>
    <xdr:sp macro="" textlink="">
      <xdr:nvSpPr>
        <xdr:cNvPr id="1101" name="Text Box 4"/>
        <xdr:cNvSpPr txBox="1">
          <a:spLocks noChangeArrowheads="1"/>
        </xdr:cNvSpPr>
      </xdr:nvSpPr>
      <xdr:spPr bwMode="auto">
        <a:xfrm flipH="1">
          <a:off x="4295775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102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103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104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105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106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107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1108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1109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1110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1111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1112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1113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1114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1115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1116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1117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1118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1119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39283</xdr:rowOff>
    </xdr:to>
    <xdr:sp macro="" textlink="">
      <xdr:nvSpPr>
        <xdr:cNvPr id="1120" name="Text Box 4"/>
        <xdr:cNvSpPr txBox="1">
          <a:spLocks noChangeArrowheads="1"/>
        </xdr:cNvSpPr>
      </xdr:nvSpPr>
      <xdr:spPr bwMode="auto">
        <a:xfrm flipH="1">
          <a:off x="4295775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32725</xdr:rowOff>
    </xdr:to>
    <xdr:sp macro="" textlink="">
      <xdr:nvSpPr>
        <xdr:cNvPr id="1121" name="Text Box 12"/>
        <xdr:cNvSpPr txBox="1">
          <a:spLocks noChangeArrowheads="1"/>
        </xdr:cNvSpPr>
      </xdr:nvSpPr>
      <xdr:spPr bwMode="auto">
        <a:xfrm flipH="1">
          <a:off x="4295775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34743</xdr:rowOff>
    </xdr:to>
    <xdr:sp macro="" textlink="">
      <xdr:nvSpPr>
        <xdr:cNvPr id="1122" name="Text Box 14"/>
        <xdr:cNvSpPr txBox="1">
          <a:spLocks noChangeArrowheads="1"/>
        </xdr:cNvSpPr>
      </xdr:nvSpPr>
      <xdr:spPr bwMode="auto">
        <a:xfrm flipH="1">
          <a:off x="4295775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34742</xdr:rowOff>
    </xdr:to>
    <xdr:sp macro="" textlink="">
      <xdr:nvSpPr>
        <xdr:cNvPr id="1123" name="Text Box 16"/>
        <xdr:cNvSpPr txBox="1">
          <a:spLocks noChangeArrowheads="1"/>
        </xdr:cNvSpPr>
      </xdr:nvSpPr>
      <xdr:spPr bwMode="auto">
        <a:xfrm flipH="1">
          <a:off x="4295775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30162</xdr:rowOff>
    </xdr:to>
    <xdr:sp macro="" textlink="">
      <xdr:nvSpPr>
        <xdr:cNvPr id="1124" name="Text Box 12"/>
        <xdr:cNvSpPr txBox="1">
          <a:spLocks noChangeArrowheads="1"/>
        </xdr:cNvSpPr>
      </xdr:nvSpPr>
      <xdr:spPr bwMode="auto">
        <a:xfrm flipH="1">
          <a:off x="4295775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20664</xdr:rowOff>
    </xdr:to>
    <xdr:sp macro="" textlink="">
      <xdr:nvSpPr>
        <xdr:cNvPr id="1125" name="Text Box 4"/>
        <xdr:cNvSpPr txBox="1">
          <a:spLocks noChangeArrowheads="1"/>
        </xdr:cNvSpPr>
      </xdr:nvSpPr>
      <xdr:spPr bwMode="auto">
        <a:xfrm flipH="1">
          <a:off x="4295775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80456</xdr:rowOff>
    </xdr:to>
    <xdr:sp macro="" textlink="">
      <xdr:nvSpPr>
        <xdr:cNvPr id="1126" name="Text Box 4"/>
        <xdr:cNvSpPr txBox="1">
          <a:spLocks noChangeArrowheads="1"/>
        </xdr:cNvSpPr>
      </xdr:nvSpPr>
      <xdr:spPr bwMode="auto">
        <a:xfrm flipH="1">
          <a:off x="4295775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24544</xdr:rowOff>
    </xdr:to>
    <xdr:sp macro="" textlink="">
      <xdr:nvSpPr>
        <xdr:cNvPr id="1127" name="Text Box 12"/>
        <xdr:cNvSpPr txBox="1">
          <a:spLocks noChangeArrowheads="1"/>
        </xdr:cNvSpPr>
      </xdr:nvSpPr>
      <xdr:spPr bwMode="auto">
        <a:xfrm flipH="1">
          <a:off x="4295775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23162</xdr:rowOff>
    </xdr:to>
    <xdr:sp macro="" textlink="">
      <xdr:nvSpPr>
        <xdr:cNvPr id="1128" name="Text Box 14"/>
        <xdr:cNvSpPr txBox="1">
          <a:spLocks noChangeArrowheads="1"/>
        </xdr:cNvSpPr>
      </xdr:nvSpPr>
      <xdr:spPr bwMode="auto">
        <a:xfrm flipH="1">
          <a:off x="4295775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23161</xdr:rowOff>
    </xdr:to>
    <xdr:sp macro="" textlink="">
      <xdr:nvSpPr>
        <xdr:cNvPr id="1129" name="Text Box 16"/>
        <xdr:cNvSpPr txBox="1">
          <a:spLocks noChangeArrowheads="1"/>
        </xdr:cNvSpPr>
      </xdr:nvSpPr>
      <xdr:spPr bwMode="auto">
        <a:xfrm flipH="1">
          <a:off x="4295775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80989</xdr:rowOff>
    </xdr:to>
    <xdr:sp macro="" textlink="">
      <xdr:nvSpPr>
        <xdr:cNvPr id="1130" name="Text Box 12"/>
        <xdr:cNvSpPr txBox="1">
          <a:spLocks noChangeArrowheads="1"/>
        </xdr:cNvSpPr>
      </xdr:nvSpPr>
      <xdr:spPr bwMode="auto">
        <a:xfrm flipH="1">
          <a:off x="4295775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30996</xdr:rowOff>
    </xdr:to>
    <xdr:sp macro="" textlink="">
      <xdr:nvSpPr>
        <xdr:cNvPr id="1131" name="Text Box 4"/>
        <xdr:cNvSpPr txBox="1">
          <a:spLocks noChangeArrowheads="1"/>
        </xdr:cNvSpPr>
      </xdr:nvSpPr>
      <xdr:spPr bwMode="auto">
        <a:xfrm flipH="1">
          <a:off x="4295775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80456</xdr:rowOff>
    </xdr:to>
    <xdr:sp macro="" textlink="">
      <xdr:nvSpPr>
        <xdr:cNvPr id="1132" name="Text Box 4"/>
        <xdr:cNvSpPr txBox="1">
          <a:spLocks noChangeArrowheads="1"/>
        </xdr:cNvSpPr>
      </xdr:nvSpPr>
      <xdr:spPr bwMode="auto">
        <a:xfrm flipH="1">
          <a:off x="4295775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24544</xdr:rowOff>
    </xdr:to>
    <xdr:sp macro="" textlink="">
      <xdr:nvSpPr>
        <xdr:cNvPr id="1133" name="Text Box 12"/>
        <xdr:cNvSpPr txBox="1">
          <a:spLocks noChangeArrowheads="1"/>
        </xdr:cNvSpPr>
      </xdr:nvSpPr>
      <xdr:spPr bwMode="auto">
        <a:xfrm flipH="1">
          <a:off x="4295775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23162</xdr:rowOff>
    </xdr:to>
    <xdr:sp macro="" textlink="">
      <xdr:nvSpPr>
        <xdr:cNvPr id="1134" name="Text Box 14"/>
        <xdr:cNvSpPr txBox="1">
          <a:spLocks noChangeArrowheads="1"/>
        </xdr:cNvSpPr>
      </xdr:nvSpPr>
      <xdr:spPr bwMode="auto">
        <a:xfrm flipH="1">
          <a:off x="4295775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23161</xdr:rowOff>
    </xdr:to>
    <xdr:sp macro="" textlink="">
      <xdr:nvSpPr>
        <xdr:cNvPr id="1135" name="Text Box 16"/>
        <xdr:cNvSpPr txBox="1">
          <a:spLocks noChangeArrowheads="1"/>
        </xdr:cNvSpPr>
      </xdr:nvSpPr>
      <xdr:spPr bwMode="auto">
        <a:xfrm flipH="1">
          <a:off x="4295775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80989</xdr:rowOff>
    </xdr:to>
    <xdr:sp macro="" textlink="">
      <xdr:nvSpPr>
        <xdr:cNvPr id="1136" name="Text Box 12"/>
        <xdr:cNvSpPr txBox="1">
          <a:spLocks noChangeArrowheads="1"/>
        </xdr:cNvSpPr>
      </xdr:nvSpPr>
      <xdr:spPr bwMode="auto">
        <a:xfrm flipH="1">
          <a:off x="4295775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30996</xdr:rowOff>
    </xdr:to>
    <xdr:sp macro="" textlink="">
      <xdr:nvSpPr>
        <xdr:cNvPr id="1137" name="Text Box 4"/>
        <xdr:cNvSpPr txBox="1">
          <a:spLocks noChangeArrowheads="1"/>
        </xdr:cNvSpPr>
      </xdr:nvSpPr>
      <xdr:spPr bwMode="auto">
        <a:xfrm flipH="1">
          <a:off x="4295775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1138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1139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1140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1141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1142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1143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1144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1145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1146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1147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1148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1149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150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151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152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153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154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155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5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5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5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5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6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6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6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6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6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6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6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6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6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6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7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7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7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7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74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75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76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77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78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79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180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181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182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183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184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185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8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8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8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8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9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9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9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9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9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9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9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9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9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19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0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0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0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0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04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05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06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07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08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09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210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211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212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213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214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215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1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1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1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1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2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2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2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2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2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2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2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2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2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2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3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3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3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3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234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235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236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237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238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239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240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241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242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243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244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245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246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247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248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249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250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251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5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5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5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5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5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5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5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5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6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6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6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6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64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65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66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67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68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69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70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71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72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73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74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75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7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7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7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7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8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8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8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8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8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8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8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8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8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8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9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9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9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9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94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95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96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97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98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299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00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01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02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03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04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05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0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0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0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0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1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1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1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1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1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1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1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1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1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1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2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2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2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32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324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325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326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327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328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329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330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331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332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333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334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335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336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337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338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339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340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341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27557</xdr:rowOff>
    </xdr:to>
    <xdr:sp macro="" textlink="">
      <xdr:nvSpPr>
        <xdr:cNvPr id="1342" name="Text Box 4"/>
        <xdr:cNvSpPr txBox="1">
          <a:spLocks noChangeArrowheads="1"/>
        </xdr:cNvSpPr>
      </xdr:nvSpPr>
      <xdr:spPr bwMode="auto">
        <a:xfrm flipH="1">
          <a:off x="4063253" y="2650807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343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344" name="Text Box 14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345" name="Text Box 16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346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13044</xdr:rowOff>
    </xdr:to>
    <xdr:sp macro="" textlink="">
      <xdr:nvSpPr>
        <xdr:cNvPr id="1347" name="Text Box 4"/>
        <xdr:cNvSpPr txBox="1">
          <a:spLocks noChangeArrowheads="1"/>
        </xdr:cNvSpPr>
      </xdr:nvSpPr>
      <xdr:spPr bwMode="auto">
        <a:xfrm flipH="1">
          <a:off x="4063253" y="2650807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348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349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350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351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35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353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35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35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35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35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35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35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27557</xdr:rowOff>
    </xdr:to>
    <xdr:sp macro="" textlink="">
      <xdr:nvSpPr>
        <xdr:cNvPr id="1360" name="Text Box 4"/>
        <xdr:cNvSpPr txBox="1">
          <a:spLocks noChangeArrowheads="1"/>
        </xdr:cNvSpPr>
      </xdr:nvSpPr>
      <xdr:spPr bwMode="auto">
        <a:xfrm flipH="1">
          <a:off x="4295775" y="2650807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361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362" name="Text Box 14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363" name="Text Box 16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364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13044</xdr:rowOff>
    </xdr:to>
    <xdr:sp macro="" textlink="">
      <xdr:nvSpPr>
        <xdr:cNvPr id="1365" name="Text Box 4"/>
        <xdr:cNvSpPr txBox="1">
          <a:spLocks noChangeArrowheads="1"/>
        </xdr:cNvSpPr>
      </xdr:nvSpPr>
      <xdr:spPr bwMode="auto">
        <a:xfrm flipH="1">
          <a:off x="4295775" y="2650807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366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367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368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369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370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371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372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373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374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375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376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377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27557</xdr:rowOff>
    </xdr:to>
    <xdr:sp macro="" textlink="">
      <xdr:nvSpPr>
        <xdr:cNvPr id="1378" name="Text Box 4"/>
        <xdr:cNvSpPr txBox="1">
          <a:spLocks noChangeArrowheads="1"/>
        </xdr:cNvSpPr>
      </xdr:nvSpPr>
      <xdr:spPr bwMode="auto">
        <a:xfrm flipH="1">
          <a:off x="4063253" y="2650807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379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380" name="Text Box 14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381" name="Text Box 16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38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13044</xdr:rowOff>
    </xdr:to>
    <xdr:sp macro="" textlink="">
      <xdr:nvSpPr>
        <xdr:cNvPr id="1383" name="Text Box 4"/>
        <xdr:cNvSpPr txBox="1">
          <a:spLocks noChangeArrowheads="1"/>
        </xdr:cNvSpPr>
      </xdr:nvSpPr>
      <xdr:spPr bwMode="auto">
        <a:xfrm flipH="1">
          <a:off x="4063253" y="2650807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38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38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38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38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38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38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390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391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392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393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394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395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27557</xdr:rowOff>
    </xdr:to>
    <xdr:sp macro="" textlink="">
      <xdr:nvSpPr>
        <xdr:cNvPr id="1396" name="Text Box 4"/>
        <xdr:cNvSpPr txBox="1">
          <a:spLocks noChangeArrowheads="1"/>
        </xdr:cNvSpPr>
      </xdr:nvSpPr>
      <xdr:spPr bwMode="auto">
        <a:xfrm flipH="1">
          <a:off x="4295775" y="2650807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397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398" name="Text Box 14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399" name="Text Box 16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400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13044</xdr:rowOff>
    </xdr:to>
    <xdr:sp macro="" textlink="">
      <xdr:nvSpPr>
        <xdr:cNvPr id="1401" name="Text Box 4"/>
        <xdr:cNvSpPr txBox="1">
          <a:spLocks noChangeArrowheads="1"/>
        </xdr:cNvSpPr>
      </xdr:nvSpPr>
      <xdr:spPr bwMode="auto">
        <a:xfrm flipH="1">
          <a:off x="4295775" y="2650807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402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403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404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405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406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407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408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409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410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411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412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413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41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41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41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41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41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41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420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421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422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423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424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425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27557</xdr:rowOff>
    </xdr:to>
    <xdr:sp macro="" textlink="">
      <xdr:nvSpPr>
        <xdr:cNvPr id="1426" name="Text Box 4"/>
        <xdr:cNvSpPr txBox="1">
          <a:spLocks noChangeArrowheads="1"/>
        </xdr:cNvSpPr>
      </xdr:nvSpPr>
      <xdr:spPr bwMode="auto">
        <a:xfrm flipH="1">
          <a:off x="4063253" y="2650807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427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428" name="Text Box 14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429" name="Text Box 16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430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13044</xdr:rowOff>
    </xdr:to>
    <xdr:sp macro="" textlink="">
      <xdr:nvSpPr>
        <xdr:cNvPr id="1431" name="Text Box 4"/>
        <xdr:cNvSpPr txBox="1">
          <a:spLocks noChangeArrowheads="1"/>
        </xdr:cNvSpPr>
      </xdr:nvSpPr>
      <xdr:spPr bwMode="auto">
        <a:xfrm flipH="1">
          <a:off x="4063253" y="2650807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432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433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434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435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436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437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438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439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440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441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44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443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27557</xdr:rowOff>
    </xdr:to>
    <xdr:sp macro="" textlink="">
      <xdr:nvSpPr>
        <xdr:cNvPr id="1444" name="Text Box 4"/>
        <xdr:cNvSpPr txBox="1">
          <a:spLocks noChangeArrowheads="1"/>
        </xdr:cNvSpPr>
      </xdr:nvSpPr>
      <xdr:spPr bwMode="auto">
        <a:xfrm flipH="1">
          <a:off x="4295775" y="2650807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445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446" name="Text Box 14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447" name="Text Box 16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448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13044</xdr:rowOff>
    </xdr:to>
    <xdr:sp macro="" textlink="">
      <xdr:nvSpPr>
        <xdr:cNvPr id="1449" name="Text Box 4"/>
        <xdr:cNvSpPr txBox="1">
          <a:spLocks noChangeArrowheads="1"/>
        </xdr:cNvSpPr>
      </xdr:nvSpPr>
      <xdr:spPr bwMode="auto">
        <a:xfrm flipH="1">
          <a:off x="4295775" y="2650807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450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451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452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453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454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455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456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457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458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459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460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461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27557</xdr:rowOff>
    </xdr:to>
    <xdr:sp macro="" textlink="">
      <xdr:nvSpPr>
        <xdr:cNvPr id="1462" name="Text Box 4"/>
        <xdr:cNvSpPr txBox="1">
          <a:spLocks noChangeArrowheads="1"/>
        </xdr:cNvSpPr>
      </xdr:nvSpPr>
      <xdr:spPr bwMode="auto">
        <a:xfrm flipH="1">
          <a:off x="4063253" y="2650807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463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464" name="Text Box 14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465" name="Text Box 16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466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13044</xdr:rowOff>
    </xdr:to>
    <xdr:sp macro="" textlink="">
      <xdr:nvSpPr>
        <xdr:cNvPr id="1467" name="Text Box 4"/>
        <xdr:cNvSpPr txBox="1">
          <a:spLocks noChangeArrowheads="1"/>
        </xdr:cNvSpPr>
      </xdr:nvSpPr>
      <xdr:spPr bwMode="auto">
        <a:xfrm flipH="1">
          <a:off x="4063253" y="2650807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468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469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470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471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47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473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47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47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47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47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47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47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27557</xdr:rowOff>
    </xdr:to>
    <xdr:sp macro="" textlink="">
      <xdr:nvSpPr>
        <xdr:cNvPr id="1480" name="Text Box 4"/>
        <xdr:cNvSpPr txBox="1">
          <a:spLocks noChangeArrowheads="1"/>
        </xdr:cNvSpPr>
      </xdr:nvSpPr>
      <xdr:spPr bwMode="auto">
        <a:xfrm flipH="1">
          <a:off x="4295775" y="2650807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481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482" name="Text Box 14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483" name="Text Box 16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484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13044</xdr:rowOff>
    </xdr:to>
    <xdr:sp macro="" textlink="">
      <xdr:nvSpPr>
        <xdr:cNvPr id="1485" name="Text Box 4"/>
        <xdr:cNvSpPr txBox="1">
          <a:spLocks noChangeArrowheads="1"/>
        </xdr:cNvSpPr>
      </xdr:nvSpPr>
      <xdr:spPr bwMode="auto">
        <a:xfrm flipH="1">
          <a:off x="4295775" y="2650807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486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487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488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489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490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491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492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493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494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495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496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497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498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499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500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501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50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503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50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50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50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50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50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50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510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511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512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513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514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515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1516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1517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1518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1519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1520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1521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1522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1523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1524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1525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1526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1527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39283</xdr:rowOff>
    </xdr:to>
    <xdr:sp macro="" textlink="">
      <xdr:nvSpPr>
        <xdr:cNvPr id="1528" name="Text Box 4"/>
        <xdr:cNvSpPr txBox="1">
          <a:spLocks noChangeArrowheads="1"/>
        </xdr:cNvSpPr>
      </xdr:nvSpPr>
      <xdr:spPr bwMode="auto">
        <a:xfrm flipH="1">
          <a:off x="4295775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32725</xdr:rowOff>
    </xdr:to>
    <xdr:sp macro="" textlink="">
      <xdr:nvSpPr>
        <xdr:cNvPr id="1529" name="Text Box 12"/>
        <xdr:cNvSpPr txBox="1">
          <a:spLocks noChangeArrowheads="1"/>
        </xdr:cNvSpPr>
      </xdr:nvSpPr>
      <xdr:spPr bwMode="auto">
        <a:xfrm flipH="1">
          <a:off x="4295775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34743</xdr:rowOff>
    </xdr:to>
    <xdr:sp macro="" textlink="">
      <xdr:nvSpPr>
        <xdr:cNvPr id="1530" name="Text Box 14"/>
        <xdr:cNvSpPr txBox="1">
          <a:spLocks noChangeArrowheads="1"/>
        </xdr:cNvSpPr>
      </xdr:nvSpPr>
      <xdr:spPr bwMode="auto">
        <a:xfrm flipH="1">
          <a:off x="4295775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34742</xdr:rowOff>
    </xdr:to>
    <xdr:sp macro="" textlink="">
      <xdr:nvSpPr>
        <xdr:cNvPr id="1531" name="Text Box 16"/>
        <xdr:cNvSpPr txBox="1">
          <a:spLocks noChangeArrowheads="1"/>
        </xdr:cNvSpPr>
      </xdr:nvSpPr>
      <xdr:spPr bwMode="auto">
        <a:xfrm flipH="1">
          <a:off x="4295775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30162</xdr:rowOff>
    </xdr:to>
    <xdr:sp macro="" textlink="">
      <xdr:nvSpPr>
        <xdr:cNvPr id="1532" name="Text Box 12"/>
        <xdr:cNvSpPr txBox="1">
          <a:spLocks noChangeArrowheads="1"/>
        </xdr:cNvSpPr>
      </xdr:nvSpPr>
      <xdr:spPr bwMode="auto">
        <a:xfrm flipH="1">
          <a:off x="4295775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20664</xdr:rowOff>
    </xdr:to>
    <xdr:sp macro="" textlink="">
      <xdr:nvSpPr>
        <xdr:cNvPr id="1533" name="Text Box 4"/>
        <xdr:cNvSpPr txBox="1">
          <a:spLocks noChangeArrowheads="1"/>
        </xdr:cNvSpPr>
      </xdr:nvSpPr>
      <xdr:spPr bwMode="auto">
        <a:xfrm flipH="1">
          <a:off x="4295775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80456</xdr:rowOff>
    </xdr:to>
    <xdr:sp macro="" textlink="">
      <xdr:nvSpPr>
        <xdr:cNvPr id="1534" name="Text Box 4"/>
        <xdr:cNvSpPr txBox="1">
          <a:spLocks noChangeArrowheads="1"/>
        </xdr:cNvSpPr>
      </xdr:nvSpPr>
      <xdr:spPr bwMode="auto">
        <a:xfrm flipH="1">
          <a:off x="4295775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24544</xdr:rowOff>
    </xdr:to>
    <xdr:sp macro="" textlink="">
      <xdr:nvSpPr>
        <xdr:cNvPr id="1535" name="Text Box 12"/>
        <xdr:cNvSpPr txBox="1">
          <a:spLocks noChangeArrowheads="1"/>
        </xdr:cNvSpPr>
      </xdr:nvSpPr>
      <xdr:spPr bwMode="auto">
        <a:xfrm flipH="1">
          <a:off x="4295775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23162</xdr:rowOff>
    </xdr:to>
    <xdr:sp macro="" textlink="">
      <xdr:nvSpPr>
        <xdr:cNvPr id="1536" name="Text Box 14"/>
        <xdr:cNvSpPr txBox="1">
          <a:spLocks noChangeArrowheads="1"/>
        </xdr:cNvSpPr>
      </xdr:nvSpPr>
      <xdr:spPr bwMode="auto">
        <a:xfrm flipH="1">
          <a:off x="4295775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23161</xdr:rowOff>
    </xdr:to>
    <xdr:sp macro="" textlink="">
      <xdr:nvSpPr>
        <xdr:cNvPr id="1537" name="Text Box 16"/>
        <xdr:cNvSpPr txBox="1">
          <a:spLocks noChangeArrowheads="1"/>
        </xdr:cNvSpPr>
      </xdr:nvSpPr>
      <xdr:spPr bwMode="auto">
        <a:xfrm flipH="1">
          <a:off x="4295775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80989</xdr:rowOff>
    </xdr:to>
    <xdr:sp macro="" textlink="">
      <xdr:nvSpPr>
        <xdr:cNvPr id="1538" name="Text Box 12"/>
        <xdr:cNvSpPr txBox="1">
          <a:spLocks noChangeArrowheads="1"/>
        </xdr:cNvSpPr>
      </xdr:nvSpPr>
      <xdr:spPr bwMode="auto">
        <a:xfrm flipH="1">
          <a:off x="4295775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30996</xdr:rowOff>
    </xdr:to>
    <xdr:sp macro="" textlink="">
      <xdr:nvSpPr>
        <xdr:cNvPr id="1539" name="Text Box 4"/>
        <xdr:cNvSpPr txBox="1">
          <a:spLocks noChangeArrowheads="1"/>
        </xdr:cNvSpPr>
      </xdr:nvSpPr>
      <xdr:spPr bwMode="auto">
        <a:xfrm flipH="1">
          <a:off x="4295775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80456</xdr:rowOff>
    </xdr:to>
    <xdr:sp macro="" textlink="">
      <xdr:nvSpPr>
        <xdr:cNvPr id="1540" name="Text Box 4"/>
        <xdr:cNvSpPr txBox="1">
          <a:spLocks noChangeArrowheads="1"/>
        </xdr:cNvSpPr>
      </xdr:nvSpPr>
      <xdr:spPr bwMode="auto">
        <a:xfrm flipH="1">
          <a:off x="4295775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24544</xdr:rowOff>
    </xdr:to>
    <xdr:sp macro="" textlink="">
      <xdr:nvSpPr>
        <xdr:cNvPr id="1541" name="Text Box 12"/>
        <xdr:cNvSpPr txBox="1">
          <a:spLocks noChangeArrowheads="1"/>
        </xdr:cNvSpPr>
      </xdr:nvSpPr>
      <xdr:spPr bwMode="auto">
        <a:xfrm flipH="1">
          <a:off x="4295775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23162</xdr:rowOff>
    </xdr:to>
    <xdr:sp macro="" textlink="">
      <xdr:nvSpPr>
        <xdr:cNvPr id="1542" name="Text Box 14"/>
        <xdr:cNvSpPr txBox="1">
          <a:spLocks noChangeArrowheads="1"/>
        </xdr:cNvSpPr>
      </xdr:nvSpPr>
      <xdr:spPr bwMode="auto">
        <a:xfrm flipH="1">
          <a:off x="4295775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23161</xdr:rowOff>
    </xdr:to>
    <xdr:sp macro="" textlink="">
      <xdr:nvSpPr>
        <xdr:cNvPr id="1543" name="Text Box 16"/>
        <xdr:cNvSpPr txBox="1">
          <a:spLocks noChangeArrowheads="1"/>
        </xdr:cNvSpPr>
      </xdr:nvSpPr>
      <xdr:spPr bwMode="auto">
        <a:xfrm flipH="1">
          <a:off x="4295775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80989</xdr:rowOff>
    </xdr:to>
    <xdr:sp macro="" textlink="">
      <xdr:nvSpPr>
        <xdr:cNvPr id="1544" name="Text Box 12"/>
        <xdr:cNvSpPr txBox="1">
          <a:spLocks noChangeArrowheads="1"/>
        </xdr:cNvSpPr>
      </xdr:nvSpPr>
      <xdr:spPr bwMode="auto">
        <a:xfrm flipH="1">
          <a:off x="4295775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30996</xdr:rowOff>
    </xdr:to>
    <xdr:sp macro="" textlink="">
      <xdr:nvSpPr>
        <xdr:cNvPr id="1545" name="Text Box 4"/>
        <xdr:cNvSpPr txBox="1">
          <a:spLocks noChangeArrowheads="1"/>
        </xdr:cNvSpPr>
      </xdr:nvSpPr>
      <xdr:spPr bwMode="auto">
        <a:xfrm flipH="1">
          <a:off x="4295775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546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547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548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549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550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551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1552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1553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1554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1555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1556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1557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1558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1559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1560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1561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1562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1563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39283</xdr:rowOff>
    </xdr:to>
    <xdr:sp macro="" textlink="">
      <xdr:nvSpPr>
        <xdr:cNvPr id="1564" name="Text Box 4"/>
        <xdr:cNvSpPr txBox="1">
          <a:spLocks noChangeArrowheads="1"/>
        </xdr:cNvSpPr>
      </xdr:nvSpPr>
      <xdr:spPr bwMode="auto">
        <a:xfrm flipH="1">
          <a:off x="4295775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32725</xdr:rowOff>
    </xdr:to>
    <xdr:sp macro="" textlink="">
      <xdr:nvSpPr>
        <xdr:cNvPr id="1565" name="Text Box 12"/>
        <xdr:cNvSpPr txBox="1">
          <a:spLocks noChangeArrowheads="1"/>
        </xdr:cNvSpPr>
      </xdr:nvSpPr>
      <xdr:spPr bwMode="auto">
        <a:xfrm flipH="1">
          <a:off x="4295775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34743</xdr:rowOff>
    </xdr:to>
    <xdr:sp macro="" textlink="">
      <xdr:nvSpPr>
        <xdr:cNvPr id="1566" name="Text Box 14"/>
        <xdr:cNvSpPr txBox="1">
          <a:spLocks noChangeArrowheads="1"/>
        </xdr:cNvSpPr>
      </xdr:nvSpPr>
      <xdr:spPr bwMode="auto">
        <a:xfrm flipH="1">
          <a:off x="4295775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34742</xdr:rowOff>
    </xdr:to>
    <xdr:sp macro="" textlink="">
      <xdr:nvSpPr>
        <xdr:cNvPr id="1567" name="Text Box 16"/>
        <xdr:cNvSpPr txBox="1">
          <a:spLocks noChangeArrowheads="1"/>
        </xdr:cNvSpPr>
      </xdr:nvSpPr>
      <xdr:spPr bwMode="auto">
        <a:xfrm flipH="1">
          <a:off x="4295775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30162</xdr:rowOff>
    </xdr:to>
    <xdr:sp macro="" textlink="">
      <xdr:nvSpPr>
        <xdr:cNvPr id="1568" name="Text Box 12"/>
        <xdr:cNvSpPr txBox="1">
          <a:spLocks noChangeArrowheads="1"/>
        </xdr:cNvSpPr>
      </xdr:nvSpPr>
      <xdr:spPr bwMode="auto">
        <a:xfrm flipH="1">
          <a:off x="4295775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20664</xdr:rowOff>
    </xdr:to>
    <xdr:sp macro="" textlink="">
      <xdr:nvSpPr>
        <xdr:cNvPr id="1569" name="Text Box 4"/>
        <xdr:cNvSpPr txBox="1">
          <a:spLocks noChangeArrowheads="1"/>
        </xdr:cNvSpPr>
      </xdr:nvSpPr>
      <xdr:spPr bwMode="auto">
        <a:xfrm flipH="1">
          <a:off x="4295775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80456</xdr:rowOff>
    </xdr:to>
    <xdr:sp macro="" textlink="">
      <xdr:nvSpPr>
        <xdr:cNvPr id="1570" name="Text Box 4"/>
        <xdr:cNvSpPr txBox="1">
          <a:spLocks noChangeArrowheads="1"/>
        </xdr:cNvSpPr>
      </xdr:nvSpPr>
      <xdr:spPr bwMode="auto">
        <a:xfrm flipH="1">
          <a:off x="4295775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24544</xdr:rowOff>
    </xdr:to>
    <xdr:sp macro="" textlink="">
      <xdr:nvSpPr>
        <xdr:cNvPr id="1571" name="Text Box 12"/>
        <xdr:cNvSpPr txBox="1">
          <a:spLocks noChangeArrowheads="1"/>
        </xdr:cNvSpPr>
      </xdr:nvSpPr>
      <xdr:spPr bwMode="auto">
        <a:xfrm flipH="1">
          <a:off x="4295775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23162</xdr:rowOff>
    </xdr:to>
    <xdr:sp macro="" textlink="">
      <xdr:nvSpPr>
        <xdr:cNvPr id="1572" name="Text Box 14"/>
        <xdr:cNvSpPr txBox="1">
          <a:spLocks noChangeArrowheads="1"/>
        </xdr:cNvSpPr>
      </xdr:nvSpPr>
      <xdr:spPr bwMode="auto">
        <a:xfrm flipH="1">
          <a:off x="4295775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23161</xdr:rowOff>
    </xdr:to>
    <xdr:sp macro="" textlink="">
      <xdr:nvSpPr>
        <xdr:cNvPr id="1573" name="Text Box 16"/>
        <xdr:cNvSpPr txBox="1">
          <a:spLocks noChangeArrowheads="1"/>
        </xdr:cNvSpPr>
      </xdr:nvSpPr>
      <xdr:spPr bwMode="auto">
        <a:xfrm flipH="1">
          <a:off x="4295775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80989</xdr:rowOff>
    </xdr:to>
    <xdr:sp macro="" textlink="">
      <xdr:nvSpPr>
        <xdr:cNvPr id="1574" name="Text Box 12"/>
        <xdr:cNvSpPr txBox="1">
          <a:spLocks noChangeArrowheads="1"/>
        </xdr:cNvSpPr>
      </xdr:nvSpPr>
      <xdr:spPr bwMode="auto">
        <a:xfrm flipH="1">
          <a:off x="4295775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30996</xdr:rowOff>
    </xdr:to>
    <xdr:sp macro="" textlink="">
      <xdr:nvSpPr>
        <xdr:cNvPr id="1575" name="Text Box 4"/>
        <xdr:cNvSpPr txBox="1">
          <a:spLocks noChangeArrowheads="1"/>
        </xdr:cNvSpPr>
      </xdr:nvSpPr>
      <xdr:spPr bwMode="auto">
        <a:xfrm flipH="1">
          <a:off x="4295775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80456</xdr:rowOff>
    </xdr:to>
    <xdr:sp macro="" textlink="">
      <xdr:nvSpPr>
        <xdr:cNvPr id="1576" name="Text Box 4"/>
        <xdr:cNvSpPr txBox="1">
          <a:spLocks noChangeArrowheads="1"/>
        </xdr:cNvSpPr>
      </xdr:nvSpPr>
      <xdr:spPr bwMode="auto">
        <a:xfrm flipH="1">
          <a:off x="4295775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24544</xdr:rowOff>
    </xdr:to>
    <xdr:sp macro="" textlink="">
      <xdr:nvSpPr>
        <xdr:cNvPr id="1577" name="Text Box 12"/>
        <xdr:cNvSpPr txBox="1">
          <a:spLocks noChangeArrowheads="1"/>
        </xdr:cNvSpPr>
      </xdr:nvSpPr>
      <xdr:spPr bwMode="auto">
        <a:xfrm flipH="1">
          <a:off x="4295775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23162</xdr:rowOff>
    </xdr:to>
    <xdr:sp macro="" textlink="">
      <xdr:nvSpPr>
        <xdr:cNvPr id="1578" name="Text Box 14"/>
        <xdr:cNvSpPr txBox="1">
          <a:spLocks noChangeArrowheads="1"/>
        </xdr:cNvSpPr>
      </xdr:nvSpPr>
      <xdr:spPr bwMode="auto">
        <a:xfrm flipH="1">
          <a:off x="4295775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23161</xdr:rowOff>
    </xdr:to>
    <xdr:sp macro="" textlink="">
      <xdr:nvSpPr>
        <xdr:cNvPr id="1579" name="Text Box 16"/>
        <xdr:cNvSpPr txBox="1">
          <a:spLocks noChangeArrowheads="1"/>
        </xdr:cNvSpPr>
      </xdr:nvSpPr>
      <xdr:spPr bwMode="auto">
        <a:xfrm flipH="1">
          <a:off x="4295775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80989</xdr:rowOff>
    </xdr:to>
    <xdr:sp macro="" textlink="">
      <xdr:nvSpPr>
        <xdr:cNvPr id="1580" name="Text Box 12"/>
        <xdr:cNvSpPr txBox="1">
          <a:spLocks noChangeArrowheads="1"/>
        </xdr:cNvSpPr>
      </xdr:nvSpPr>
      <xdr:spPr bwMode="auto">
        <a:xfrm flipH="1">
          <a:off x="4295775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30996</xdr:rowOff>
    </xdr:to>
    <xdr:sp macro="" textlink="">
      <xdr:nvSpPr>
        <xdr:cNvPr id="1581" name="Text Box 4"/>
        <xdr:cNvSpPr txBox="1">
          <a:spLocks noChangeArrowheads="1"/>
        </xdr:cNvSpPr>
      </xdr:nvSpPr>
      <xdr:spPr bwMode="auto">
        <a:xfrm flipH="1">
          <a:off x="4295775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1582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1583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1584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1585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1586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1587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1588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1589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1590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1591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1592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1593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594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595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596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597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598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599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00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01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02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03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04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05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0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0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0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0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1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1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1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1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1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1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1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1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1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1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2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2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2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2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624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625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626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627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628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629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30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31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32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33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34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35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3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3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3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3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4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4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4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4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4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4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4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4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4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4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5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5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5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5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654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655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656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657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658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659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60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61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62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63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64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65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6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6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6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6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7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7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7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7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7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7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7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7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7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7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8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8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8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68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684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685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686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687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688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689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690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691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692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693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694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695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696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697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698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699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700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701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0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0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0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0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0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0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0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0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1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1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1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1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14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15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16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17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18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19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20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21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22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23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24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25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2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2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2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2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3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3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3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3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3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3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3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3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3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3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4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4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4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4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44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45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46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47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48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49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50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51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52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53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54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55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5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5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5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5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6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6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6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6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6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6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6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6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6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6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7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7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7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7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774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775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776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777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778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779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780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781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782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783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784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785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786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787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788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789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790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791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9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9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9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9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9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179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34743</xdr:rowOff>
    </xdr:to>
    <xdr:sp macro="" textlink="">
      <xdr:nvSpPr>
        <xdr:cNvPr id="1798" name="Text Box 14"/>
        <xdr:cNvSpPr txBox="1">
          <a:spLocks noChangeArrowheads="1"/>
        </xdr:cNvSpPr>
      </xdr:nvSpPr>
      <xdr:spPr bwMode="auto">
        <a:xfrm flipH="1">
          <a:off x="4295775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34742</xdr:rowOff>
    </xdr:to>
    <xdr:sp macro="" textlink="">
      <xdr:nvSpPr>
        <xdr:cNvPr id="1799" name="Text Box 16"/>
        <xdr:cNvSpPr txBox="1">
          <a:spLocks noChangeArrowheads="1"/>
        </xdr:cNvSpPr>
      </xdr:nvSpPr>
      <xdr:spPr bwMode="auto">
        <a:xfrm flipH="1">
          <a:off x="4295775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30162</xdr:rowOff>
    </xdr:to>
    <xdr:sp macro="" textlink="">
      <xdr:nvSpPr>
        <xdr:cNvPr id="1800" name="Text Box 12"/>
        <xdr:cNvSpPr txBox="1">
          <a:spLocks noChangeArrowheads="1"/>
        </xdr:cNvSpPr>
      </xdr:nvSpPr>
      <xdr:spPr bwMode="auto">
        <a:xfrm flipH="1">
          <a:off x="4295775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20664</xdr:rowOff>
    </xdr:to>
    <xdr:sp macro="" textlink="">
      <xdr:nvSpPr>
        <xdr:cNvPr id="1801" name="Text Box 4"/>
        <xdr:cNvSpPr txBox="1">
          <a:spLocks noChangeArrowheads="1"/>
        </xdr:cNvSpPr>
      </xdr:nvSpPr>
      <xdr:spPr bwMode="auto">
        <a:xfrm flipH="1">
          <a:off x="4295775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27557</xdr:rowOff>
    </xdr:to>
    <xdr:sp macro="" textlink="">
      <xdr:nvSpPr>
        <xdr:cNvPr id="1802" name="Text Box 4"/>
        <xdr:cNvSpPr txBox="1">
          <a:spLocks noChangeArrowheads="1"/>
        </xdr:cNvSpPr>
      </xdr:nvSpPr>
      <xdr:spPr bwMode="auto">
        <a:xfrm flipH="1">
          <a:off x="4063253" y="2650807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03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04" name="Text Box 14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05" name="Text Box 16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06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13044</xdr:rowOff>
    </xdr:to>
    <xdr:sp macro="" textlink="">
      <xdr:nvSpPr>
        <xdr:cNvPr id="1807" name="Text Box 4"/>
        <xdr:cNvSpPr txBox="1">
          <a:spLocks noChangeArrowheads="1"/>
        </xdr:cNvSpPr>
      </xdr:nvSpPr>
      <xdr:spPr bwMode="auto">
        <a:xfrm flipH="1">
          <a:off x="4063253" y="2650807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808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809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810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811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1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813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81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81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81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81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1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81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27557</xdr:rowOff>
    </xdr:to>
    <xdr:sp macro="" textlink="">
      <xdr:nvSpPr>
        <xdr:cNvPr id="1820" name="Text Box 4"/>
        <xdr:cNvSpPr txBox="1">
          <a:spLocks noChangeArrowheads="1"/>
        </xdr:cNvSpPr>
      </xdr:nvSpPr>
      <xdr:spPr bwMode="auto">
        <a:xfrm flipH="1">
          <a:off x="4295775" y="2650807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821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822" name="Text Box 14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823" name="Text Box 16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824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13044</xdr:rowOff>
    </xdr:to>
    <xdr:sp macro="" textlink="">
      <xdr:nvSpPr>
        <xdr:cNvPr id="1825" name="Text Box 4"/>
        <xdr:cNvSpPr txBox="1">
          <a:spLocks noChangeArrowheads="1"/>
        </xdr:cNvSpPr>
      </xdr:nvSpPr>
      <xdr:spPr bwMode="auto">
        <a:xfrm flipH="1">
          <a:off x="4295775" y="2650807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826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827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828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829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830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831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832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833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834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835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836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837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27557</xdr:rowOff>
    </xdr:to>
    <xdr:sp macro="" textlink="">
      <xdr:nvSpPr>
        <xdr:cNvPr id="1838" name="Text Box 4"/>
        <xdr:cNvSpPr txBox="1">
          <a:spLocks noChangeArrowheads="1"/>
        </xdr:cNvSpPr>
      </xdr:nvSpPr>
      <xdr:spPr bwMode="auto">
        <a:xfrm flipH="1">
          <a:off x="4063253" y="2650807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39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40" name="Text Box 14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41" name="Text Box 16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4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13044</xdr:rowOff>
    </xdr:to>
    <xdr:sp macro="" textlink="">
      <xdr:nvSpPr>
        <xdr:cNvPr id="1843" name="Text Box 4"/>
        <xdr:cNvSpPr txBox="1">
          <a:spLocks noChangeArrowheads="1"/>
        </xdr:cNvSpPr>
      </xdr:nvSpPr>
      <xdr:spPr bwMode="auto">
        <a:xfrm flipH="1">
          <a:off x="4063253" y="2650807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84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84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84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84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4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84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850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851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852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853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54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855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27557</xdr:rowOff>
    </xdr:to>
    <xdr:sp macro="" textlink="">
      <xdr:nvSpPr>
        <xdr:cNvPr id="1856" name="Text Box 4"/>
        <xdr:cNvSpPr txBox="1">
          <a:spLocks noChangeArrowheads="1"/>
        </xdr:cNvSpPr>
      </xdr:nvSpPr>
      <xdr:spPr bwMode="auto">
        <a:xfrm flipH="1">
          <a:off x="4295775" y="2650807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857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858" name="Text Box 14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859" name="Text Box 16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860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13044</xdr:rowOff>
    </xdr:to>
    <xdr:sp macro="" textlink="">
      <xdr:nvSpPr>
        <xdr:cNvPr id="1861" name="Text Box 4"/>
        <xdr:cNvSpPr txBox="1">
          <a:spLocks noChangeArrowheads="1"/>
        </xdr:cNvSpPr>
      </xdr:nvSpPr>
      <xdr:spPr bwMode="auto">
        <a:xfrm flipH="1">
          <a:off x="4295775" y="2650807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862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863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864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865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866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867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868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869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870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871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872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873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87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87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87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87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7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87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880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881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882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883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84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885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27557</xdr:rowOff>
    </xdr:to>
    <xdr:sp macro="" textlink="">
      <xdr:nvSpPr>
        <xdr:cNvPr id="1886" name="Text Box 4"/>
        <xdr:cNvSpPr txBox="1">
          <a:spLocks noChangeArrowheads="1"/>
        </xdr:cNvSpPr>
      </xdr:nvSpPr>
      <xdr:spPr bwMode="auto">
        <a:xfrm flipH="1">
          <a:off x="4063253" y="2650807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87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88" name="Text Box 14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89" name="Text Box 16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90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13044</xdr:rowOff>
    </xdr:to>
    <xdr:sp macro="" textlink="">
      <xdr:nvSpPr>
        <xdr:cNvPr id="1891" name="Text Box 4"/>
        <xdr:cNvSpPr txBox="1">
          <a:spLocks noChangeArrowheads="1"/>
        </xdr:cNvSpPr>
      </xdr:nvSpPr>
      <xdr:spPr bwMode="auto">
        <a:xfrm flipH="1">
          <a:off x="4063253" y="2650807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892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893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894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895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896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897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898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899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900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901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90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903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27557</xdr:rowOff>
    </xdr:to>
    <xdr:sp macro="" textlink="">
      <xdr:nvSpPr>
        <xdr:cNvPr id="1904" name="Text Box 4"/>
        <xdr:cNvSpPr txBox="1">
          <a:spLocks noChangeArrowheads="1"/>
        </xdr:cNvSpPr>
      </xdr:nvSpPr>
      <xdr:spPr bwMode="auto">
        <a:xfrm flipH="1">
          <a:off x="4295775" y="2650807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905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906" name="Text Box 14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907" name="Text Box 16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908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13044</xdr:rowOff>
    </xdr:to>
    <xdr:sp macro="" textlink="">
      <xdr:nvSpPr>
        <xdr:cNvPr id="1909" name="Text Box 4"/>
        <xdr:cNvSpPr txBox="1">
          <a:spLocks noChangeArrowheads="1"/>
        </xdr:cNvSpPr>
      </xdr:nvSpPr>
      <xdr:spPr bwMode="auto">
        <a:xfrm flipH="1">
          <a:off x="4295775" y="2650807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910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911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912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913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914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915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916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917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918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919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920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921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27557</xdr:rowOff>
    </xdr:to>
    <xdr:sp macro="" textlink="">
      <xdr:nvSpPr>
        <xdr:cNvPr id="1922" name="Text Box 4"/>
        <xdr:cNvSpPr txBox="1">
          <a:spLocks noChangeArrowheads="1"/>
        </xdr:cNvSpPr>
      </xdr:nvSpPr>
      <xdr:spPr bwMode="auto">
        <a:xfrm flipH="1">
          <a:off x="4063253" y="26508075"/>
          <a:ext cx="3429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923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924" name="Text Box 14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925" name="Text Box 16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926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13044</xdr:rowOff>
    </xdr:to>
    <xdr:sp macro="" textlink="">
      <xdr:nvSpPr>
        <xdr:cNvPr id="1927" name="Text Box 4"/>
        <xdr:cNvSpPr txBox="1">
          <a:spLocks noChangeArrowheads="1"/>
        </xdr:cNvSpPr>
      </xdr:nvSpPr>
      <xdr:spPr bwMode="auto">
        <a:xfrm flipH="1">
          <a:off x="4063253" y="26508075"/>
          <a:ext cx="3429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928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929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930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931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93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933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93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93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93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93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93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93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27557</xdr:rowOff>
    </xdr:to>
    <xdr:sp macro="" textlink="">
      <xdr:nvSpPr>
        <xdr:cNvPr id="1940" name="Text Box 4"/>
        <xdr:cNvSpPr txBox="1">
          <a:spLocks noChangeArrowheads="1"/>
        </xdr:cNvSpPr>
      </xdr:nvSpPr>
      <xdr:spPr bwMode="auto">
        <a:xfrm flipH="1">
          <a:off x="4295775" y="26508075"/>
          <a:ext cx="0" cy="27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941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942" name="Text Box 14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943" name="Text Box 16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944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13044</xdr:rowOff>
    </xdr:to>
    <xdr:sp macro="" textlink="">
      <xdr:nvSpPr>
        <xdr:cNvPr id="1945" name="Text Box 4"/>
        <xdr:cNvSpPr txBox="1">
          <a:spLocks noChangeArrowheads="1"/>
        </xdr:cNvSpPr>
      </xdr:nvSpPr>
      <xdr:spPr bwMode="auto">
        <a:xfrm flipH="1">
          <a:off x="4295775" y="26508075"/>
          <a:ext cx="0" cy="1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946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947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948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949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950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951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9525</xdr:rowOff>
    </xdr:to>
    <xdr:sp macro="" textlink="">
      <xdr:nvSpPr>
        <xdr:cNvPr id="1952" name="Text Box 4"/>
        <xdr:cNvSpPr txBox="1">
          <a:spLocks noChangeArrowheads="1"/>
        </xdr:cNvSpPr>
      </xdr:nvSpPr>
      <xdr:spPr bwMode="auto">
        <a:xfrm flipH="1">
          <a:off x="4295775" y="265080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23100</xdr:rowOff>
    </xdr:to>
    <xdr:sp macro="" textlink="">
      <xdr:nvSpPr>
        <xdr:cNvPr id="1953" name="Text Box 12"/>
        <xdr:cNvSpPr txBox="1">
          <a:spLocks noChangeArrowheads="1"/>
        </xdr:cNvSpPr>
      </xdr:nvSpPr>
      <xdr:spPr bwMode="auto">
        <a:xfrm flipH="1">
          <a:off x="4295775" y="26508075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23313</xdr:rowOff>
    </xdr:to>
    <xdr:sp macro="" textlink="">
      <xdr:nvSpPr>
        <xdr:cNvPr id="1954" name="Text Box 14"/>
        <xdr:cNvSpPr txBox="1">
          <a:spLocks noChangeArrowheads="1"/>
        </xdr:cNvSpPr>
      </xdr:nvSpPr>
      <xdr:spPr bwMode="auto">
        <a:xfrm flipH="1">
          <a:off x="4295775" y="26508075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23312</xdr:rowOff>
    </xdr:to>
    <xdr:sp macro="" textlink="">
      <xdr:nvSpPr>
        <xdr:cNvPr id="1955" name="Text Box 16"/>
        <xdr:cNvSpPr txBox="1">
          <a:spLocks noChangeArrowheads="1"/>
        </xdr:cNvSpPr>
      </xdr:nvSpPr>
      <xdr:spPr bwMode="auto">
        <a:xfrm flipH="1">
          <a:off x="4295775" y="26508075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0</xdr:rowOff>
    </xdr:to>
    <xdr:sp macro="" textlink="">
      <xdr:nvSpPr>
        <xdr:cNvPr id="1956" name="Text Box 12"/>
        <xdr:cNvSpPr txBox="1">
          <a:spLocks noChangeArrowheads="1"/>
        </xdr:cNvSpPr>
      </xdr:nvSpPr>
      <xdr:spPr bwMode="auto">
        <a:xfrm flipH="1">
          <a:off x="4295775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26760</xdr:rowOff>
    </xdr:to>
    <xdr:sp macro="" textlink="">
      <xdr:nvSpPr>
        <xdr:cNvPr id="1957" name="Text Box 4"/>
        <xdr:cNvSpPr txBox="1">
          <a:spLocks noChangeArrowheads="1"/>
        </xdr:cNvSpPr>
      </xdr:nvSpPr>
      <xdr:spPr bwMode="auto">
        <a:xfrm flipH="1">
          <a:off x="4295775" y="26508075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958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959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960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961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962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963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1964" name="Text Box 4"/>
        <xdr:cNvSpPr txBox="1">
          <a:spLocks noChangeArrowheads="1"/>
        </xdr:cNvSpPr>
      </xdr:nvSpPr>
      <xdr:spPr bwMode="auto">
        <a:xfrm flipH="1">
          <a:off x="4295775" y="265080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23100</xdr:rowOff>
    </xdr:to>
    <xdr:sp macro="" textlink="">
      <xdr:nvSpPr>
        <xdr:cNvPr id="1965" name="Text Box 12"/>
        <xdr:cNvSpPr txBox="1">
          <a:spLocks noChangeArrowheads="1"/>
        </xdr:cNvSpPr>
      </xdr:nvSpPr>
      <xdr:spPr bwMode="auto">
        <a:xfrm flipH="1">
          <a:off x="4063253" y="26508075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23313</xdr:rowOff>
    </xdr:to>
    <xdr:sp macro="" textlink="">
      <xdr:nvSpPr>
        <xdr:cNvPr id="1966" name="Text Box 14"/>
        <xdr:cNvSpPr txBox="1">
          <a:spLocks noChangeArrowheads="1"/>
        </xdr:cNvSpPr>
      </xdr:nvSpPr>
      <xdr:spPr bwMode="auto">
        <a:xfrm flipH="1">
          <a:off x="4063253" y="26508075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23312</xdr:rowOff>
    </xdr:to>
    <xdr:sp macro="" textlink="">
      <xdr:nvSpPr>
        <xdr:cNvPr id="1967" name="Text Box 16"/>
        <xdr:cNvSpPr txBox="1">
          <a:spLocks noChangeArrowheads="1"/>
        </xdr:cNvSpPr>
      </xdr:nvSpPr>
      <xdr:spPr bwMode="auto">
        <a:xfrm flipH="1">
          <a:off x="4063253" y="26508075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0</xdr:rowOff>
    </xdr:to>
    <xdr:sp macro="" textlink="">
      <xdr:nvSpPr>
        <xdr:cNvPr id="1968" name="Text Box 12"/>
        <xdr:cNvSpPr txBox="1">
          <a:spLocks noChangeArrowheads="1"/>
        </xdr:cNvSpPr>
      </xdr:nvSpPr>
      <xdr:spPr bwMode="auto">
        <a:xfrm flipH="1">
          <a:off x="4063253" y="26508075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2621168</xdr:colOff>
      <xdr:row>159</xdr:row>
      <xdr:rowOff>26760</xdr:rowOff>
    </xdr:to>
    <xdr:sp macro="" textlink="">
      <xdr:nvSpPr>
        <xdr:cNvPr id="1969" name="Text Box 4"/>
        <xdr:cNvSpPr txBox="1">
          <a:spLocks noChangeArrowheads="1"/>
        </xdr:cNvSpPr>
      </xdr:nvSpPr>
      <xdr:spPr bwMode="auto">
        <a:xfrm flipH="1">
          <a:off x="4063253" y="26508075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1970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1971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1972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1973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1974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1975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1976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1977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1978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1979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1980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1981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1982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1983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1984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1985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1986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1987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39283</xdr:rowOff>
    </xdr:to>
    <xdr:sp macro="" textlink="">
      <xdr:nvSpPr>
        <xdr:cNvPr id="1988" name="Text Box 4"/>
        <xdr:cNvSpPr txBox="1">
          <a:spLocks noChangeArrowheads="1"/>
        </xdr:cNvSpPr>
      </xdr:nvSpPr>
      <xdr:spPr bwMode="auto">
        <a:xfrm flipH="1">
          <a:off x="4295775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32725</xdr:rowOff>
    </xdr:to>
    <xdr:sp macro="" textlink="">
      <xdr:nvSpPr>
        <xdr:cNvPr id="1989" name="Text Box 12"/>
        <xdr:cNvSpPr txBox="1">
          <a:spLocks noChangeArrowheads="1"/>
        </xdr:cNvSpPr>
      </xdr:nvSpPr>
      <xdr:spPr bwMode="auto">
        <a:xfrm flipH="1">
          <a:off x="4295775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34743</xdr:rowOff>
    </xdr:to>
    <xdr:sp macro="" textlink="">
      <xdr:nvSpPr>
        <xdr:cNvPr id="1990" name="Text Box 14"/>
        <xdr:cNvSpPr txBox="1">
          <a:spLocks noChangeArrowheads="1"/>
        </xdr:cNvSpPr>
      </xdr:nvSpPr>
      <xdr:spPr bwMode="auto">
        <a:xfrm flipH="1">
          <a:off x="4295775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34742</xdr:rowOff>
    </xdr:to>
    <xdr:sp macro="" textlink="">
      <xdr:nvSpPr>
        <xdr:cNvPr id="1991" name="Text Box 16"/>
        <xdr:cNvSpPr txBox="1">
          <a:spLocks noChangeArrowheads="1"/>
        </xdr:cNvSpPr>
      </xdr:nvSpPr>
      <xdr:spPr bwMode="auto">
        <a:xfrm flipH="1">
          <a:off x="4295775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30162</xdr:rowOff>
    </xdr:to>
    <xdr:sp macro="" textlink="">
      <xdr:nvSpPr>
        <xdr:cNvPr id="1992" name="Text Box 12"/>
        <xdr:cNvSpPr txBox="1">
          <a:spLocks noChangeArrowheads="1"/>
        </xdr:cNvSpPr>
      </xdr:nvSpPr>
      <xdr:spPr bwMode="auto">
        <a:xfrm flipH="1">
          <a:off x="4295775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20664</xdr:rowOff>
    </xdr:to>
    <xdr:sp macro="" textlink="">
      <xdr:nvSpPr>
        <xdr:cNvPr id="1993" name="Text Box 4"/>
        <xdr:cNvSpPr txBox="1">
          <a:spLocks noChangeArrowheads="1"/>
        </xdr:cNvSpPr>
      </xdr:nvSpPr>
      <xdr:spPr bwMode="auto">
        <a:xfrm flipH="1">
          <a:off x="4295775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80456</xdr:rowOff>
    </xdr:to>
    <xdr:sp macro="" textlink="">
      <xdr:nvSpPr>
        <xdr:cNvPr id="1994" name="Text Box 4"/>
        <xdr:cNvSpPr txBox="1">
          <a:spLocks noChangeArrowheads="1"/>
        </xdr:cNvSpPr>
      </xdr:nvSpPr>
      <xdr:spPr bwMode="auto">
        <a:xfrm flipH="1">
          <a:off x="4295775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24544</xdr:rowOff>
    </xdr:to>
    <xdr:sp macro="" textlink="">
      <xdr:nvSpPr>
        <xdr:cNvPr id="1995" name="Text Box 12"/>
        <xdr:cNvSpPr txBox="1">
          <a:spLocks noChangeArrowheads="1"/>
        </xdr:cNvSpPr>
      </xdr:nvSpPr>
      <xdr:spPr bwMode="auto">
        <a:xfrm flipH="1">
          <a:off x="4295775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23162</xdr:rowOff>
    </xdr:to>
    <xdr:sp macro="" textlink="">
      <xdr:nvSpPr>
        <xdr:cNvPr id="1996" name="Text Box 14"/>
        <xdr:cNvSpPr txBox="1">
          <a:spLocks noChangeArrowheads="1"/>
        </xdr:cNvSpPr>
      </xdr:nvSpPr>
      <xdr:spPr bwMode="auto">
        <a:xfrm flipH="1">
          <a:off x="4295775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23161</xdr:rowOff>
    </xdr:to>
    <xdr:sp macro="" textlink="">
      <xdr:nvSpPr>
        <xdr:cNvPr id="1997" name="Text Box 16"/>
        <xdr:cNvSpPr txBox="1">
          <a:spLocks noChangeArrowheads="1"/>
        </xdr:cNvSpPr>
      </xdr:nvSpPr>
      <xdr:spPr bwMode="auto">
        <a:xfrm flipH="1">
          <a:off x="4295775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80989</xdr:rowOff>
    </xdr:to>
    <xdr:sp macro="" textlink="">
      <xdr:nvSpPr>
        <xdr:cNvPr id="1998" name="Text Box 12"/>
        <xdr:cNvSpPr txBox="1">
          <a:spLocks noChangeArrowheads="1"/>
        </xdr:cNvSpPr>
      </xdr:nvSpPr>
      <xdr:spPr bwMode="auto">
        <a:xfrm flipH="1">
          <a:off x="4295775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30996</xdr:rowOff>
    </xdr:to>
    <xdr:sp macro="" textlink="">
      <xdr:nvSpPr>
        <xdr:cNvPr id="1999" name="Text Box 4"/>
        <xdr:cNvSpPr txBox="1">
          <a:spLocks noChangeArrowheads="1"/>
        </xdr:cNvSpPr>
      </xdr:nvSpPr>
      <xdr:spPr bwMode="auto">
        <a:xfrm flipH="1">
          <a:off x="4295775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80456</xdr:rowOff>
    </xdr:to>
    <xdr:sp macro="" textlink="">
      <xdr:nvSpPr>
        <xdr:cNvPr id="2000" name="Text Box 4"/>
        <xdr:cNvSpPr txBox="1">
          <a:spLocks noChangeArrowheads="1"/>
        </xdr:cNvSpPr>
      </xdr:nvSpPr>
      <xdr:spPr bwMode="auto">
        <a:xfrm flipH="1">
          <a:off x="4295775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24544</xdr:rowOff>
    </xdr:to>
    <xdr:sp macro="" textlink="">
      <xdr:nvSpPr>
        <xdr:cNvPr id="2001" name="Text Box 12"/>
        <xdr:cNvSpPr txBox="1">
          <a:spLocks noChangeArrowheads="1"/>
        </xdr:cNvSpPr>
      </xdr:nvSpPr>
      <xdr:spPr bwMode="auto">
        <a:xfrm flipH="1">
          <a:off x="4295775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23162</xdr:rowOff>
    </xdr:to>
    <xdr:sp macro="" textlink="">
      <xdr:nvSpPr>
        <xdr:cNvPr id="2002" name="Text Box 14"/>
        <xdr:cNvSpPr txBox="1">
          <a:spLocks noChangeArrowheads="1"/>
        </xdr:cNvSpPr>
      </xdr:nvSpPr>
      <xdr:spPr bwMode="auto">
        <a:xfrm flipH="1">
          <a:off x="4295775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23161</xdr:rowOff>
    </xdr:to>
    <xdr:sp macro="" textlink="">
      <xdr:nvSpPr>
        <xdr:cNvPr id="2003" name="Text Box 16"/>
        <xdr:cNvSpPr txBox="1">
          <a:spLocks noChangeArrowheads="1"/>
        </xdr:cNvSpPr>
      </xdr:nvSpPr>
      <xdr:spPr bwMode="auto">
        <a:xfrm flipH="1">
          <a:off x="4295775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80989</xdr:rowOff>
    </xdr:to>
    <xdr:sp macro="" textlink="">
      <xdr:nvSpPr>
        <xdr:cNvPr id="2004" name="Text Box 12"/>
        <xdr:cNvSpPr txBox="1">
          <a:spLocks noChangeArrowheads="1"/>
        </xdr:cNvSpPr>
      </xdr:nvSpPr>
      <xdr:spPr bwMode="auto">
        <a:xfrm flipH="1">
          <a:off x="4295775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30996</xdr:rowOff>
    </xdr:to>
    <xdr:sp macro="" textlink="">
      <xdr:nvSpPr>
        <xdr:cNvPr id="2005" name="Text Box 4"/>
        <xdr:cNvSpPr txBox="1">
          <a:spLocks noChangeArrowheads="1"/>
        </xdr:cNvSpPr>
      </xdr:nvSpPr>
      <xdr:spPr bwMode="auto">
        <a:xfrm flipH="1">
          <a:off x="4295775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2006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2007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2008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2009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2010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2011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2012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2013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2014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2015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2016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2017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2018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2019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2020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2021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2022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2023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39283</xdr:rowOff>
    </xdr:to>
    <xdr:sp macro="" textlink="">
      <xdr:nvSpPr>
        <xdr:cNvPr id="2024" name="Text Box 4"/>
        <xdr:cNvSpPr txBox="1">
          <a:spLocks noChangeArrowheads="1"/>
        </xdr:cNvSpPr>
      </xdr:nvSpPr>
      <xdr:spPr bwMode="auto">
        <a:xfrm flipH="1">
          <a:off x="4295775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32725</xdr:rowOff>
    </xdr:to>
    <xdr:sp macro="" textlink="">
      <xdr:nvSpPr>
        <xdr:cNvPr id="2025" name="Text Box 12"/>
        <xdr:cNvSpPr txBox="1">
          <a:spLocks noChangeArrowheads="1"/>
        </xdr:cNvSpPr>
      </xdr:nvSpPr>
      <xdr:spPr bwMode="auto">
        <a:xfrm flipH="1">
          <a:off x="4295775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34743</xdr:rowOff>
    </xdr:to>
    <xdr:sp macro="" textlink="">
      <xdr:nvSpPr>
        <xdr:cNvPr id="2026" name="Text Box 14"/>
        <xdr:cNvSpPr txBox="1">
          <a:spLocks noChangeArrowheads="1"/>
        </xdr:cNvSpPr>
      </xdr:nvSpPr>
      <xdr:spPr bwMode="auto">
        <a:xfrm flipH="1">
          <a:off x="4295775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34742</xdr:rowOff>
    </xdr:to>
    <xdr:sp macro="" textlink="">
      <xdr:nvSpPr>
        <xdr:cNvPr id="2027" name="Text Box 16"/>
        <xdr:cNvSpPr txBox="1">
          <a:spLocks noChangeArrowheads="1"/>
        </xdr:cNvSpPr>
      </xdr:nvSpPr>
      <xdr:spPr bwMode="auto">
        <a:xfrm flipH="1">
          <a:off x="4295775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30162</xdr:rowOff>
    </xdr:to>
    <xdr:sp macro="" textlink="">
      <xdr:nvSpPr>
        <xdr:cNvPr id="2028" name="Text Box 12"/>
        <xdr:cNvSpPr txBox="1">
          <a:spLocks noChangeArrowheads="1"/>
        </xdr:cNvSpPr>
      </xdr:nvSpPr>
      <xdr:spPr bwMode="auto">
        <a:xfrm flipH="1">
          <a:off x="4295775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20664</xdr:rowOff>
    </xdr:to>
    <xdr:sp macro="" textlink="">
      <xdr:nvSpPr>
        <xdr:cNvPr id="2029" name="Text Box 4"/>
        <xdr:cNvSpPr txBox="1">
          <a:spLocks noChangeArrowheads="1"/>
        </xdr:cNvSpPr>
      </xdr:nvSpPr>
      <xdr:spPr bwMode="auto">
        <a:xfrm flipH="1">
          <a:off x="4295775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80456</xdr:rowOff>
    </xdr:to>
    <xdr:sp macro="" textlink="">
      <xdr:nvSpPr>
        <xdr:cNvPr id="2030" name="Text Box 4"/>
        <xdr:cNvSpPr txBox="1">
          <a:spLocks noChangeArrowheads="1"/>
        </xdr:cNvSpPr>
      </xdr:nvSpPr>
      <xdr:spPr bwMode="auto">
        <a:xfrm flipH="1">
          <a:off x="4295775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24544</xdr:rowOff>
    </xdr:to>
    <xdr:sp macro="" textlink="">
      <xdr:nvSpPr>
        <xdr:cNvPr id="2031" name="Text Box 12"/>
        <xdr:cNvSpPr txBox="1">
          <a:spLocks noChangeArrowheads="1"/>
        </xdr:cNvSpPr>
      </xdr:nvSpPr>
      <xdr:spPr bwMode="auto">
        <a:xfrm flipH="1">
          <a:off x="4295775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23162</xdr:rowOff>
    </xdr:to>
    <xdr:sp macro="" textlink="">
      <xdr:nvSpPr>
        <xdr:cNvPr id="2032" name="Text Box 14"/>
        <xdr:cNvSpPr txBox="1">
          <a:spLocks noChangeArrowheads="1"/>
        </xdr:cNvSpPr>
      </xdr:nvSpPr>
      <xdr:spPr bwMode="auto">
        <a:xfrm flipH="1">
          <a:off x="4295775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23161</xdr:rowOff>
    </xdr:to>
    <xdr:sp macro="" textlink="">
      <xdr:nvSpPr>
        <xdr:cNvPr id="2033" name="Text Box 16"/>
        <xdr:cNvSpPr txBox="1">
          <a:spLocks noChangeArrowheads="1"/>
        </xdr:cNvSpPr>
      </xdr:nvSpPr>
      <xdr:spPr bwMode="auto">
        <a:xfrm flipH="1">
          <a:off x="4295775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80989</xdr:rowOff>
    </xdr:to>
    <xdr:sp macro="" textlink="">
      <xdr:nvSpPr>
        <xdr:cNvPr id="2034" name="Text Box 12"/>
        <xdr:cNvSpPr txBox="1">
          <a:spLocks noChangeArrowheads="1"/>
        </xdr:cNvSpPr>
      </xdr:nvSpPr>
      <xdr:spPr bwMode="auto">
        <a:xfrm flipH="1">
          <a:off x="4295775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30996</xdr:rowOff>
    </xdr:to>
    <xdr:sp macro="" textlink="">
      <xdr:nvSpPr>
        <xdr:cNvPr id="2035" name="Text Box 4"/>
        <xdr:cNvSpPr txBox="1">
          <a:spLocks noChangeArrowheads="1"/>
        </xdr:cNvSpPr>
      </xdr:nvSpPr>
      <xdr:spPr bwMode="auto">
        <a:xfrm flipH="1">
          <a:off x="4295775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80456</xdr:rowOff>
    </xdr:to>
    <xdr:sp macro="" textlink="">
      <xdr:nvSpPr>
        <xdr:cNvPr id="2036" name="Text Box 4"/>
        <xdr:cNvSpPr txBox="1">
          <a:spLocks noChangeArrowheads="1"/>
        </xdr:cNvSpPr>
      </xdr:nvSpPr>
      <xdr:spPr bwMode="auto">
        <a:xfrm flipH="1">
          <a:off x="4295775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24544</xdr:rowOff>
    </xdr:to>
    <xdr:sp macro="" textlink="">
      <xdr:nvSpPr>
        <xdr:cNvPr id="2037" name="Text Box 12"/>
        <xdr:cNvSpPr txBox="1">
          <a:spLocks noChangeArrowheads="1"/>
        </xdr:cNvSpPr>
      </xdr:nvSpPr>
      <xdr:spPr bwMode="auto">
        <a:xfrm flipH="1">
          <a:off x="4295775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23162</xdr:rowOff>
    </xdr:to>
    <xdr:sp macro="" textlink="">
      <xdr:nvSpPr>
        <xdr:cNvPr id="2038" name="Text Box 14"/>
        <xdr:cNvSpPr txBox="1">
          <a:spLocks noChangeArrowheads="1"/>
        </xdr:cNvSpPr>
      </xdr:nvSpPr>
      <xdr:spPr bwMode="auto">
        <a:xfrm flipH="1">
          <a:off x="4295775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23161</xdr:rowOff>
    </xdr:to>
    <xdr:sp macro="" textlink="">
      <xdr:nvSpPr>
        <xdr:cNvPr id="2039" name="Text Box 16"/>
        <xdr:cNvSpPr txBox="1">
          <a:spLocks noChangeArrowheads="1"/>
        </xdr:cNvSpPr>
      </xdr:nvSpPr>
      <xdr:spPr bwMode="auto">
        <a:xfrm flipH="1">
          <a:off x="4295775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80989</xdr:rowOff>
    </xdr:to>
    <xdr:sp macro="" textlink="">
      <xdr:nvSpPr>
        <xdr:cNvPr id="2040" name="Text Box 12"/>
        <xdr:cNvSpPr txBox="1">
          <a:spLocks noChangeArrowheads="1"/>
        </xdr:cNvSpPr>
      </xdr:nvSpPr>
      <xdr:spPr bwMode="auto">
        <a:xfrm flipH="1">
          <a:off x="4295775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0</xdr:colOff>
      <xdr:row>159</xdr:row>
      <xdr:rowOff>30996</xdr:rowOff>
    </xdr:to>
    <xdr:sp macro="" textlink="">
      <xdr:nvSpPr>
        <xdr:cNvPr id="2041" name="Text Box 4"/>
        <xdr:cNvSpPr txBox="1">
          <a:spLocks noChangeArrowheads="1"/>
        </xdr:cNvSpPr>
      </xdr:nvSpPr>
      <xdr:spPr bwMode="auto">
        <a:xfrm flipH="1">
          <a:off x="4295775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2042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2043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2044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2045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2046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2047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80456</xdr:rowOff>
    </xdr:to>
    <xdr:sp macro="" textlink="">
      <xdr:nvSpPr>
        <xdr:cNvPr id="2048" name="Text Box 4"/>
        <xdr:cNvSpPr txBox="1">
          <a:spLocks noChangeArrowheads="1"/>
        </xdr:cNvSpPr>
      </xdr:nvSpPr>
      <xdr:spPr bwMode="auto">
        <a:xfrm flipH="1">
          <a:off x="4063253" y="26508075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24544</xdr:rowOff>
    </xdr:to>
    <xdr:sp macro="" textlink="">
      <xdr:nvSpPr>
        <xdr:cNvPr id="2049" name="Text Box 12"/>
        <xdr:cNvSpPr txBox="1">
          <a:spLocks noChangeArrowheads="1"/>
        </xdr:cNvSpPr>
      </xdr:nvSpPr>
      <xdr:spPr bwMode="auto">
        <a:xfrm flipH="1">
          <a:off x="4063253" y="26508075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23162</xdr:rowOff>
    </xdr:to>
    <xdr:sp macro="" textlink="">
      <xdr:nvSpPr>
        <xdr:cNvPr id="2050" name="Text Box 14"/>
        <xdr:cNvSpPr txBox="1">
          <a:spLocks noChangeArrowheads="1"/>
        </xdr:cNvSpPr>
      </xdr:nvSpPr>
      <xdr:spPr bwMode="auto">
        <a:xfrm flipH="1">
          <a:off x="4063253" y="26508075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23161</xdr:rowOff>
    </xdr:to>
    <xdr:sp macro="" textlink="">
      <xdr:nvSpPr>
        <xdr:cNvPr id="2051" name="Text Box 16"/>
        <xdr:cNvSpPr txBox="1">
          <a:spLocks noChangeArrowheads="1"/>
        </xdr:cNvSpPr>
      </xdr:nvSpPr>
      <xdr:spPr bwMode="auto">
        <a:xfrm flipH="1">
          <a:off x="4063253" y="26508075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80989</xdr:rowOff>
    </xdr:to>
    <xdr:sp macro="" textlink="">
      <xdr:nvSpPr>
        <xdr:cNvPr id="2052" name="Text Box 12"/>
        <xdr:cNvSpPr txBox="1">
          <a:spLocks noChangeArrowheads="1"/>
        </xdr:cNvSpPr>
      </xdr:nvSpPr>
      <xdr:spPr bwMode="auto">
        <a:xfrm flipH="1">
          <a:off x="4063253" y="26508075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30996</xdr:rowOff>
    </xdr:to>
    <xdr:sp macro="" textlink="">
      <xdr:nvSpPr>
        <xdr:cNvPr id="2053" name="Text Box 4"/>
        <xdr:cNvSpPr txBox="1">
          <a:spLocks noChangeArrowheads="1"/>
        </xdr:cNvSpPr>
      </xdr:nvSpPr>
      <xdr:spPr bwMode="auto">
        <a:xfrm flipH="1">
          <a:off x="4063253" y="26508075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2054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2055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2056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2057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2058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2059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60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61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62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63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64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65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6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6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6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6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7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7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7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7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7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7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7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7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7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7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8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8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8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8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2084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2085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2086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2087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2088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2089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90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91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92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93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94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95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9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9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9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09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0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0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0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0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0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0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0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0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0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0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1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1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1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1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2114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2115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2116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2117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2118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2119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20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21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22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23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24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25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2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2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2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2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3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3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3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3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3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3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3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3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3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3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4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4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4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4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2144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2145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2146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2147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2148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2149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2150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2151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2152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2153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2154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2155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2156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2157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2158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2159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2160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2161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6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6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6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6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6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6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6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6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7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7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7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7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74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75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76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77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78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79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80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81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82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83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84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85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8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8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8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8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9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9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9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9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9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9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9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9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9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19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0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0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0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0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04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05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06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07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08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09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10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11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12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13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14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15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16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17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18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19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20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21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22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23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24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25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26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27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28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29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30" name="Text Box 1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31" name="Text Box 16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32" name="Text Box 12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0</xdr:rowOff>
    </xdr:to>
    <xdr:sp macro="" textlink="">
      <xdr:nvSpPr>
        <xdr:cNvPr id="2233" name="Text Box 4"/>
        <xdr:cNvSpPr txBox="1">
          <a:spLocks noChangeArrowheads="1"/>
        </xdr:cNvSpPr>
      </xdr:nvSpPr>
      <xdr:spPr bwMode="auto">
        <a:xfrm flipH="1">
          <a:off x="4063253" y="26508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2234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2235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2236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2237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2238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2239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2240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2241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2242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2243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2244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2245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39283</xdr:rowOff>
    </xdr:to>
    <xdr:sp macro="" textlink="">
      <xdr:nvSpPr>
        <xdr:cNvPr id="2246" name="Text Box 4"/>
        <xdr:cNvSpPr txBox="1">
          <a:spLocks noChangeArrowheads="1"/>
        </xdr:cNvSpPr>
      </xdr:nvSpPr>
      <xdr:spPr bwMode="auto">
        <a:xfrm flipH="1">
          <a:off x="4063253" y="26508075"/>
          <a:ext cx="0" cy="3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32725</xdr:rowOff>
    </xdr:to>
    <xdr:sp macro="" textlink="">
      <xdr:nvSpPr>
        <xdr:cNvPr id="2247" name="Text Box 12"/>
        <xdr:cNvSpPr txBox="1">
          <a:spLocks noChangeArrowheads="1"/>
        </xdr:cNvSpPr>
      </xdr:nvSpPr>
      <xdr:spPr bwMode="auto">
        <a:xfrm flipH="1">
          <a:off x="4063253" y="26508075"/>
          <a:ext cx="0" cy="3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34743</xdr:rowOff>
    </xdr:to>
    <xdr:sp macro="" textlink="">
      <xdr:nvSpPr>
        <xdr:cNvPr id="2248" name="Text Box 14"/>
        <xdr:cNvSpPr txBox="1">
          <a:spLocks noChangeArrowheads="1"/>
        </xdr:cNvSpPr>
      </xdr:nvSpPr>
      <xdr:spPr bwMode="auto">
        <a:xfrm flipH="1">
          <a:off x="4063253" y="26508075"/>
          <a:ext cx="0" cy="3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34742</xdr:rowOff>
    </xdr:to>
    <xdr:sp macro="" textlink="">
      <xdr:nvSpPr>
        <xdr:cNvPr id="2249" name="Text Box 16"/>
        <xdr:cNvSpPr txBox="1">
          <a:spLocks noChangeArrowheads="1"/>
        </xdr:cNvSpPr>
      </xdr:nvSpPr>
      <xdr:spPr bwMode="auto">
        <a:xfrm flipH="1">
          <a:off x="4063253" y="26508075"/>
          <a:ext cx="0" cy="34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30162</xdr:rowOff>
    </xdr:to>
    <xdr:sp macro="" textlink="">
      <xdr:nvSpPr>
        <xdr:cNvPr id="2250" name="Text Box 12"/>
        <xdr:cNvSpPr txBox="1">
          <a:spLocks noChangeArrowheads="1"/>
        </xdr:cNvSpPr>
      </xdr:nvSpPr>
      <xdr:spPr bwMode="auto">
        <a:xfrm flipH="1">
          <a:off x="4063253" y="26508075"/>
          <a:ext cx="0" cy="30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159</xdr:row>
      <xdr:rowOff>0</xdr:rowOff>
    </xdr:from>
    <xdr:to>
      <xdr:col>4</xdr:col>
      <xdr:colOff>2586878</xdr:colOff>
      <xdr:row>159</xdr:row>
      <xdr:rowOff>20664</xdr:rowOff>
    </xdr:to>
    <xdr:sp macro="" textlink="">
      <xdr:nvSpPr>
        <xdr:cNvPr id="2251" name="Text Box 4"/>
        <xdr:cNvSpPr txBox="1">
          <a:spLocks noChangeArrowheads="1"/>
        </xdr:cNvSpPr>
      </xdr:nvSpPr>
      <xdr:spPr bwMode="auto">
        <a:xfrm flipH="1">
          <a:off x="4063253" y="26508075"/>
          <a:ext cx="0" cy="20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252" name="Text Box 4"/>
        <xdr:cNvSpPr txBox="1">
          <a:spLocks noChangeArrowheads="1"/>
        </xdr:cNvSpPr>
      </xdr:nvSpPr>
      <xdr:spPr bwMode="auto">
        <a:xfrm flipH="1">
          <a:off x="4295775" y="464629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23100</xdr:rowOff>
    </xdr:to>
    <xdr:sp macro="" textlink="">
      <xdr:nvSpPr>
        <xdr:cNvPr id="2253" name="Text Box 12"/>
        <xdr:cNvSpPr txBox="1">
          <a:spLocks noChangeArrowheads="1"/>
        </xdr:cNvSpPr>
      </xdr:nvSpPr>
      <xdr:spPr bwMode="auto">
        <a:xfrm flipH="1">
          <a:off x="4063253" y="4646295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23313</xdr:rowOff>
    </xdr:to>
    <xdr:sp macro="" textlink="">
      <xdr:nvSpPr>
        <xdr:cNvPr id="2254" name="Text Box 14"/>
        <xdr:cNvSpPr txBox="1">
          <a:spLocks noChangeArrowheads="1"/>
        </xdr:cNvSpPr>
      </xdr:nvSpPr>
      <xdr:spPr bwMode="auto">
        <a:xfrm flipH="1">
          <a:off x="4063253" y="4646295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23312</xdr:rowOff>
    </xdr:to>
    <xdr:sp macro="" textlink="">
      <xdr:nvSpPr>
        <xdr:cNvPr id="2255" name="Text Box 16"/>
        <xdr:cNvSpPr txBox="1">
          <a:spLocks noChangeArrowheads="1"/>
        </xdr:cNvSpPr>
      </xdr:nvSpPr>
      <xdr:spPr bwMode="auto">
        <a:xfrm flipH="1">
          <a:off x="4063253" y="4646295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0</xdr:rowOff>
    </xdr:to>
    <xdr:sp macro="" textlink="">
      <xdr:nvSpPr>
        <xdr:cNvPr id="2256" name="Text Box 12"/>
        <xdr:cNvSpPr txBox="1">
          <a:spLocks noChangeArrowheads="1"/>
        </xdr:cNvSpPr>
      </xdr:nvSpPr>
      <xdr:spPr bwMode="auto">
        <a:xfrm flipH="1">
          <a:off x="4063253" y="4646295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26760</xdr:rowOff>
    </xdr:to>
    <xdr:sp macro="" textlink="">
      <xdr:nvSpPr>
        <xdr:cNvPr id="2257" name="Text Box 4"/>
        <xdr:cNvSpPr txBox="1">
          <a:spLocks noChangeArrowheads="1"/>
        </xdr:cNvSpPr>
      </xdr:nvSpPr>
      <xdr:spPr bwMode="auto">
        <a:xfrm flipH="1">
          <a:off x="4063253" y="4646295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258" name="Text Box 4"/>
        <xdr:cNvSpPr txBox="1">
          <a:spLocks noChangeArrowheads="1"/>
        </xdr:cNvSpPr>
      </xdr:nvSpPr>
      <xdr:spPr bwMode="auto">
        <a:xfrm flipH="1">
          <a:off x="4295775" y="464629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23100</xdr:rowOff>
    </xdr:to>
    <xdr:sp macro="" textlink="">
      <xdr:nvSpPr>
        <xdr:cNvPr id="2259" name="Text Box 12"/>
        <xdr:cNvSpPr txBox="1">
          <a:spLocks noChangeArrowheads="1"/>
        </xdr:cNvSpPr>
      </xdr:nvSpPr>
      <xdr:spPr bwMode="auto">
        <a:xfrm flipH="1">
          <a:off x="4063253" y="4646295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23313</xdr:rowOff>
    </xdr:to>
    <xdr:sp macro="" textlink="">
      <xdr:nvSpPr>
        <xdr:cNvPr id="2260" name="Text Box 14"/>
        <xdr:cNvSpPr txBox="1">
          <a:spLocks noChangeArrowheads="1"/>
        </xdr:cNvSpPr>
      </xdr:nvSpPr>
      <xdr:spPr bwMode="auto">
        <a:xfrm flipH="1">
          <a:off x="4063253" y="4646295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23312</xdr:rowOff>
    </xdr:to>
    <xdr:sp macro="" textlink="">
      <xdr:nvSpPr>
        <xdr:cNvPr id="2261" name="Text Box 16"/>
        <xdr:cNvSpPr txBox="1">
          <a:spLocks noChangeArrowheads="1"/>
        </xdr:cNvSpPr>
      </xdr:nvSpPr>
      <xdr:spPr bwMode="auto">
        <a:xfrm flipH="1">
          <a:off x="4063253" y="4646295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0</xdr:rowOff>
    </xdr:to>
    <xdr:sp macro="" textlink="">
      <xdr:nvSpPr>
        <xdr:cNvPr id="2262" name="Text Box 12"/>
        <xdr:cNvSpPr txBox="1">
          <a:spLocks noChangeArrowheads="1"/>
        </xdr:cNvSpPr>
      </xdr:nvSpPr>
      <xdr:spPr bwMode="auto">
        <a:xfrm flipH="1">
          <a:off x="4063253" y="4646295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26760</xdr:rowOff>
    </xdr:to>
    <xdr:sp macro="" textlink="">
      <xdr:nvSpPr>
        <xdr:cNvPr id="2263" name="Text Box 4"/>
        <xdr:cNvSpPr txBox="1">
          <a:spLocks noChangeArrowheads="1"/>
        </xdr:cNvSpPr>
      </xdr:nvSpPr>
      <xdr:spPr bwMode="auto">
        <a:xfrm flipH="1">
          <a:off x="4063253" y="4646295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9525</xdr:rowOff>
    </xdr:to>
    <xdr:sp macro="" textlink="">
      <xdr:nvSpPr>
        <xdr:cNvPr id="2264" name="Text Box 4"/>
        <xdr:cNvSpPr txBox="1">
          <a:spLocks noChangeArrowheads="1"/>
        </xdr:cNvSpPr>
      </xdr:nvSpPr>
      <xdr:spPr bwMode="auto">
        <a:xfrm flipH="1">
          <a:off x="4295775" y="464629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23100</xdr:rowOff>
    </xdr:to>
    <xdr:sp macro="" textlink="">
      <xdr:nvSpPr>
        <xdr:cNvPr id="2265" name="Text Box 12"/>
        <xdr:cNvSpPr txBox="1">
          <a:spLocks noChangeArrowheads="1"/>
        </xdr:cNvSpPr>
      </xdr:nvSpPr>
      <xdr:spPr bwMode="auto">
        <a:xfrm flipH="1">
          <a:off x="4295775" y="46462950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23313</xdr:rowOff>
    </xdr:to>
    <xdr:sp macro="" textlink="">
      <xdr:nvSpPr>
        <xdr:cNvPr id="2266" name="Text Box 14"/>
        <xdr:cNvSpPr txBox="1">
          <a:spLocks noChangeArrowheads="1"/>
        </xdr:cNvSpPr>
      </xdr:nvSpPr>
      <xdr:spPr bwMode="auto">
        <a:xfrm flipH="1">
          <a:off x="4295775" y="46462950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23312</xdr:rowOff>
    </xdr:to>
    <xdr:sp macro="" textlink="">
      <xdr:nvSpPr>
        <xdr:cNvPr id="2267" name="Text Box 16"/>
        <xdr:cNvSpPr txBox="1">
          <a:spLocks noChangeArrowheads="1"/>
        </xdr:cNvSpPr>
      </xdr:nvSpPr>
      <xdr:spPr bwMode="auto">
        <a:xfrm flipH="1">
          <a:off x="4295775" y="46462950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0</xdr:rowOff>
    </xdr:to>
    <xdr:sp macro="" textlink="">
      <xdr:nvSpPr>
        <xdr:cNvPr id="2268" name="Text Box 12"/>
        <xdr:cNvSpPr txBox="1">
          <a:spLocks noChangeArrowheads="1"/>
        </xdr:cNvSpPr>
      </xdr:nvSpPr>
      <xdr:spPr bwMode="auto">
        <a:xfrm flipH="1">
          <a:off x="4295775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26760</xdr:rowOff>
    </xdr:to>
    <xdr:sp macro="" textlink="">
      <xdr:nvSpPr>
        <xdr:cNvPr id="2269" name="Text Box 4"/>
        <xdr:cNvSpPr txBox="1">
          <a:spLocks noChangeArrowheads="1"/>
        </xdr:cNvSpPr>
      </xdr:nvSpPr>
      <xdr:spPr bwMode="auto">
        <a:xfrm flipH="1">
          <a:off x="4295775" y="46462950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9525</xdr:rowOff>
    </xdr:to>
    <xdr:sp macro="" textlink="">
      <xdr:nvSpPr>
        <xdr:cNvPr id="2270" name="Text Box 4"/>
        <xdr:cNvSpPr txBox="1">
          <a:spLocks noChangeArrowheads="1"/>
        </xdr:cNvSpPr>
      </xdr:nvSpPr>
      <xdr:spPr bwMode="auto">
        <a:xfrm flipH="1">
          <a:off x="4295775" y="464629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23100</xdr:rowOff>
    </xdr:to>
    <xdr:sp macro="" textlink="">
      <xdr:nvSpPr>
        <xdr:cNvPr id="2271" name="Text Box 12"/>
        <xdr:cNvSpPr txBox="1">
          <a:spLocks noChangeArrowheads="1"/>
        </xdr:cNvSpPr>
      </xdr:nvSpPr>
      <xdr:spPr bwMode="auto">
        <a:xfrm flipH="1">
          <a:off x="4295775" y="46462950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23313</xdr:rowOff>
    </xdr:to>
    <xdr:sp macro="" textlink="">
      <xdr:nvSpPr>
        <xdr:cNvPr id="2272" name="Text Box 14"/>
        <xdr:cNvSpPr txBox="1">
          <a:spLocks noChangeArrowheads="1"/>
        </xdr:cNvSpPr>
      </xdr:nvSpPr>
      <xdr:spPr bwMode="auto">
        <a:xfrm flipH="1">
          <a:off x="4295775" y="46462950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23312</xdr:rowOff>
    </xdr:to>
    <xdr:sp macro="" textlink="">
      <xdr:nvSpPr>
        <xdr:cNvPr id="2273" name="Text Box 16"/>
        <xdr:cNvSpPr txBox="1">
          <a:spLocks noChangeArrowheads="1"/>
        </xdr:cNvSpPr>
      </xdr:nvSpPr>
      <xdr:spPr bwMode="auto">
        <a:xfrm flipH="1">
          <a:off x="4295775" y="46462950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0</xdr:rowOff>
    </xdr:to>
    <xdr:sp macro="" textlink="">
      <xdr:nvSpPr>
        <xdr:cNvPr id="2274" name="Text Box 12"/>
        <xdr:cNvSpPr txBox="1">
          <a:spLocks noChangeArrowheads="1"/>
        </xdr:cNvSpPr>
      </xdr:nvSpPr>
      <xdr:spPr bwMode="auto">
        <a:xfrm flipH="1">
          <a:off x="4295775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26760</xdr:rowOff>
    </xdr:to>
    <xdr:sp macro="" textlink="">
      <xdr:nvSpPr>
        <xdr:cNvPr id="2275" name="Text Box 4"/>
        <xdr:cNvSpPr txBox="1">
          <a:spLocks noChangeArrowheads="1"/>
        </xdr:cNvSpPr>
      </xdr:nvSpPr>
      <xdr:spPr bwMode="auto">
        <a:xfrm flipH="1">
          <a:off x="4295775" y="46462950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276" name="Text Box 4"/>
        <xdr:cNvSpPr txBox="1">
          <a:spLocks noChangeArrowheads="1"/>
        </xdr:cNvSpPr>
      </xdr:nvSpPr>
      <xdr:spPr bwMode="auto">
        <a:xfrm flipH="1">
          <a:off x="4295775" y="464629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23100</xdr:rowOff>
    </xdr:to>
    <xdr:sp macro="" textlink="">
      <xdr:nvSpPr>
        <xdr:cNvPr id="2277" name="Text Box 12"/>
        <xdr:cNvSpPr txBox="1">
          <a:spLocks noChangeArrowheads="1"/>
        </xdr:cNvSpPr>
      </xdr:nvSpPr>
      <xdr:spPr bwMode="auto">
        <a:xfrm flipH="1">
          <a:off x="4063253" y="4646295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23313</xdr:rowOff>
    </xdr:to>
    <xdr:sp macro="" textlink="">
      <xdr:nvSpPr>
        <xdr:cNvPr id="2278" name="Text Box 14"/>
        <xdr:cNvSpPr txBox="1">
          <a:spLocks noChangeArrowheads="1"/>
        </xdr:cNvSpPr>
      </xdr:nvSpPr>
      <xdr:spPr bwMode="auto">
        <a:xfrm flipH="1">
          <a:off x="4063253" y="4646295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23312</xdr:rowOff>
    </xdr:to>
    <xdr:sp macro="" textlink="">
      <xdr:nvSpPr>
        <xdr:cNvPr id="2279" name="Text Box 16"/>
        <xdr:cNvSpPr txBox="1">
          <a:spLocks noChangeArrowheads="1"/>
        </xdr:cNvSpPr>
      </xdr:nvSpPr>
      <xdr:spPr bwMode="auto">
        <a:xfrm flipH="1">
          <a:off x="4063253" y="4646295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0</xdr:rowOff>
    </xdr:to>
    <xdr:sp macro="" textlink="">
      <xdr:nvSpPr>
        <xdr:cNvPr id="2280" name="Text Box 12"/>
        <xdr:cNvSpPr txBox="1">
          <a:spLocks noChangeArrowheads="1"/>
        </xdr:cNvSpPr>
      </xdr:nvSpPr>
      <xdr:spPr bwMode="auto">
        <a:xfrm flipH="1">
          <a:off x="4063253" y="4646295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26760</xdr:rowOff>
    </xdr:to>
    <xdr:sp macro="" textlink="">
      <xdr:nvSpPr>
        <xdr:cNvPr id="2281" name="Text Box 4"/>
        <xdr:cNvSpPr txBox="1">
          <a:spLocks noChangeArrowheads="1"/>
        </xdr:cNvSpPr>
      </xdr:nvSpPr>
      <xdr:spPr bwMode="auto">
        <a:xfrm flipH="1">
          <a:off x="4063253" y="4646295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282" name="Text Box 4"/>
        <xdr:cNvSpPr txBox="1">
          <a:spLocks noChangeArrowheads="1"/>
        </xdr:cNvSpPr>
      </xdr:nvSpPr>
      <xdr:spPr bwMode="auto">
        <a:xfrm flipH="1">
          <a:off x="4295775" y="464629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23100</xdr:rowOff>
    </xdr:to>
    <xdr:sp macro="" textlink="">
      <xdr:nvSpPr>
        <xdr:cNvPr id="2283" name="Text Box 12"/>
        <xdr:cNvSpPr txBox="1">
          <a:spLocks noChangeArrowheads="1"/>
        </xdr:cNvSpPr>
      </xdr:nvSpPr>
      <xdr:spPr bwMode="auto">
        <a:xfrm flipH="1">
          <a:off x="4063253" y="4646295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23313</xdr:rowOff>
    </xdr:to>
    <xdr:sp macro="" textlink="">
      <xdr:nvSpPr>
        <xdr:cNvPr id="2284" name="Text Box 14"/>
        <xdr:cNvSpPr txBox="1">
          <a:spLocks noChangeArrowheads="1"/>
        </xdr:cNvSpPr>
      </xdr:nvSpPr>
      <xdr:spPr bwMode="auto">
        <a:xfrm flipH="1">
          <a:off x="4063253" y="4646295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23312</xdr:rowOff>
    </xdr:to>
    <xdr:sp macro="" textlink="">
      <xdr:nvSpPr>
        <xdr:cNvPr id="2285" name="Text Box 16"/>
        <xdr:cNvSpPr txBox="1">
          <a:spLocks noChangeArrowheads="1"/>
        </xdr:cNvSpPr>
      </xdr:nvSpPr>
      <xdr:spPr bwMode="auto">
        <a:xfrm flipH="1">
          <a:off x="4063253" y="4646295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0</xdr:rowOff>
    </xdr:to>
    <xdr:sp macro="" textlink="">
      <xdr:nvSpPr>
        <xdr:cNvPr id="2286" name="Text Box 12"/>
        <xdr:cNvSpPr txBox="1">
          <a:spLocks noChangeArrowheads="1"/>
        </xdr:cNvSpPr>
      </xdr:nvSpPr>
      <xdr:spPr bwMode="auto">
        <a:xfrm flipH="1">
          <a:off x="4063253" y="4646295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26760</xdr:rowOff>
    </xdr:to>
    <xdr:sp macro="" textlink="">
      <xdr:nvSpPr>
        <xdr:cNvPr id="2287" name="Text Box 4"/>
        <xdr:cNvSpPr txBox="1">
          <a:spLocks noChangeArrowheads="1"/>
        </xdr:cNvSpPr>
      </xdr:nvSpPr>
      <xdr:spPr bwMode="auto">
        <a:xfrm flipH="1">
          <a:off x="4063253" y="4646295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9525</xdr:rowOff>
    </xdr:to>
    <xdr:sp macro="" textlink="">
      <xdr:nvSpPr>
        <xdr:cNvPr id="2288" name="Text Box 4"/>
        <xdr:cNvSpPr txBox="1">
          <a:spLocks noChangeArrowheads="1"/>
        </xdr:cNvSpPr>
      </xdr:nvSpPr>
      <xdr:spPr bwMode="auto">
        <a:xfrm flipH="1">
          <a:off x="4295775" y="464629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23100</xdr:rowOff>
    </xdr:to>
    <xdr:sp macro="" textlink="">
      <xdr:nvSpPr>
        <xdr:cNvPr id="2289" name="Text Box 12"/>
        <xdr:cNvSpPr txBox="1">
          <a:spLocks noChangeArrowheads="1"/>
        </xdr:cNvSpPr>
      </xdr:nvSpPr>
      <xdr:spPr bwMode="auto">
        <a:xfrm flipH="1">
          <a:off x="4295775" y="46462950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23313</xdr:rowOff>
    </xdr:to>
    <xdr:sp macro="" textlink="">
      <xdr:nvSpPr>
        <xdr:cNvPr id="2290" name="Text Box 14"/>
        <xdr:cNvSpPr txBox="1">
          <a:spLocks noChangeArrowheads="1"/>
        </xdr:cNvSpPr>
      </xdr:nvSpPr>
      <xdr:spPr bwMode="auto">
        <a:xfrm flipH="1">
          <a:off x="4295775" y="46462950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23312</xdr:rowOff>
    </xdr:to>
    <xdr:sp macro="" textlink="">
      <xdr:nvSpPr>
        <xdr:cNvPr id="2291" name="Text Box 16"/>
        <xdr:cNvSpPr txBox="1">
          <a:spLocks noChangeArrowheads="1"/>
        </xdr:cNvSpPr>
      </xdr:nvSpPr>
      <xdr:spPr bwMode="auto">
        <a:xfrm flipH="1">
          <a:off x="4295775" y="46462950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0</xdr:rowOff>
    </xdr:to>
    <xdr:sp macro="" textlink="">
      <xdr:nvSpPr>
        <xdr:cNvPr id="2292" name="Text Box 12"/>
        <xdr:cNvSpPr txBox="1">
          <a:spLocks noChangeArrowheads="1"/>
        </xdr:cNvSpPr>
      </xdr:nvSpPr>
      <xdr:spPr bwMode="auto">
        <a:xfrm flipH="1">
          <a:off x="4295775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26760</xdr:rowOff>
    </xdr:to>
    <xdr:sp macro="" textlink="">
      <xdr:nvSpPr>
        <xdr:cNvPr id="2293" name="Text Box 4"/>
        <xdr:cNvSpPr txBox="1">
          <a:spLocks noChangeArrowheads="1"/>
        </xdr:cNvSpPr>
      </xdr:nvSpPr>
      <xdr:spPr bwMode="auto">
        <a:xfrm flipH="1">
          <a:off x="4295775" y="46462950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9525</xdr:rowOff>
    </xdr:to>
    <xdr:sp macro="" textlink="">
      <xdr:nvSpPr>
        <xdr:cNvPr id="2294" name="Text Box 4"/>
        <xdr:cNvSpPr txBox="1">
          <a:spLocks noChangeArrowheads="1"/>
        </xdr:cNvSpPr>
      </xdr:nvSpPr>
      <xdr:spPr bwMode="auto">
        <a:xfrm flipH="1">
          <a:off x="4295775" y="464629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23100</xdr:rowOff>
    </xdr:to>
    <xdr:sp macro="" textlink="">
      <xdr:nvSpPr>
        <xdr:cNvPr id="2295" name="Text Box 12"/>
        <xdr:cNvSpPr txBox="1">
          <a:spLocks noChangeArrowheads="1"/>
        </xdr:cNvSpPr>
      </xdr:nvSpPr>
      <xdr:spPr bwMode="auto">
        <a:xfrm flipH="1">
          <a:off x="4295775" y="46462950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23313</xdr:rowOff>
    </xdr:to>
    <xdr:sp macro="" textlink="">
      <xdr:nvSpPr>
        <xdr:cNvPr id="2296" name="Text Box 14"/>
        <xdr:cNvSpPr txBox="1">
          <a:spLocks noChangeArrowheads="1"/>
        </xdr:cNvSpPr>
      </xdr:nvSpPr>
      <xdr:spPr bwMode="auto">
        <a:xfrm flipH="1">
          <a:off x="4295775" y="46462950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23312</xdr:rowOff>
    </xdr:to>
    <xdr:sp macro="" textlink="">
      <xdr:nvSpPr>
        <xdr:cNvPr id="2297" name="Text Box 16"/>
        <xdr:cNvSpPr txBox="1">
          <a:spLocks noChangeArrowheads="1"/>
        </xdr:cNvSpPr>
      </xdr:nvSpPr>
      <xdr:spPr bwMode="auto">
        <a:xfrm flipH="1">
          <a:off x="4295775" y="46462950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0</xdr:rowOff>
    </xdr:to>
    <xdr:sp macro="" textlink="">
      <xdr:nvSpPr>
        <xdr:cNvPr id="2298" name="Text Box 12"/>
        <xdr:cNvSpPr txBox="1">
          <a:spLocks noChangeArrowheads="1"/>
        </xdr:cNvSpPr>
      </xdr:nvSpPr>
      <xdr:spPr bwMode="auto">
        <a:xfrm flipH="1">
          <a:off x="4295775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26760</xdr:rowOff>
    </xdr:to>
    <xdr:sp macro="" textlink="">
      <xdr:nvSpPr>
        <xdr:cNvPr id="2299" name="Text Box 4"/>
        <xdr:cNvSpPr txBox="1">
          <a:spLocks noChangeArrowheads="1"/>
        </xdr:cNvSpPr>
      </xdr:nvSpPr>
      <xdr:spPr bwMode="auto">
        <a:xfrm flipH="1">
          <a:off x="4295775" y="46462950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300" name="Text Box 4"/>
        <xdr:cNvSpPr txBox="1">
          <a:spLocks noChangeArrowheads="1"/>
        </xdr:cNvSpPr>
      </xdr:nvSpPr>
      <xdr:spPr bwMode="auto">
        <a:xfrm flipH="1">
          <a:off x="4295775" y="464629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23100</xdr:rowOff>
    </xdr:to>
    <xdr:sp macro="" textlink="">
      <xdr:nvSpPr>
        <xdr:cNvPr id="2301" name="Text Box 12"/>
        <xdr:cNvSpPr txBox="1">
          <a:spLocks noChangeArrowheads="1"/>
        </xdr:cNvSpPr>
      </xdr:nvSpPr>
      <xdr:spPr bwMode="auto">
        <a:xfrm flipH="1">
          <a:off x="4063253" y="4646295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23313</xdr:rowOff>
    </xdr:to>
    <xdr:sp macro="" textlink="">
      <xdr:nvSpPr>
        <xdr:cNvPr id="2302" name="Text Box 14"/>
        <xdr:cNvSpPr txBox="1">
          <a:spLocks noChangeArrowheads="1"/>
        </xdr:cNvSpPr>
      </xdr:nvSpPr>
      <xdr:spPr bwMode="auto">
        <a:xfrm flipH="1">
          <a:off x="4063253" y="4646295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23312</xdr:rowOff>
    </xdr:to>
    <xdr:sp macro="" textlink="">
      <xdr:nvSpPr>
        <xdr:cNvPr id="2303" name="Text Box 16"/>
        <xdr:cNvSpPr txBox="1">
          <a:spLocks noChangeArrowheads="1"/>
        </xdr:cNvSpPr>
      </xdr:nvSpPr>
      <xdr:spPr bwMode="auto">
        <a:xfrm flipH="1">
          <a:off x="4063253" y="4646295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0</xdr:rowOff>
    </xdr:to>
    <xdr:sp macro="" textlink="">
      <xdr:nvSpPr>
        <xdr:cNvPr id="2304" name="Text Box 12"/>
        <xdr:cNvSpPr txBox="1">
          <a:spLocks noChangeArrowheads="1"/>
        </xdr:cNvSpPr>
      </xdr:nvSpPr>
      <xdr:spPr bwMode="auto">
        <a:xfrm flipH="1">
          <a:off x="4063253" y="4646295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26760</xdr:rowOff>
    </xdr:to>
    <xdr:sp macro="" textlink="">
      <xdr:nvSpPr>
        <xdr:cNvPr id="2305" name="Text Box 4"/>
        <xdr:cNvSpPr txBox="1">
          <a:spLocks noChangeArrowheads="1"/>
        </xdr:cNvSpPr>
      </xdr:nvSpPr>
      <xdr:spPr bwMode="auto">
        <a:xfrm flipH="1">
          <a:off x="4063253" y="4646295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306" name="Text Box 4"/>
        <xdr:cNvSpPr txBox="1">
          <a:spLocks noChangeArrowheads="1"/>
        </xdr:cNvSpPr>
      </xdr:nvSpPr>
      <xdr:spPr bwMode="auto">
        <a:xfrm flipH="1">
          <a:off x="4295775" y="464629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23100</xdr:rowOff>
    </xdr:to>
    <xdr:sp macro="" textlink="">
      <xdr:nvSpPr>
        <xdr:cNvPr id="2307" name="Text Box 12"/>
        <xdr:cNvSpPr txBox="1">
          <a:spLocks noChangeArrowheads="1"/>
        </xdr:cNvSpPr>
      </xdr:nvSpPr>
      <xdr:spPr bwMode="auto">
        <a:xfrm flipH="1">
          <a:off x="4063253" y="4646295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23313</xdr:rowOff>
    </xdr:to>
    <xdr:sp macro="" textlink="">
      <xdr:nvSpPr>
        <xdr:cNvPr id="2308" name="Text Box 14"/>
        <xdr:cNvSpPr txBox="1">
          <a:spLocks noChangeArrowheads="1"/>
        </xdr:cNvSpPr>
      </xdr:nvSpPr>
      <xdr:spPr bwMode="auto">
        <a:xfrm flipH="1">
          <a:off x="4063253" y="4646295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23312</xdr:rowOff>
    </xdr:to>
    <xdr:sp macro="" textlink="">
      <xdr:nvSpPr>
        <xdr:cNvPr id="2309" name="Text Box 16"/>
        <xdr:cNvSpPr txBox="1">
          <a:spLocks noChangeArrowheads="1"/>
        </xdr:cNvSpPr>
      </xdr:nvSpPr>
      <xdr:spPr bwMode="auto">
        <a:xfrm flipH="1">
          <a:off x="4063253" y="4646295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0</xdr:rowOff>
    </xdr:to>
    <xdr:sp macro="" textlink="">
      <xdr:nvSpPr>
        <xdr:cNvPr id="2310" name="Text Box 12"/>
        <xdr:cNvSpPr txBox="1">
          <a:spLocks noChangeArrowheads="1"/>
        </xdr:cNvSpPr>
      </xdr:nvSpPr>
      <xdr:spPr bwMode="auto">
        <a:xfrm flipH="1">
          <a:off x="4063253" y="4646295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26760</xdr:rowOff>
    </xdr:to>
    <xdr:sp macro="" textlink="">
      <xdr:nvSpPr>
        <xdr:cNvPr id="2311" name="Text Box 4"/>
        <xdr:cNvSpPr txBox="1">
          <a:spLocks noChangeArrowheads="1"/>
        </xdr:cNvSpPr>
      </xdr:nvSpPr>
      <xdr:spPr bwMode="auto">
        <a:xfrm flipH="1">
          <a:off x="4063253" y="4646295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312" name="Text Box 4"/>
        <xdr:cNvSpPr txBox="1">
          <a:spLocks noChangeArrowheads="1"/>
        </xdr:cNvSpPr>
      </xdr:nvSpPr>
      <xdr:spPr bwMode="auto">
        <a:xfrm flipH="1">
          <a:off x="4295775" y="464629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23100</xdr:rowOff>
    </xdr:to>
    <xdr:sp macro="" textlink="">
      <xdr:nvSpPr>
        <xdr:cNvPr id="2313" name="Text Box 12"/>
        <xdr:cNvSpPr txBox="1">
          <a:spLocks noChangeArrowheads="1"/>
        </xdr:cNvSpPr>
      </xdr:nvSpPr>
      <xdr:spPr bwMode="auto">
        <a:xfrm flipH="1">
          <a:off x="4063253" y="4646295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23313</xdr:rowOff>
    </xdr:to>
    <xdr:sp macro="" textlink="">
      <xdr:nvSpPr>
        <xdr:cNvPr id="2314" name="Text Box 14"/>
        <xdr:cNvSpPr txBox="1">
          <a:spLocks noChangeArrowheads="1"/>
        </xdr:cNvSpPr>
      </xdr:nvSpPr>
      <xdr:spPr bwMode="auto">
        <a:xfrm flipH="1">
          <a:off x="4063253" y="4646295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23312</xdr:rowOff>
    </xdr:to>
    <xdr:sp macro="" textlink="">
      <xdr:nvSpPr>
        <xdr:cNvPr id="2315" name="Text Box 16"/>
        <xdr:cNvSpPr txBox="1">
          <a:spLocks noChangeArrowheads="1"/>
        </xdr:cNvSpPr>
      </xdr:nvSpPr>
      <xdr:spPr bwMode="auto">
        <a:xfrm flipH="1">
          <a:off x="4063253" y="4646295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0</xdr:rowOff>
    </xdr:to>
    <xdr:sp macro="" textlink="">
      <xdr:nvSpPr>
        <xdr:cNvPr id="2316" name="Text Box 12"/>
        <xdr:cNvSpPr txBox="1">
          <a:spLocks noChangeArrowheads="1"/>
        </xdr:cNvSpPr>
      </xdr:nvSpPr>
      <xdr:spPr bwMode="auto">
        <a:xfrm flipH="1">
          <a:off x="4063253" y="4646295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26760</xdr:rowOff>
    </xdr:to>
    <xdr:sp macro="" textlink="">
      <xdr:nvSpPr>
        <xdr:cNvPr id="2317" name="Text Box 4"/>
        <xdr:cNvSpPr txBox="1">
          <a:spLocks noChangeArrowheads="1"/>
        </xdr:cNvSpPr>
      </xdr:nvSpPr>
      <xdr:spPr bwMode="auto">
        <a:xfrm flipH="1">
          <a:off x="4063253" y="4646295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318" name="Text Box 4"/>
        <xdr:cNvSpPr txBox="1">
          <a:spLocks noChangeArrowheads="1"/>
        </xdr:cNvSpPr>
      </xdr:nvSpPr>
      <xdr:spPr bwMode="auto">
        <a:xfrm flipH="1">
          <a:off x="4295775" y="464629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23100</xdr:rowOff>
    </xdr:to>
    <xdr:sp macro="" textlink="">
      <xdr:nvSpPr>
        <xdr:cNvPr id="2319" name="Text Box 12"/>
        <xdr:cNvSpPr txBox="1">
          <a:spLocks noChangeArrowheads="1"/>
        </xdr:cNvSpPr>
      </xdr:nvSpPr>
      <xdr:spPr bwMode="auto">
        <a:xfrm flipH="1">
          <a:off x="4063253" y="4646295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23313</xdr:rowOff>
    </xdr:to>
    <xdr:sp macro="" textlink="">
      <xdr:nvSpPr>
        <xdr:cNvPr id="2320" name="Text Box 14"/>
        <xdr:cNvSpPr txBox="1">
          <a:spLocks noChangeArrowheads="1"/>
        </xdr:cNvSpPr>
      </xdr:nvSpPr>
      <xdr:spPr bwMode="auto">
        <a:xfrm flipH="1">
          <a:off x="4063253" y="4646295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23312</xdr:rowOff>
    </xdr:to>
    <xdr:sp macro="" textlink="">
      <xdr:nvSpPr>
        <xdr:cNvPr id="2321" name="Text Box 16"/>
        <xdr:cNvSpPr txBox="1">
          <a:spLocks noChangeArrowheads="1"/>
        </xdr:cNvSpPr>
      </xdr:nvSpPr>
      <xdr:spPr bwMode="auto">
        <a:xfrm flipH="1">
          <a:off x="4063253" y="4646295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0</xdr:rowOff>
    </xdr:to>
    <xdr:sp macro="" textlink="">
      <xdr:nvSpPr>
        <xdr:cNvPr id="2322" name="Text Box 12"/>
        <xdr:cNvSpPr txBox="1">
          <a:spLocks noChangeArrowheads="1"/>
        </xdr:cNvSpPr>
      </xdr:nvSpPr>
      <xdr:spPr bwMode="auto">
        <a:xfrm flipH="1">
          <a:off x="4063253" y="4646295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26760</xdr:rowOff>
    </xdr:to>
    <xdr:sp macro="" textlink="">
      <xdr:nvSpPr>
        <xdr:cNvPr id="2323" name="Text Box 4"/>
        <xdr:cNvSpPr txBox="1">
          <a:spLocks noChangeArrowheads="1"/>
        </xdr:cNvSpPr>
      </xdr:nvSpPr>
      <xdr:spPr bwMode="auto">
        <a:xfrm flipH="1">
          <a:off x="4063253" y="4646295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9525</xdr:rowOff>
    </xdr:to>
    <xdr:sp macro="" textlink="">
      <xdr:nvSpPr>
        <xdr:cNvPr id="2324" name="Text Box 4"/>
        <xdr:cNvSpPr txBox="1">
          <a:spLocks noChangeArrowheads="1"/>
        </xdr:cNvSpPr>
      </xdr:nvSpPr>
      <xdr:spPr bwMode="auto">
        <a:xfrm flipH="1">
          <a:off x="4295775" y="464629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23100</xdr:rowOff>
    </xdr:to>
    <xdr:sp macro="" textlink="">
      <xdr:nvSpPr>
        <xdr:cNvPr id="2325" name="Text Box 12"/>
        <xdr:cNvSpPr txBox="1">
          <a:spLocks noChangeArrowheads="1"/>
        </xdr:cNvSpPr>
      </xdr:nvSpPr>
      <xdr:spPr bwMode="auto">
        <a:xfrm flipH="1">
          <a:off x="4295775" y="46462950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23313</xdr:rowOff>
    </xdr:to>
    <xdr:sp macro="" textlink="">
      <xdr:nvSpPr>
        <xdr:cNvPr id="2326" name="Text Box 14"/>
        <xdr:cNvSpPr txBox="1">
          <a:spLocks noChangeArrowheads="1"/>
        </xdr:cNvSpPr>
      </xdr:nvSpPr>
      <xdr:spPr bwMode="auto">
        <a:xfrm flipH="1">
          <a:off x="4295775" y="46462950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23312</xdr:rowOff>
    </xdr:to>
    <xdr:sp macro="" textlink="">
      <xdr:nvSpPr>
        <xdr:cNvPr id="2327" name="Text Box 16"/>
        <xdr:cNvSpPr txBox="1">
          <a:spLocks noChangeArrowheads="1"/>
        </xdr:cNvSpPr>
      </xdr:nvSpPr>
      <xdr:spPr bwMode="auto">
        <a:xfrm flipH="1">
          <a:off x="4295775" y="46462950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0</xdr:rowOff>
    </xdr:to>
    <xdr:sp macro="" textlink="">
      <xdr:nvSpPr>
        <xdr:cNvPr id="2328" name="Text Box 12"/>
        <xdr:cNvSpPr txBox="1">
          <a:spLocks noChangeArrowheads="1"/>
        </xdr:cNvSpPr>
      </xdr:nvSpPr>
      <xdr:spPr bwMode="auto">
        <a:xfrm flipH="1">
          <a:off x="4295775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26760</xdr:rowOff>
    </xdr:to>
    <xdr:sp macro="" textlink="">
      <xdr:nvSpPr>
        <xdr:cNvPr id="2329" name="Text Box 4"/>
        <xdr:cNvSpPr txBox="1">
          <a:spLocks noChangeArrowheads="1"/>
        </xdr:cNvSpPr>
      </xdr:nvSpPr>
      <xdr:spPr bwMode="auto">
        <a:xfrm flipH="1">
          <a:off x="4295775" y="46462950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9525</xdr:rowOff>
    </xdr:to>
    <xdr:sp macro="" textlink="">
      <xdr:nvSpPr>
        <xdr:cNvPr id="2330" name="Text Box 4"/>
        <xdr:cNvSpPr txBox="1">
          <a:spLocks noChangeArrowheads="1"/>
        </xdr:cNvSpPr>
      </xdr:nvSpPr>
      <xdr:spPr bwMode="auto">
        <a:xfrm flipH="1">
          <a:off x="4295775" y="464629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23100</xdr:rowOff>
    </xdr:to>
    <xdr:sp macro="" textlink="">
      <xdr:nvSpPr>
        <xdr:cNvPr id="2331" name="Text Box 12"/>
        <xdr:cNvSpPr txBox="1">
          <a:spLocks noChangeArrowheads="1"/>
        </xdr:cNvSpPr>
      </xdr:nvSpPr>
      <xdr:spPr bwMode="auto">
        <a:xfrm flipH="1">
          <a:off x="4295775" y="46462950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23313</xdr:rowOff>
    </xdr:to>
    <xdr:sp macro="" textlink="">
      <xdr:nvSpPr>
        <xdr:cNvPr id="2332" name="Text Box 14"/>
        <xdr:cNvSpPr txBox="1">
          <a:spLocks noChangeArrowheads="1"/>
        </xdr:cNvSpPr>
      </xdr:nvSpPr>
      <xdr:spPr bwMode="auto">
        <a:xfrm flipH="1">
          <a:off x="4295775" y="46462950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23312</xdr:rowOff>
    </xdr:to>
    <xdr:sp macro="" textlink="">
      <xdr:nvSpPr>
        <xdr:cNvPr id="2333" name="Text Box 16"/>
        <xdr:cNvSpPr txBox="1">
          <a:spLocks noChangeArrowheads="1"/>
        </xdr:cNvSpPr>
      </xdr:nvSpPr>
      <xdr:spPr bwMode="auto">
        <a:xfrm flipH="1">
          <a:off x="4295775" y="46462950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0</xdr:rowOff>
    </xdr:to>
    <xdr:sp macro="" textlink="">
      <xdr:nvSpPr>
        <xdr:cNvPr id="2334" name="Text Box 12"/>
        <xdr:cNvSpPr txBox="1">
          <a:spLocks noChangeArrowheads="1"/>
        </xdr:cNvSpPr>
      </xdr:nvSpPr>
      <xdr:spPr bwMode="auto">
        <a:xfrm flipH="1">
          <a:off x="4295775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26760</xdr:rowOff>
    </xdr:to>
    <xdr:sp macro="" textlink="">
      <xdr:nvSpPr>
        <xdr:cNvPr id="2335" name="Text Box 4"/>
        <xdr:cNvSpPr txBox="1">
          <a:spLocks noChangeArrowheads="1"/>
        </xdr:cNvSpPr>
      </xdr:nvSpPr>
      <xdr:spPr bwMode="auto">
        <a:xfrm flipH="1">
          <a:off x="4295775" y="46462950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336" name="Text Box 4"/>
        <xdr:cNvSpPr txBox="1">
          <a:spLocks noChangeArrowheads="1"/>
        </xdr:cNvSpPr>
      </xdr:nvSpPr>
      <xdr:spPr bwMode="auto">
        <a:xfrm flipH="1">
          <a:off x="4295775" y="464629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23100</xdr:rowOff>
    </xdr:to>
    <xdr:sp macro="" textlink="">
      <xdr:nvSpPr>
        <xdr:cNvPr id="2337" name="Text Box 12"/>
        <xdr:cNvSpPr txBox="1">
          <a:spLocks noChangeArrowheads="1"/>
        </xdr:cNvSpPr>
      </xdr:nvSpPr>
      <xdr:spPr bwMode="auto">
        <a:xfrm flipH="1">
          <a:off x="4063253" y="4646295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23313</xdr:rowOff>
    </xdr:to>
    <xdr:sp macro="" textlink="">
      <xdr:nvSpPr>
        <xdr:cNvPr id="2338" name="Text Box 14"/>
        <xdr:cNvSpPr txBox="1">
          <a:spLocks noChangeArrowheads="1"/>
        </xdr:cNvSpPr>
      </xdr:nvSpPr>
      <xdr:spPr bwMode="auto">
        <a:xfrm flipH="1">
          <a:off x="4063253" y="4646295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23312</xdr:rowOff>
    </xdr:to>
    <xdr:sp macro="" textlink="">
      <xdr:nvSpPr>
        <xdr:cNvPr id="2339" name="Text Box 16"/>
        <xdr:cNvSpPr txBox="1">
          <a:spLocks noChangeArrowheads="1"/>
        </xdr:cNvSpPr>
      </xdr:nvSpPr>
      <xdr:spPr bwMode="auto">
        <a:xfrm flipH="1">
          <a:off x="4063253" y="4646295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0</xdr:rowOff>
    </xdr:to>
    <xdr:sp macro="" textlink="">
      <xdr:nvSpPr>
        <xdr:cNvPr id="2340" name="Text Box 12"/>
        <xdr:cNvSpPr txBox="1">
          <a:spLocks noChangeArrowheads="1"/>
        </xdr:cNvSpPr>
      </xdr:nvSpPr>
      <xdr:spPr bwMode="auto">
        <a:xfrm flipH="1">
          <a:off x="4063253" y="4646295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26760</xdr:rowOff>
    </xdr:to>
    <xdr:sp macro="" textlink="">
      <xdr:nvSpPr>
        <xdr:cNvPr id="2341" name="Text Box 4"/>
        <xdr:cNvSpPr txBox="1">
          <a:spLocks noChangeArrowheads="1"/>
        </xdr:cNvSpPr>
      </xdr:nvSpPr>
      <xdr:spPr bwMode="auto">
        <a:xfrm flipH="1">
          <a:off x="4063253" y="4646295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342" name="Text Box 4"/>
        <xdr:cNvSpPr txBox="1">
          <a:spLocks noChangeArrowheads="1"/>
        </xdr:cNvSpPr>
      </xdr:nvSpPr>
      <xdr:spPr bwMode="auto">
        <a:xfrm flipH="1">
          <a:off x="4295775" y="464629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23100</xdr:rowOff>
    </xdr:to>
    <xdr:sp macro="" textlink="">
      <xdr:nvSpPr>
        <xdr:cNvPr id="2343" name="Text Box 12"/>
        <xdr:cNvSpPr txBox="1">
          <a:spLocks noChangeArrowheads="1"/>
        </xdr:cNvSpPr>
      </xdr:nvSpPr>
      <xdr:spPr bwMode="auto">
        <a:xfrm flipH="1">
          <a:off x="4063253" y="4646295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23313</xdr:rowOff>
    </xdr:to>
    <xdr:sp macro="" textlink="">
      <xdr:nvSpPr>
        <xdr:cNvPr id="2344" name="Text Box 14"/>
        <xdr:cNvSpPr txBox="1">
          <a:spLocks noChangeArrowheads="1"/>
        </xdr:cNvSpPr>
      </xdr:nvSpPr>
      <xdr:spPr bwMode="auto">
        <a:xfrm flipH="1">
          <a:off x="4063253" y="4646295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23312</xdr:rowOff>
    </xdr:to>
    <xdr:sp macro="" textlink="">
      <xdr:nvSpPr>
        <xdr:cNvPr id="2345" name="Text Box 16"/>
        <xdr:cNvSpPr txBox="1">
          <a:spLocks noChangeArrowheads="1"/>
        </xdr:cNvSpPr>
      </xdr:nvSpPr>
      <xdr:spPr bwMode="auto">
        <a:xfrm flipH="1">
          <a:off x="4063253" y="4646295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0</xdr:rowOff>
    </xdr:to>
    <xdr:sp macro="" textlink="">
      <xdr:nvSpPr>
        <xdr:cNvPr id="2346" name="Text Box 12"/>
        <xdr:cNvSpPr txBox="1">
          <a:spLocks noChangeArrowheads="1"/>
        </xdr:cNvSpPr>
      </xdr:nvSpPr>
      <xdr:spPr bwMode="auto">
        <a:xfrm flipH="1">
          <a:off x="4063253" y="4646295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26760</xdr:rowOff>
    </xdr:to>
    <xdr:sp macro="" textlink="">
      <xdr:nvSpPr>
        <xdr:cNvPr id="2347" name="Text Box 4"/>
        <xdr:cNvSpPr txBox="1">
          <a:spLocks noChangeArrowheads="1"/>
        </xdr:cNvSpPr>
      </xdr:nvSpPr>
      <xdr:spPr bwMode="auto">
        <a:xfrm flipH="1">
          <a:off x="4063253" y="4646295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9525</xdr:rowOff>
    </xdr:to>
    <xdr:sp macro="" textlink="">
      <xdr:nvSpPr>
        <xdr:cNvPr id="2348" name="Text Box 4"/>
        <xdr:cNvSpPr txBox="1">
          <a:spLocks noChangeArrowheads="1"/>
        </xdr:cNvSpPr>
      </xdr:nvSpPr>
      <xdr:spPr bwMode="auto">
        <a:xfrm flipH="1">
          <a:off x="4295775" y="464629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23100</xdr:rowOff>
    </xdr:to>
    <xdr:sp macro="" textlink="">
      <xdr:nvSpPr>
        <xdr:cNvPr id="2349" name="Text Box 12"/>
        <xdr:cNvSpPr txBox="1">
          <a:spLocks noChangeArrowheads="1"/>
        </xdr:cNvSpPr>
      </xdr:nvSpPr>
      <xdr:spPr bwMode="auto">
        <a:xfrm flipH="1">
          <a:off x="4295775" y="46462950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23313</xdr:rowOff>
    </xdr:to>
    <xdr:sp macro="" textlink="">
      <xdr:nvSpPr>
        <xdr:cNvPr id="2350" name="Text Box 14"/>
        <xdr:cNvSpPr txBox="1">
          <a:spLocks noChangeArrowheads="1"/>
        </xdr:cNvSpPr>
      </xdr:nvSpPr>
      <xdr:spPr bwMode="auto">
        <a:xfrm flipH="1">
          <a:off x="4295775" y="46462950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23312</xdr:rowOff>
    </xdr:to>
    <xdr:sp macro="" textlink="">
      <xdr:nvSpPr>
        <xdr:cNvPr id="2351" name="Text Box 16"/>
        <xdr:cNvSpPr txBox="1">
          <a:spLocks noChangeArrowheads="1"/>
        </xdr:cNvSpPr>
      </xdr:nvSpPr>
      <xdr:spPr bwMode="auto">
        <a:xfrm flipH="1">
          <a:off x="4295775" y="46462950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0</xdr:rowOff>
    </xdr:to>
    <xdr:sp macro="" textlink="">
      <xdr:nvSpPr>
        <xdr:cNvPr id="2352" name="Text Box 12"/>
        <xdr:cNvSpPr txBox="1">
          <a:spLocks noChangeArrowheads="1"/>
        </xdr:cNvSpPr>
      </xdr:nvSpPr>
      <xdr:spPr bwMode="auto">
        <a:xfrm flipH="1">
          <a:off x="4295775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26760</xdr:rowOff>
    </xdr:to>
    <xdr:sp macro="" textlink="">
      <xdr:nvSpPr>
        <xdr:cNvPr id="2353" name="Text Box 4"/>
        <xdr:cNvSpPr txBox="1">
          <a:spLocks noChangeArrowheads="1"/>
        </xdr:cNvSpPr>
      </xdr:nvSpPr>
      <xdr:spPr bwMode="auto">
        <a:xfrm flipH="1">
          <a:off x="4295775" y="46462950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9525</xdr:rowOff>
    </xdr:to>
    <xdr:sp macro="" textlink="">
      <xdr:nvSpPr>
        <xdr:cNvPr id="2354" name="Text Box 4"/>
        <xdr:cNvSpPr txBox="1">
          <a:spLocks noChangeArrowheads="1"/>
        </xdr:cNvSpPr>
      </xdr:nvSpPr>
      <xdr:spPr bwMode="auto">
        <a:xfrm flipH="1">
          <a:off x="4295775" y="464629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23100</xdr:rowOff>
    </xdr:to>
    <xdr:sp macro="" textlink="">
      <xdr:nvSpPr>
        <xdr:cNvPr id="2355" name="Text Box 12"/>
        <xdr:cNvSpPr txBox="1">
          <a:spLocks noChangeArrowheads="1"/>
        </xdr:cNvSpPr>
      </xdr:nvSpPr>
      <xdr:spPr bwMode="auto">
        <a:xfrm flipH="1">
          <a:off x="4295775" y="46462950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23313</xdr:rowOff>
    </xdr:to>
    <xdr:sp macro="" textlink="">
      <xdr:nvSpPr>
        <xdr:cNvPr id="2356" name="Text Box 14"/>
        <xdr:cNvSpPr txBox="1">
          <a:spLocks noChangeArrowheads="1"/>
        </xdr:cNvSpPr>
      </xdr:nvSpPr>
      <xdr:spPr bwMode="auto">
        <a:xfrm flipH="1">
          <a:off x="4295775" y="46462950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23312</xdr:rowOff>
    </xdr:to>
    <xdr:sp macro="" textlink="">
      <xdr:nvSpPr>
        <xdr:cNvPr id="2357" name="Text Box 16"/>
        <xdr:cNvSpPr txBox="1">
          <a:spLocks noChangeArrowheads="1"/>
        </xdr:cNvSpPr>
      </xdr:nvSpPr>
      <xdr:spPr bwMode="auto">
        <a:xfrm flipH="1">
          <a:off x="4295775" y="46462950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0</xdr:rowOff>
    </xdr:to>
    <xdr:sp macro="" textlink="">
      <xdr:nvSpPr>
        <xdr:cNvPr id="2358" name="Text Box 12"/>
        <xdr:cNvSpPr txBox="1">
          <a:spLocks noChangeArrowheads="1"/>
        </xdr:cNvSpPr>
      </xdr:nvSpPr>
      <xdr:spPr bwMode="auto">
        <a:xfrm flipH="1">
          <a:off x="4295775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26760</xdr:rowOff>
    </xdr:to>
    <xdr:sp macro="" textlink="">
      <xdr:nvSpPr>
        <xdr:cNvPr id="2359" name="Text Box 4"/>
        <xdr:cNvSpPr txBox="1">
          <a:spLocks noChangeArrowheads="1"/>
        </xdr:cNvSpPr>
      </xdr:nvSpPr>
      <xdr:spPr bwMode="auto">
        <a:xfrm flipH="1">
          <a:off x="4295775" y="46462950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360" name="Text Box 4"/>
        <xdr:cNvSpPr txBox="1">
          <a:spLocks noChangeArrowheads="1"/>
        </xdr:cNvSpPr>
      </xdr:nvSpPr>
      <xdr:spPr bwMode="auto">
        <a:xfrm flipH="1">
          <a:off x="4295775" y="464629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23100</xdr:rowOff>
    </xdr:to>
    <xdr:sp macro="" textlink="">
      <xdr:nvSpPr>
        <xdr:cNvPr id="2361" name="Text Box 12"/>
        <xdr:cNvSpPr txBox="1">
          <a:spLocks noChangeArrowheads="1"/>
        </xdr:cNvSpPr>
      </xdr:nvSpPr>
      <xdr:spPr bwMode="auto">
        <a:xfrm flipH="1">
          <a:off x="4063253" y="4646295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23313</xdr:rowOff>
    </xdr:to>
    <xdr:sp macro="" textlink="">
      <xdr:nvSpPr>
        <xdr:cNvPr id="2362" name="Text Box 14"/>
        <xdr:cNvSpPr txBox="1">
          <a:spLocks noChangeArrowheads="1"/>
        </xdr:cNvSpPr>
      </xdr:nvSpPr>
      <xdr:spPr bwMode="auto">
        <a:xfrm flipH="1">
          <a:off x="4063253" y="4646295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23312</xdr:rowOff>
    </xdr:to>
    <xdr:sp macro="" textlink="">
      <xdr:nvSpPr>
        <xdr:cNvPr id="2363" name="Text Box 16"/>
        <xdr:cNvSpPr txBox="1">
          <a:spLocks noChangeArrowheads="1"/>
        </xdr:cNvSpPr>
      </xdr:nvSpPr>
      <xdr:spPr bwMode="auto">
        <a:xfrm flipH="1">
          <a:off x="4063253" y="4646295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0</xdr:rowOff>
    </xdr:to>
    <xdr:sp macro="" textlink="">
      <xdr:nvSpPr>
        <xdr:cNvPr id="2364" name="Text Box 12"/>
        <xdr:cNvSpPr txBox="1">
          <a:spLocks noChangeArrowheads="1"/>
        </xdr:cNvSpPr>
      </xdr:nvSpPr>
      <xdr:spPr bwMode="auto">
        <a:xfrm flipH="1">
          <a:off x="4063253" y="4646295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26760</xdr:rowOff>
    </xdr:to>
    <xdr:sp macro="" textlink="">
      <xdr:nvSpPr>
        <xdr:cNvPr id="2365" name="Text Box 4"/>
        <xdr:cNvSpPr txBox="1">
          <a:spLocks noChangeArrowheads="1"/>
        </xdr:cNvSpPr>
      </xdr:nvSpPr>
      <xdr:spPr bwMode="auto">
        <a:xfrm flipH="1">
          <a:off x="4063253" y="4646295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366" name="Text Box 4"/>
        <xdr:cNvSpPr txBox="1">
          <a:spLocks noChangeArrowheads="1"/>
        </xdr:cNvSpPr>
      </xdr:nvSpPr>
      <xdr:spPr bwMode="auto">
        <a:xfrm flipH="1">
          <a:off x="4295775" y="4646295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23100</xdr:rowOff>
    </xdr:to>
    <xdr:sp macro="" textlink="">
      <xdr:nvSpPr>
        <xdr:cNvPr id="2367" name="Text Box 12"/>
        <xdr:cNvSpPr txBox="1">
          <a:spLocks noChangeArrowheads="1"/>
        </xdr:cNvSpPr>
      </xdr:nvSpPr>
      <xdr:spPr bwMode="auto">
        <a:xfrm flipH="1">
          <a:off x="4063253" y="4646295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23313</xdr:rowOff>
    </xdr:to>
    <xdr:sp macro="" textlink="">
      <xdr:nvSpPr>
        <xdr:cNvPr id="2368" name="Text Box 14"/>
        <xdr:cNvSpPr txBox="1">
          <a:spLocks noChangeArrowheads="1"/>
        </xdr:cNvSpPr>
      </xdr:nvSpPr>
      <xdr:spPr bwMode="auto">
        <a:xfrm flipH="1">
          <a:off x="4063253" y="4646295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23312</xdr:rowOff>
    </xdr:to>
    <xdr:sp macro="" textlink="">
      <xdr:nvSpPr>
        <xdr:cNvPr id="2369" name="Text Box 16"/>
        <xdr:cNvSpPr txBox="1">
          <a:spLocks noChangeArrowheads="1"/>
        </xdr:cNvSpPr>
      </xdr:nvSpPr>
      <xdr:spPr bwMode="auto">
        <a:xfrm flipH="1">
          <a:off x="4063253" y="4646295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0</xdr:rowOff>
    </xdr:to>
    <xdr:sp macro="" textlink="">
      <xdr:nvSpPr>
        <xdr:cNvPr id="2370" name="Text Box 12"/>
        <xdr:cNvSpPr txBox="1">
          <a:spLocks noChangeArrowheads="1"/>
        </xdr:cNvSpPr>
      </xdr:nvSpPr>
      <xdr:spPr bwMode="auto">
        <a:xfrm flipH="1">
          <a:off x="4063253" y="4646295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2621168</xdr:colOff>
      <xdr:row>281</xdr:row>
      <xdr:rowOff>26760</xdr:rowOff>
    </xdr:to>
    <xdr:sp macro="" textlink="">
      <xdr:nvSpPr>
        <xdr:cNvPr id="2371" name="Text Box 4"/>
        <xdr:cNvSpPr txBox="1">
          <a:spLocks noChangeArrowheads="1"/>
        </xdr:cNvSpPr>
      </xdr:nvSpPr>
      <xdr:spPr bwMode="auto">
        <a:xfrm flipH="1">
          <a:off x="4063253" y="4646295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80456</xdr:rowOff>
    </xdr:to>
    <xdr:sp macro="" textlink="">
      <xdr:nvSpPr>
        <xdr:cNvPr id="2372" name="Text Box 4"/>
        <xdr:cNvSpPr txBox="1">
          <a:spLocks noChangeArrowheads="1"/>
        </xdr:cNvSpPr>
      </xdr:nvSpPr>
      <xdr:spPr bwMode="auto">
        <a:xfrm flipH="1">
          <a:off x="4063253" y="4646295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24544</xdr:rowOff>
    </xdr:to>
    <xdr:sp macro="" textlink="">
      <xdr:nvSpPr>
        <xdr:cNvPr id="2373" name="Text Box 12"/>
        <xdr:cNvSpPr txBox="1">
          <a:spLocks noChangeArrowheads="1"/>
        </xdr:cNvSpPr>
      </xdr:nvSpPr>
      <xdr:spPr bwMode="auto">
        <a:xfrm flipH="1">
          <a:off x="4063253" y="4646295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23162</xdr:rowOff>
    </xdr:to>
    <xdr:sp macro="" textlink="">
      <xdr:nvSpPr>
        <xdr:cNvPr id="2374" name="Text Box 14"/>
        <xdr:cNvSpPr txBox="1">
          <a:spLocks noChangeArrowheads="1"/>
        </xdr:cNvSpPr>
      </xdr:nvSpPr>
      <xdr:spPr bwMode="auto">
        <a:xfrm flipH="1">
          <a:off x="4063253" y="4646295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23161</xdr:rowOff>
    </xdr:to>
    <xdr:sp macro="" textlink="">
      <xdr:nvSpPr>
        <xdr:cNvPr id="2375" name="Text Box 16"/>
        <xdr:cNvSpPr txBox="1">
          <a:spLocks noChangeArrowheads="1"/>
        </xdr:cNvSpPr>
      </xdr:nvSpPr>
      <xdr:spPr bwMode="auto">
        <a:xfrm flipH="1">
          <a:off x="4063253" y="4646295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80989</xdr:rowOff>
    </xdr:to>
    <xdr:sp macro="" textlink="">
      <xdr:nvSpPr>
        <xdr:cNvPr id="2376" name="Text Box 12"/>
        <xdr:cNvSpPr txBox="1">
          <a:spLocks noChangeArrowheads="1"/>
        </xdr:cNvSpPr>
      </xdr:nvSpPr>
      <xdr:spPr bwMode="auto">
        <a:xfrm flipH="1">
          <a:off x="4063253" y="464629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30996</xdr:rowOff>
    </xdr:to>
    <xdr:sp macro="" textlink="">
      <xdr:nvSpPr>
        <xdr:cNvPr id="2377" name="Text Box 4"/>
        <xdr:cNvSpPr txBox="1">
          <a:spLocks noChangeArrowheads="1"/>
        </xdr:cNvSpPr>
      </xdr:nvSpPr>
      <xdr:spPr bwMode="auto">
        <a:xfrm flipH="1">
          <a:off x="4063253" y="4646295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80456</xdr:rowOff>
    </xdr:to>
    <xdr:sp macro="" textlink="">
      <xdr:nvSpPr>
        <xdr:cNvPr id="2378" name="Text Box 4"/>
        <xdr:cNvSpPr txBox="1">
          <a:spLocks noChangeArrowheads="1"/>
        </xdr:cNvSpPr>
      </xdr:nvSpPr>
      <xdr:spPr bwMode="auto">
        <a:xfrm flipH="1">
          <a:off x="4063253" y="4646295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24544</xdr:rowOff>
    </xdr:to>
    <xdr:sp macro="" textlink="">
      <xdr:nvSpPr>
        <xdr:cNvPr id="2379" name="Text Box 12"/>
        <xdr:cNvSpPr txBox="1">
          <a:spLocks noChangeArrowheads="1"/>
        </xdr:cNvSpPr>
      </xdr:nvSpPr>
      <xdr:spPr bwMode="auto">
        <a:xfrm flipH="1">
          <a:off x="4063253" y="4646295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23162</xdr:rowOff>
    </xdr:to>
    <xdr:sp macro="" textlink="">
      <xdr:nvSpPr>
        <xdr:cNvPr id="2380" name="Text Box 14"/>
        <xdr:cNvSpPr txBox="1">
          <a:spLocks noChangeArrowheads="1"/>
        </xdr:cNvSpPr>
      </xdr:nvSpPr>
      <xdr:spPr bwMode="auto">
        <a:xfrm flipH="1">
          <a:off x="4063253" y="4646295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23161</xdr:rowOff>
    </xdr:to>
    <xdr:sp macro="" textlink="">
      <xdr:nvSpPr>
        <xdr:cNvPr id="2381" name="Text Box 16"/>
        <xdr:cNvSpPr txBox="1">
          <a:spLocks noChangeArrowheads="1"/>
        </xdr:cNvSpPr>
      </xdr:nvSpPr>
      <xdr:spPr bwMode="auto">
        <a:xfrm flipH="1">
          <a:off x="4063253" y="4646295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80989</xdr:rowOff>
    </xdr:to>
    <xdr:sp macro="" textlink="">
      <xdr:nvSpPr>
        <xdr:cNvPr id="2382" name="Text Box 12"/>
        <xdr:cNvSpPr txBox="1">
          <a:spLocks noChangeArrowheads="1"/>
        </xdr:cNvSpPr>
      </xdr:nvSpPr>
      <xdr:spPr bwMode="auto">
        <a:xfrm flipH="1">
          <a:off x="4063253" y="464629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30996</xdr:rowOff>
    </xdr:to>
    <xdr:sp macro="" textlink="">
      <xdr:nvSpPr>
        <xdr:cNvPr id="2383" name="Text Box 4"/>
        <xdr:cNvSpPr txBox="1">
          <a:spLocks noChangeArrowheads="1"/>
        </xdr:cNvSpPr>
      </xdr:nvSpPr>
      <xdr:spPr bwMode="auto">
        <a:xfrm flipH="1">
          <a:off x="4063253" y="4646295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80456</xdr:rowOff>
    </xdr:to>
    <xdr:sp macro="" textlink="">
      <xdr:nvSpPr>
        <xdr:cNvPr id="2384" name="Text Box 4"/>
        <xdr:cNvSpPr txBox="1">
          <a:spLocks noChangeArrowheads="1"/>
        </xdr:cNvSpPr>
      </xdr:nvSpPr>
      <xdr:spPr bwMode="auto">
        <a:xfrm flipH="1">
          <a:off x="4295775" y="4646295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24544</xdr:rowOff>
    </xdr:to>
    <xdr:sp macro="" textlink="">
      <xdr:nvSpPr>
        <xdr:cNvPr id="2385" name="Text Box 12"/>
        <xdr:cNvSpPr txBox="1">
          <a:spLocks noChangeArrowheads="1"/>
        </xdr:cNvSpPr>
      </xdr:nvSpPr>
      <xdr:spPr bwMode="auto">
        <a:xfrm flipH="1">
          <a:off x="4295775" y="4646295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23162</xdr:rowOff>
    </xdr:to>
    <xdr:sp macro="" textlink="">
      <xdr:nvSpPr>
        <xdr:cNvPr id="2386" name="Text Box 14"/>
        <xdr:cNvSpPr txBox="1">
          <a:spLocks noChangeArrowheads="1"/>
        </xdr:cNvSpPr>
      </xdr:nvSpPr>
      <xdr:spPr bwMode="auto">
        <a:xfrm flipH="1">
          <a:off x="4295775" y="4646295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23161</xdr:rowOff>
    </xdr:to>
    <xdr:sp macro="" textlink="">
      <xdr:nvSpPr>
        <xdr:cNvPr id="2387" name="Text Box 16"/>
        <xdr:cNvSpPr txBox="1">
          <a:spLocks noChangeArrowheads="1"/>
        </xdr:cNvSpPr>
      </xdr:nvSpPr>
      <xdr:spPr bwMode="auto">
        <a:xfrm flipH="1">
          <a:off x="4295775" y="4646295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80989</xdr:rowOff>
    </xdr:to>
    <xdr:sp macro="" textlink="">
      <xdr:nvSpPr>
        <xdr:cNvPr id="2388" name="Text Box 12"/>
        <xdr:cNvSpPr txBox="1">
          <a:spLocks noChangeArrowheads="1"/>
        </xdr:cNvSpPr>
      </xdr:nvSpPr>
      <xdr:spPr bwMode="auto">
        <a:xfrm flipH="1">
          <a:off x="4295775" y="464629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30996</xdr:rowOff>
    </xdr:to>
    <xdr:sp macro="" textlink="">
      <xdr:nvSpPr>
        <xdr:cNvPr id="2389" name="Text Box 4"/>
        <xdr:cNvSpPr txBox="1">
          <a:spLocks noChangeArrowheads="1"/>
        </xdr:cNvSpPr>
      </xdr:nvSpPr>
      <xdr:spPr bwMode="auto">
        <a:xfrm flipH="1">
          <a:off x="4295775" y="4646295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80456</xdr:rowOff>
    </xdr:to>
    <xdr:sp macro="" textlink="">
      <xdr:nvSpPr>
        <xdr:cNvPr id="2390" name="Text Box 4"/>
        <xdr:cNvSpPr txBox="1">
          <a:spLocks noChangeArrowheads="1"/>
        </xdr:cNvSpPr>
      </xdr:nvSpPr>
      <xdr:spPr bwMode="auto">
        <a:xfrm flipH="1">
          <a:off x="4295775" y="4646295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24544</xdr:rowOff>
    </xdr:to>
    <xdr:sp macro="" textlink="">
      <xdr:nvSpPr>
        <xdr:cNvPr id="2391" name="Text Box 12"/>
        <xdr:cNvSpPr txBox="1">
          <a:spLocks noChangeArrowheads="1"/>
        </xdr:cNvSpPr>
      </xdr:nvSpPr>
      <xdr:spPr bwMode="auto">
        <a:xfrm flipH="1">
          <a:off x="4295775" y="4646295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23162</xdr:rowOff>
    </xdr:to>
    <xdr:sp macro="" textlink="">
      <xdr:nvSpPr>
        <xdr:cNvPr id="2392" name="Text Box 14"/>
        <xdr:cNvSpPr txBox="1">
          <a:spLocks noChangeArrowheads="1"/>
        </xdr:cNvSpPr>
      </xdr:nvSpPr>
      <xdr:spPr bwMode="auto">
        <a:xfrm flipH="1">
          <a:off x="4295775" y="4646295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23161</xdr:rowOff>
    </xdr:to>
    <xdr:sp macro="" textlink="">
      <xdr:nvSpPr>
        <xdr:cNvPr id="2393" name="Text Box 16"/>
        <xdr:cNvSpPr txBox="1">
          <a:spLocks noChangeArrowheads="1"/>
        </xdr:cNvSpPr>
      </xdr:nvSpPr>
      <xdr:spPr bwMode="auto">
        <a:xfrm flipH="1">
          <a:off x="4295775" y="4646295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80989</xdr:rowOff>
    </xdr:to>
    <xdr:sp macro="" textlink="">
      <xdr:nvSpPr>
        <xdr:cNvPr id="2394" name="Text Box 12"/>
        <xdr:cNvSpPr txBox="1">
          <a:spLocks noChangeArrowheads="1"/>
        </xdr:cNvSpPr>
      </xdr:nvSpPr>
      <xdr:spPr bwMode="auto">
        <a:xfrm flipH="1">
          <a:off x="4295775" y="464629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30996</xdr:rowOff>
    </xdr:to>
    <xdr:sp macro="" textlink="">
      <xdr:nvSpPr>
        <xdr:cNvPr id="2395" name="Text Box 4"/>
        <xdr:cNvSpPr txBox="1">
          <a:spLocks noChangeArrowheads="1"/>
        </xdr:cNvSpPr>
      </xdr:nvSpPr>
      <xdr:spPr bwMode="auto">
        <a:xfrm flipH="1">
          <a:off x="4295775" y="4646295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80456</xdr:rowOff>
    </xdr:to>
    <xdr:sp macro="" textlink="">
      <xdr:nvSpPr>
        <xdr:cNvPr id="2396" name="Text Box 4"/>
        <xdr:cNvSpPr txBox="1">
          <a:spLocks noChangeArrowheads="1"/>
        </xdr:cNvSpPr>
      </xdr:nvSpPr>
      <xdr:spPr bwMode="auto">
        <a:xfrm flipH="1">
          <a:off x="4063253" y="4646295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24544</xdr:rowOff>
    </xdr:to>
    <xdr:sp macro="" textlink="">
      <xdr:nvSpPr>
        <xdr:cNvPr id="2397" name="Text Box 12"/>
        <xdr:cNvSpPr txBox="1">
          <a:spLocks noChangeArrowheads="1"/>
        </xdr:cNvSpPr>
      </xdr:nvSpPr>
      <xdr:spPr bwMode="auto">
        <a:xfrm flipH="1">
          <a:off x="4063253" y="4646295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23162</xdr:rowOff>
    </xdr:to>
    <xdr:sp macro="" textlink="">
      <xdr:nvSpPr>
        <xdr:cNvPr id="2398" name="Text Box 14"/>
        <xdr:cNvSpPr txBox="1">
          <a:spLocks noChangeArrowheads="1"/>
        </xdr:cNvSpPr>
      </xdr:nvSpPr>
      <xdr:spPr bwMode="auto">
        <a:xfrm flipH="1">
          <a:off x="4063253" y="4646295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23161</xdr:rowOff>
    </xdr:to>
    <xdr:sp macro="" textlink="">
      <xdr:nvSpPr>
        <xdr:cNvPr id="2399" name="Text Box 16"/>
        <xdr:cNvSpPr txBox="1">
          <a:spLocks noChangeArrowheads="1"/>
        </xdr:cNvSpPr>
      </xdr:nvSpPr>
      <xdr:spPr bwMode="auto">
        <a:xfrm flipH="1">
          <a:off x="4063253" y="4646295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80989</xdr:rowOff>
    </xdr:to>
    <xdr:sp macro="" textlink="">
      <xdr:nvSpPr>
        <xdr:cNvPr id="2400" name="Text Box 12"/>
        <xdr:cNvSpPr txBox="1">
          <a:spLocks noChangeArrowheads="1"/>
        </xdr:cNvSpPr>
      </xdr:nvSpPr>
      <xdr:spPr bwMode="auto">
        <a:xfrm flipH="1">
          <a:off x="4063253" y="464629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30996</xdr:rowOff>
    </xdr:to>
    <xdr:sp macro="" textlink="">
      <xdr:nvSpPr>
        <xdr:cNvPr id="2401" name="Text Box 4"/>
        <xdr:cNvSpPr txBox="1">
          <a:spLocks noChangeArrowheads="1"/>
        </xdr:cNvSpPr>
      </xdr:nvSpPr>
      <xdr:spPr bwMode="auto">
        <a:xfrm flipH="1">
          <a:off x="4063253" y="4646295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80456</xdr:rowOff>
    </xdr:to>
    <xdr:sp macro="" textlink="">
      <xdr:nvSpPr>
        <xdr:cNvPr id="2402" name="Text Box 4"/>
        <xdr:cNvSpPr txBox="1">
          <a:spLocks noChangeArrowheads="1"/>
        </xdr:cNvSpPr>
      </xdr:nvSpPr>
      <xdr:spPr bwMode="auto">
        <a:xfrm flipH="1">
          <a:off x="4063253" y="4646295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24544</xdr:rowOff>
    </xdr:to>
    <xdr:sp macro="" textlink="">
      <xdr:nvSpPr>
        <xdr:cNvPr id="2403" name="Text Box 12"/>
        <xdr:cNvSpPr txBox="1">
          <a:spLocks noChangeArrowheads="1"/>
        </xdr:cNvSpPr>
      </xdr:nvSpPr>
      <xdr:spPr bwMode="auto">
        <a:xfrm flipH="1">
          <a:off x="4063253" y="4646295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23162</xdr:rowOff>
    </xdr:to>
    <xdr:sp macro="" textlink="">
      <xdr:nvSpPr>
        <xdr:cNvPr id="2404" name="Text Box 14"/>
        <xdr:cNvSpPr txBox="1">
          <a:spLocks noChangeArrowheads="1"/>
        </xdr:cNvSpPr>
      </xdr:nvSpPr>
      <xdr:spPr bwMode="auto">
        <a:xfrm flipH="1">
          <a:off x="4063253" y="4646295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23161</xdr:rowOff>
    </xdr:to>
    <xdr:sp macro="" textlink="">
      <xdr:nvSpPr>
        <xdr:cNvPr id="2405" name="Text Box 16"/>
        <xdr:cNvSpPr txBox="1">
          <a:spLocks noChangeArrowheads="1"/>
        </xdr:cNvSpPr>
      </xdr:nvSpPr>
      <xdr:spPr bwMode="auto">
        <a:xfrm flipH="1">
          <a:off x="4063253" y="4646295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80989</xdr:rowOff>
    </xdr:to>
    <xdr:sp macro="" textlink="">
      <xdr:nvSpPr>
        <xdr:cNvPr id="2406" name="Text Box 12"/>
        <xdr:cNvSpPr txBox="1">
          <a:spLocks noChangeArrowheads="1"/>
        </xdr:cNvSpPr>
      </xdr:nvSpPr>
      <xdr:spPr bwMode="auto">
        <a:xfrm flipH="1">
          <a:off x="4063253" y="464629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30996</xdr:rowOff>
    </xdr:to>
    <xdr:sp macro="" textlink="">
      <xdr:nvSpPr>
        <xdr:cNvPr id="2407" name="Text Box 4"/>
        <xdr:cNvSpPr txBox="1">
          <a:spLocks noChangeArrowheads="1"/>
        </xdr:cNvSpPr>
      </xdr:nvSpPr>
      <xdr:spPr bwMode="auto">
        <a:xfrm flipH="1">
          <a:off x="4063253" y="4646295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80456</xdr:rowOff>
    </xdr:to>
    <xdr:sp macro="" textlink="">
      <xdr:nvSpPr>
        <xdr:cNvPr id="2408" name="Text Box 4"/>
        <xdr:cNvSpPr txBox="1">
          <a:spLocks noChangeArrowheads="1"/>
        </xdr:cNvSpPr>
      </xdr:nvSpPr>
      <xdr:spPr bwMode="auto">
        <a:xfrm flipH="1">
          <a:off x="4295775" y="4646295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24544</xdr:rowOff>
    </xdr:to>
    <xdr:sp macro="" textlink="">
      <xdr:nvSpPr>
        <xdr:cNvPr id="2409" name="Text Box 12"/>
        <xdr:cNvSpPr txBox="1">
          <a:spLocks noChangeArrowheads="1"/>
        </xdr:cNvSpPr>
      </xdr:nvSpPr>
      <xdr:spPr bwMode="auto">
        <a:xfrm flipH="1">
          <a:off x="4295775" y="4646295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23162</xdr:rowOff>
    </xdr:to>
    <xdr:sp macro="" textlink="">
      <xdr:nvSpPr>
        <xdr:cNvPr id="2410" name="Text Box 14"/>
        <xdr:cNvSpPr txBox="1">
          <a:spLocks noChangeArrowheads="1"/>
        </xdr:cNvSpPr>
      </xdr:nvSpPr>
      <xdr:spPr bwMode="auto">
        <a:xfrm flipH="1">
          <a:off x="4295775" y="4646295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23161</xdr:rowOff>
    </xdr:to>
    <xdr:sp macro="" textlink="">
      <xdr:nvSpPr>
        <xdr:cNvPr id="2411" name="Text Box 16"/>
        <xdr:cNvSpPr txBox="1">
          <a:spLocks noChangeArrowheads="1"/>
        </xdr:cNvSpPr>
      </xdr:nvSpPr>
      <xdr:spPr bwMode="auto">
        <a:xfrm flipH="1">
          <a:off x="4295775" y="4646295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80989</xdr:rowOff>
    </xdr:to>
    <xdr:sp macro="" textlink="">
      <xdr:nvSpPr>
        <xdr:cNvPr id="2412" name="Text Box 12"/>
        <xdr:cNvSpPr txBox="1">
          <a:spLocks noChangeArrowheads="1"/>
        </xdr:cNvSpPr>
      </xdr:nvSpPr>
      <xdr:spPr bwMode="auto">
        <a:xfrm flipH="1">
          <a:off x="4295775" y="464629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30996</xdr:rowOff>
    </xdr:to>
    <xdr:sp macro="" textlink="">
      <xdr:nvSpPr>
        <xdr:cNvPr id="2413" name="Text Box 4"/>
        <xdr:cNvSpPr txBox="1">
          <a:spLocks noChangeArrowheads="1"/>
        </xdr:cNvSpPr>
      </xdr:nvSpPr>
      <xdr:spPr bwMode="auto">
        <a:xfrm flipH="1">
          <a:off x="4295775" y="4646295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80456</xdr:rowOff>
    </xdr:to>
    <xdr:sp macro="" textlink="">
      <xdr:nvSpPr>
        <xdr:cNvPr id="2414" name="Text Box 4"/>
        <xdr:cNvSpPr txBox="1">
          <a:spLocks noChangeArrowheads="1"/>
        </xdr:cNvSpPr>
      </xdr:nvSpPr>
      <xdr:spPr bwMode="auto">
        <a:xfrm flipH="1">
          <a:off x="4295775" y="4646295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24544</xdr:rowOff>
    </xdr:to>
    <xdr:sp macro="" textlink="">
      <xdr:nvSpPr>
        <xdr:cNvPr id="2415" name="Text Box 12"/>
        <xdr:cNvSpPr txBox="1">
          <a:spLocks noChangeArrowheads="1"/>
        </xdr:cNvSpPr>
      </xdr:nvSpPr>
      <xdr:spPr bwMode="auto">
        <a:xfrm flipH="1">
          <a:off x="4295775" y="4646295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23162</xdr:rowOff>
    </xdr:to>
    <xdr:sp macro="" textlink="">
      <xdr:nvSpPr>
        <xdr:cNvPr id="2416" name="Text Box 14"/>
        <xdr:cNvSpPr txBox="1">
          <a:spLocks noChangeArrowheads="1"/>
        </xdr:cNvSpPr>
      </xdr:nvSpPr>
      <xdr:spPr bwMode="auto">
        <a:xfrm flipH="1">
          <a:off x="4295775" y="4646295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23161</xdr:rowOff>
    </xdr:to>
    <xdr:sp macro="" textlink="">
      <xdr:nvSpPr>
        <xdr:cNvPr id="2417" name="Text Box 16"/>
        <xdr:cNvSpPr txBox="1">
          <a:spLocks noChangeArrowheads="1"/>
        </xdr:cNvSpPr>
      </xdr:nvSpPr>
      <xdr:spPr bwMode="auto">
        <a:xfrm flipH="1">
          <a:off x="4295775" y="4646295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80989</xdr:rowOff>
    </xdr:to>
    <xdr:sp macro="" textlink="">
      <xdr:nvSpPr>
        <xdr:cNvPr id="2418" name="Text Box 12"/>
        <xdr:cNvSpPr txBox="1">
          <a:spLocks noChangeArrowheads="1"/>
        </xdr:cNvSpPr>
      </xdr:nvSpPr>
      <xdr:spPr bwMode="auto">
        <a:xfrm flipH="1">
          <a:off x="4295775" y="464629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0</xdr:colOff>
      <xdr:row>281</xdr:row>
      <xdr:rowOff>30996</xdr:rowOff>
    </xdr:to>
    <xdr:sp macro="" textlink="">
      <xdr:nvSpPr>
        <xdr:cNvPr id="2419" name="Text Box 4"/>
        <xdr:cNvSpPr txBox="1">
          <a:spLocks noChangeArrowheads="1"/>
        </xdr:cNvSpPr>
      </xdr:nvSpPr>
      <xdr:spPr bwMode="auto">
        <a:xfrm flipH="1">
          <a:off x="4295775" y="4646295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80456</xdr:rowOff>
    </xdr:to>
    <xdr:sp macro="" textlink="">
      <xdr:nvSpPr>
        <xdr:cNvPr id="2420" name="Text Box 4"/>
        <xdr:cNvSpPr txBox="1">
          <a:spLocks noChangeArrowheads="1"/>
        </xdr:cNvSpPr>
      </xdr:nvSpPr>
      <xdr:spPr bwMode="auto">
        <a:xfrm flipH="1">
          <a:off x="4063253" y="4646295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24544</xdr:rowOff>
    </xdr:to>
    <xdr:sp macro="" textlink="">
      <xdr:nvSpPr>
        <xdr:cNvPr id="2421" name="Text Box 12"/>
        <xdr:cNvSpPr txBox="1">
          <a:spLocks noChangeArrowheads="1"/>
        </xdr:cNvSpPr>
      </xdr:nvSpPr>
      <xdr:spPr bwMode="auto">
        <a:xfrm flipH="1">
          <a:off x="4063253" y="4646295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23162</xdr:rowOff>
    </xdr:to>
    <xdr:sp macro="" textlink="">
      <xdr:nvSpPr>
        <xdr:cNvPr id="2422" name="Text Box 14"/>
        <xdr:cNvSpPr txBox="1">
          <a:spLocks noChangeArrowheads="1"/>
        </xdr:cNvSpPr>
      </xdr:nvSpPr>
      <xdr:spPr bwMode="auto">
        <a:xfrm flipH="1">
          <a:off x="4063253" y="4646295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23161</xdr:rowOff>
    </xdr:to>
    <xdr:sp macro="" textlink="">
      <xdr:nvSpPr>
        <xdr:cNvPr id="2423" name="Text Box 16"/>
        <xdr:cNvSpPr txBox="1">
          <a:spLocks noChangeArrowheads="1"/>
        </xdr:cNvSpPr>
      </xdr:nvSpPr>
      <xdr:spPr bwMode="auto">
        <a:xfrm flipH="1">
          <a:off x="4063253" y="4646295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80989</xdr:rowOff>
    </xdr:to>
    <xdr:sp macro="" textlink="">
      <xdr:nvSpPr>
        <xdr:cNvPr id="2424" name="Text Box 12"/>
        <xdr:cNvSpPr txBox="1">
          <a:spLocks noChangeArrowheads="1"/>
        </xdr:cNvSpPr>
      </xdr:nvSpPr>
      <xdr:spPr bwMode="auto">
        <a:xfrm flipH="1">
          <a:off x="4063253" y="464629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30996</xdr:rowOff>
    </xdr:to>
    <xdr:sp macro="" textlink="">
      <xdr:nvSpPr>
        <xdr:cNvPr id="2425" name="Text Box 4"/>
        <xdr:cNvSpPr txBox="1">
          <a:spLocks noChangeArrowheads="1"/>
        </xdr:cNvSpPr>
      </xdr:nvSpPr>
      <xdr:spPr bwMode="auto">
        <a:xfrm flipH="1">
          <a:off x="4063253" y="4646295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80456</xdr:rowOff>
    </xdr:to>
    <xdr:sp macro="" textlink="">
      <xdr:nvSpPr>
        <xdr:cNvPr id="2426" name="Text Box 4"/>
        <xdr:cNvSpPr txBox="1">
          <a:spLocks noChangeArrowheads="1"/>
        </xdr:cNvSpPr>
      </xdr:nvSpPr>
      <xdr:spPr bwMode="auto">
        <a:xfrm flipH="1">
          <a:off x="4063253" y="4646295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24544</xdr:rowOff>
    </xdr:to>
    <xdr:sp macro="" textlink="">
      <xdr:nvSpPr>
        <xdr:cNvPr id="2427" name="Text Box 12"/>
        <xdr:cNvSpPr txBox="1">
          <a:spLocks noChangeArrowheads="1"/>
        </xdr:cNvSpPr>
      </xdr:nvSpPr>
      <xdr:spPr bwMode="auto">
        <a:xfrm flipH="1">
          <a:off x="4063253" y="4646295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23162</xdr:rowOff>
    </xdr:to>
    <xdr:sp macro="" textlink="">
      <xdr:nvSpPr>
        <xdr:cNvPr id="2428" name="Text Box 14"/>
        <xdr:cNvSpPr txBox="1">
          <a:spLocks noChangeArrowheads="1"/>
        </xdr:cNvSpPr>
      </xdr:nvSpPr>
      <xdr:spPr bwMode="auto">
        <a:xfrm flipH="1">
          <a:off x="4063253" y="4646295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23161</xdr:rowOff>
    </xdr:to>
    <xdr:sp macro="" textlink="">
      <xdr:nvSpPr>
        <xdr:cNvPr id="2429" name="Text Box 16"/>
        <xdr:cNvSpPr txBox="1">
          <a:spLocks noChangeArrowheads="1"/>
        </xdr:cNvSpPr>
      </xdr:nvSpPr>
      <xdr:spPr bwMode="auto">
        <a:xfrm flipH="1">
          <a:off x="4063253" y="4646295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80989</xdr:rowOff>
    </xdr:to>
    <xdr:sp macro="" textlink="">
      <xdr:nvSpPr>
        <xdr:cNvPr id="2430" name="Text Box 12"/>
        <xdr:cNvSpPr txBox="1">
          <a:spLocks noChangeArrowheads="1"/>
        </xdr:cNvSpPr>
      </xdr:nvSpPr>
      <xdr:spPr bwMode="auto">
        <a:xfrm flipH="1">
          <a:off x="4063253" y="4646295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30996</xdr:rowOff>
    </xdr:to>
    <xdr:sp macro="" textlink="">
      <xdr:nvSpPr>
        <xdr:cNvPr id="2431" name="Text Box 4"/>
        <xdr:cNvSpPr txBox="1">
          <a:spLocks noChangeArrowheads="1"/>
        </xdr:cNvSpPr>
      </xdr:nvSpPr>
      <xdr:spPr bwMode="auto">
        <a:xfrm flipH="1">
          <a:off x="4063253" y="4646295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32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33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34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35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36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37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38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39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40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41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42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43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44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45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46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47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48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49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50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51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52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53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54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55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56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57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58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59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60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61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62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63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64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65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66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67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68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69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70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71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72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73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74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75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76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77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78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79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80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81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82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83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84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85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86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87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88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89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90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91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92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93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94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95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96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97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98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499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00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01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02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03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04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05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06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07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08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09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10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11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12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13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14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15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16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17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18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19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20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21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22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23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24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25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26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27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28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29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30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31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32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33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34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35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36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37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38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39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40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41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42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43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44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45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46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47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48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49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50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51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52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53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54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55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56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57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58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59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60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61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62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63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64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65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66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67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68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69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70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71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72" name="Text Box 1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73" name="Text Box 16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74" name="Text Box 12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281</xdr:row>
      <xdr:rowOff>0</xdr:rowOff>
    </xdr:from>
    <xdr:to>
      <xdr:col>4</xdr:col>
      <xdr:colOff>2586878</xdr:colOff>
      <xdr:row>281</xdr:row>
      <xdr:rowOff>0</xdr:rowOff>
    </xdr:to>
    <xdr:sp macro="" textlink="">
      <xdr:nvSpPr>
        <xdr:cNvPr id="2575" name="Text Box 4"/>
        <xdr:cNvSpPr txBox="1">
          <a:spLocks noChangeArrowheads="1"/>
        </xdr:cNvSpPr>
      </xdr:nvSpPr>
      <xdr:spPr bwMode="auto">
        <a:xfrm flipH="1">
          <a:off x="4063253" y="4646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576" name="Text Box 4"/>
        <xdr:cNvSpPr txBox="1">
          <a:spLocks noChangeArrowheads="1"/>
        </xdr:cNvSpPr>
      </xdr:nvSpPr>
      <xdr:spPr bwMode="auto">
        <a:xfrm flipH="1">
          <a:off x="4295775" y="613791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23100</xdr:rowOff>
    </xdr:to>
    <xdr:sp macro="" textlink="">
      <xdr:nvSpPr>
        <xdr:cNvPr id="2577" name="Text Box 12"/>
        <xdr:cNvSpPr txBox="1">
          <a:spLocks noChangeArrowheads="1"/>
        </xdr:cNvSpPr>
      </xdr:nvSpPr>
      <xdr:spPr bwMode="auto">
        <a:xfrm flipH="1">
          <a:off x="4063253" y="6137910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23313</xdr:rowOff>
    </xdr:to>
    <xdr:sp macro="" textlink="">
      <xdr:nvSpPr>
        <xdr:cNvPr id="2578" name="Text Box 14"/>
        <xdr:cNvSpPr txBox="1">
          <a:spLocks noChangeArrowheads="1"/>
        </xdr:cNvSpPr>
      </xdr:nvSpPr>
      <xdr:spPr bwMode="auto">
        <a:xfrm flipH="1">
          <a:off x="4063253" y="6137910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23312</xdr:rowOff>
    </xdr:to>
    <xdr:sp macro="" textlink="">
      <xdr:nvSpPr>
        <xdr:cNvPr id="2579" name="Text Box 16"/>
        <xdr:cNvSpPr txBox="1">
          <a:spLocks noChangeArrowheads="1"/>
        </xdr:cNvSpPr>
      </xdr:nvSpPr>
      <xdr:spPr bwMode="auto">
        <a:xfrm flipH="1">
          <a:off x="4063253" y="6137910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0</xdr:rowOff>
    </xdr:to>
    <xdr:sp macro="" textlink="">
      <xdr:nvSpPr>
        <xdr:cNvPr id="2580" name="Text Box 12"/>
        <xdr:cNvSpPr txBox="1">
          <a:spLocks noChangeArrowheads="1"/>
        </xdr:cNvSpPr>
      </xdr:nvSpPr>
      <xdr:spPr bwMode="auto">
        <a:xfrm flipH="1">
          <a:off x="4063253" y="6137910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26760</xdr:rowOff>
    </xdr:to>
    <xdr:sp macro="" textlink="">
      <xdr:nvSpPr>
        <xdr:cNvPr id="2581" name="Text Box 4"/>
        <xdr:cNvSpPr txBox="1">
          <a:spLocks noChangeArrowheads="1"/>
        </xdr:cNvSpPr>
      </xdr:nvSpPr>
      <xdr:spPr bwMode="auto">
        <a:xfrm flipH="1">
          <a:off x="4063253" y="6137910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582" name="Text Box 4"/>
        <xdr:cNvSpPr txBox="1">
          <a:spLocks noChangeArrowheads="1"/>
        </xdr:cNvSpPr>
      </xdr:nvSpPr>
      <xdr:spPr bwMode="auto">
        <a:xfrm flipH="1">
          <a:off x="4295775" y="613791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23100</xdr:rowOff>
    </xdr:to>
    <xdr:sp macro="" textlink="">
      <xdr:nvSpPr>
        <xdr:cNvPr id="2583" name="Text Box 12"/>
        <xdr:cNvSpPr txBox="1">
          <a:spLocks noChangeArrowheads="1"/>
        </xdr:cNvSpPr>
      </xdr:nvSpPr>
      <xdr:spPr bwMode="auto">
        <a:xfrm flipH="1">
          <a:off x="4063253" y="6137910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23313</xdr:rowOff>
    </xdr:to>
    <xdr:sp macro="" textlink="">
      <xdr:nvSpPr>
        <xdr:cNvPr id="2584" name="Text Box 14"/>
        <xdr:cNvSpPr txBox="1">
          <a:spLocks noChangeArrowheads="1"/>
        </xdr:cNvSpPr>
      </xdr:nvSpPr>
      <xdr:spPr bwMode="auto">
        <a:xfrm flipH="1">
          <a:off x="4063253" y="6137910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23312</xdr:rowOff>
    </xdr:to>
    <xdr:sp macro="" textlink="">
      <xdr:nvSpPr>
        <xdr:cNvPr id="2585" name="Text Box 16"/>
        <xdr:cNvSpPr txBox="1">
          <a:spLocks noChangeArrowheads="1"/>
        </xdr:cNvSpPr>
      </xdr:nvSpPr>
      <xdr:spPr bwMode="auto">
        <a:xfrm flipH="1">
          <a:off x="4063253" y="6137910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0</xdr:rowOff>
    </xdr:to>
    <xdr:sp macro="" textlink="">
      <xdr:nvSpPr>
        <xdr:cNvPr id="2586" name="Text Box 12"/>
        <xdr:cNvSpPr txBox="1">
          <a:spLocks noChangeArrowheads="1"/>
        </xdr:cNvSpPr>
      </xdr:nvSpPr>
      <xdr:spPr bwMode="auto">
        <a:xfrm flipH="1">
          <a:off x="4063253" y="6137910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26760</xdr:rowOff>
    </xdr:to>
    <xdr:sp macro="" textlink="">
      <xdr:nvSpPr>
        <xdr:cNvPr id="2587" name="Text Box 4"/>
        <xdr:cNvSpPr txBox="1">
          <a:spLocks noChangeArrowheads="1"/>
        </xdr:cNvSpPr>
      </xdr:nvSpPr>
      <xdr:spPr bwMode="auto">
        <a:xfrm flipH="1">
          <a:off x="4063253" y="6137910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9525</xdr:rowOff>
    </xdr:to>
    <xdr:sp macro="" textlink="">
      <xdr:nvSpPr>
        <xdr:cNvPr id="2588" name="Text Box 4"/>
        <xdr:cNvSpPr txBox="1">
          <a:spLocks noChangeArrowheads="1"/>
        </xdr:cNvSpPr>
      </xdr:nvSpPr>
      <xdr:spPr bwMode="auto">
        <a:xfrm flipH="1">
          <a:off x="4295775" y="613791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23100</xdr:rowOff>
    </xdr:to>
    <xdr:sp macro="" textlink="">
      <xdr:nvSpPr>
        <xdr:cNvPr id="2589" name="Text Box 12"/>
        <xdr:cNvSpPr txBox="1">
          <a:spLocks noChangeArrowheads="1"/>
        </xdr:cNvSpPr>
      </xdr:nvSpPr>
      <xdr:spPr bwMode="auto">
        <a:xfrm flipH="1">
          <a:off x="4295775" y="61379100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23313</xdr:rowOff>
    </xdr:to>
    <xdr:sp macro="" textlink="">
      <xdr:nvSpPr>
        <xdr:cNvPr id="2590" name="Text Box 14"/>
        <xdr:cNvSpPr txBox="1">
          <a:spLocks noChangeArrowheads="1"/>
        </xdr:cNvSpPr>
      </xdr:nvSpPr>
      <xdr:spPr bwMode="auto">
        <a:xfrm flipH="1">
          <a:off x="4295775" y="61379100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23312</xdr:rowOff>
    </xdr:to>
    <xdr:sp macro="" textlink="">
      <xdr:nvSpPr>
        <xdr:cNvPr id="2591" name="Text Box 16"/>
        <xdr:cNvSpPr txBox="1">
          <a:spLocks noChangeArrowheads="1"/>
        </xdr:cNvSpPr>
      </xdr:nvSpPr>
      <xdr:spPr bwMode="auto">
        <a:xfrm flipH="1">
          <a:off x="4295775" y="61379100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0</xdr:rowOff>
    </xdr:to>
    <xdr:sp macro="" textlink="">
      <xdr:nvSpPr>
        <xdr:cNvPr id="2592" name="Text Box 12"/>
        <xdr:cNvSpPr txBox="1">
          <a:spLocks noChangeArrowheads="1"/>
        </xdr:cNvSpPr>
      </xdr:nvSpPr>
      <xdr:spPr bwMode="auto">
        <a:xfrm flipH="1">
          <a:off x="4295775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26760</xdr:rowOff>
    </xdr:to>
    <xdr:sp macro="" textlink="">
      <xdr:nvSpPr>
        <xdr:cNvPr id="2593" name="Text Box 4"/>
        <xdr:cNvSpPr txBox="1">
          <a:spLocks noChangeArrowheads="1"/>
        </xdr:cNvSpPr>
      </xdr:nvSpPr>
      <xdr:spPr bwMode="auto">
        <a:xfrm flipH="1">
          <a:off x="4295775" y="61379100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9525</xdr:rowOff>
    </xdr:to>
    <xdr:sp macro="" textlink="">
      <xdr:nvSpPr>
        <xdr:cNvPr id="2594" name="Text Box 4"/>
        <xdr:cNvSpPr txBox="1">
          <a:spLocks noChangeArrowheads="1"/>
        </xdr:cNvSpPr>
      </xdr:nvSpPr>
      <xdr:spPr bwMode="auto">
        <a:xfrm flipH="1">
          <a:off x="4295775" y="613791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23100</xdr:rowOff>
    </xdr:to>
    <xdr:sp macro="" textlink="">
      <xdr:nvSpPr>
        <xdr:cNvPr id="2595" name="Text Box 12"/>
        <xdr:cNvSpPr txBox="1">
          <a:spLocks noChangeArrowheads="1"/>
        </xdr:cNvSpPr>
      </xdr:nvSpPr>
      <xdr:spPr bwMode="auto">
        <a:xfrm flipH="1">
          <a:off x="4295775" y="61379100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23313</xdr:rowOff>
    </xdr:to>
    <xdr:sp macro="" textlink="">
      <xdr:nvSpPr>
        <xdr:cNvPr id="2596" name="Text Box 14"/>
        <xdr:cNvSpPr txBox="1">
          <a:spLocks noChangeArrowheads="1"/>
        </xdr:cNvSpPr>
      </xdr:nvSpPr>
      <xdr:spPr bwMode="auto">
        <a:xfrm flipH="1">
          <a:off x="4295775" y="61379100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23312</xdr:rowOff>
    </xdr:to>
    <xdr:sp macro="" textlink="">
      <xdr:nvSpPr>
        <xdr:cNvPr id="2597" name="Text Box 16"/>
        <xdr:cNvSpPr txBox="1">
          <a:spLocks noChangeArrowheads="1"/>
        </xdr:cNvSpPr>
      </xdr:nvSpPr>
      <xdr:spPr bwMode="auto">
        <a:xfrm flipH="1">
          <a:off x="4295775" y="61379100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0</xdr:rowOff>
    </xdr:to>
    <xdr:sp macro="" textlink="">
      <xdr:nvSpPr>
        <xdr:cNvPr id="2598" name="Text Box 12"/>
        <xdr:cNvSpPr txBox="1">
          <a:spLocks noChangeArrowheads="1"/>
        </xdr:cNvSpPr>
      </xdr:nvSpPr>
      <xdr:spPr bwMode="auto">
        <a:xfrm flipH="1">
          <a:off x="4295775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26760</xdr:rowOff>
    </xdr:to>
    <xdr:sp macro="" textlink="">
      <xdr:nvSpPr>
        <xdr:cNvPr id="2599" name="Text Box 4"/>
        <xdr:cNvSpPr txBox="1">
          <a:spLocks noChangeArrowheads="1"/>
        </xdr:cNvSpPr>
      </xdr:nvSpPr>
      <xdr:spPr bwMode="auto">
        <a:xfrm flipH="1">
          <a:off x="4295775" y="61379100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600" name="Text Box 4"/>
        <xdr:cNvSpPr txBox="1">
          <a:spLocks noChangeArrowheads="1"/>
        </xdr:cNvSpPr>
      </xdr:nvSpPr>
      <xdr:spPr bwMode="auto">
        <a:xfrm flipH="1">
          <a:off x="4295775" y="613791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23100</xdr:rowOff>
    </xdr:to>
    <xdr:sp macro="" textlink="">
      <xdr:nvSpPr>
        <xdr:cNvPr id="2601" name="Text Box 12"/>
        <xdr:cNvSpPr txBox="1">
          <a:spLocks noChangeArrowheads="1"/>
        </xdr:cNvSpPr>
      </xdr:nvSpPr>
      <xdr:spPr bwMode="auto">
        <a:xfrm flipH="1">
          <a:off x="4063253" y="6137910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23313</xdr:rowOff>
    </xdr:to>
    <xdr:sp macro="" textlink="">
      <xdr:nvSpPr>
        <xdr:cNvPr id="2602" name="Text Box 14"/>
        <xdr:cNvSpPr txBox="1">
          <a:spLocks noChangeArrowheads="1"/>
        </xdr:cNvSpPr>
      </xdr:nvSpPr>
      <xdr:spPr bwMode="auto">
        <a:xfrm flipH="1">
          <a:off x="4063253" y="6137910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23312</xdr:rowOff>
    </xdr:to>
    <xdr:sp macro="" textlink="">
      <xdr:nvSpPr>
        <xdr:cNvPr id="2603" name="Text Box 16"/>
        <xdr:cNvSpPr txBox="1">
          <a:spLocks noChangeArrowheads="1"/>
        </xdr:cNvSpPr>
      </xdr:nvSpPr>
      <xdr:spPr bwMode="auto">
        <a:xfrm flipH="1">
          <a:off x="4063253" y="6137910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0</xdr:rowOff>
    </xdr:to>
    <xdr:sp macro="" textlink="">
      <xdr:nvSpPr>
        <xdr:cNvPr id="2604" name="Text Box 12"/>
        <xdr:cNvSpPr txBox="1">
          <a:spLocks noChangeArrowheads="1"/>
        </xdr:cNvSpPr>
      </xdr:nvSpPr>
      <xdr:spPr bwMode="auto">
        <a:xfrm flipH="1">
          <a:off x="4063253" y="6137910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26760</xdr:rowOff>
    </xdr:to>
    <xdr:sp macro="" textlink="">
      <xdr:nvSpPr>
        <xdr:cNvPr id="2605" name="Text Box 4"/>
        <xdr:cNvSpPr txBox="1">
          <a:spLocks noChangeArrowheads="1"/>
        </xdr:cNvSpPr>
      </xdr:nvSpPr>
      <xdr:spPr bwMode="auto">
        <a:xfrm flipH="1">
          <a:off x="4063253" y="6137910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606" name="Text Box 4"/>
        <xdr:cNvSpPr txBox="1">
          <a:spLocks noChangeArrowheads="1"/>
        </xdr:cNvSpPr>
      </xdr:nvSpPr>
      <xdr:spPr bwMode="auto">
        <a:xfrm flipH="1">
          <a:off x="4295775" y="613791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23100</xdr:rowOff>
    </xdr:to>
    <xdr:sp macro="" textlink="">
      <xdr:nvSpPr>
        <xdr:cNvPr id="2607" name="Text Box 12"/>
        <xdr:cNvSpPr txBox="1">
          <a:spLocks noChangeArrowheads="1"/>
        </xdr:cNvSpPr>
      </xdr:nvSpPr>
      <xdr:spPr bwMode="auto">
        <a:xfrm flipH="1">
          <a:off x="4063253" y="6137910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23313</xdr:rowOff>
    </xdr:to>
    <xdr:sp macro="" textlink="">
      <xdr:nvSpPr>
        <xdr:cNvPr id="2608" name="Text Box 14"/>
        <xdr:cNvSpPr txBox="1">
          <a:spLocks noChangeArrowheads="1"/>
        </xdr:cNvSpPr>
      </xdr:nvSpPr>
      <xdr:spPr bwMode="auto">
        <a:xfrm flipH="1">
          <a:off x="4063253" y="6137910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23312</xdr:rowOff>
    </xdr:to>
    <xdr:sp macro="" textlink="">
      <xdr:nvSpPr>
        <xdr:cNvPr id="2609" name="Text Box 16"/>
        <xdr:cNvSpPr txBox="1">
          <a:spLocks noChangeArrowheads="1"/>
        </xdr:cNvSpPr>
      </xdr:nvSpPr>
      <xdr:spPr bwMode="auto">
        <a:xfrm flipH="1">
          <a:off x="4063253" y="6137910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0</xdr:rowOff>
    </xdr:to>
    <xdr:sp macro="" textlink="">
      <xdr:nvSpPr>
        <xdr:cNvPr id="2610" name="Text Box 12"/>
        <xdr:cNvSpPr txBox="1">
          <a:spLocks noChangeArrowheads="1"/>
        </xdr:cNvSpPr>
      </xdr:nvSpPr>
      <xdr:spPr bwMode="auto">
        <a:xfrm flipH="1">
          <a:off x="4063253" y="6137910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26760</xdr:rowOff>
    </xdr:to>
    <xdr:sp macro="" textlink="">
      <xdr:nvSpPr>
        <xdr:cNvPr id="2611" name="Text Box 4"/>
        <xdr:cNvSpPr txBox="1">
          <a:spLocks noChangeArrowheads="1"/>
        </xdr:cNvSpPr>
      </xdr:nvSpPr>
      <xdr:spPr bwMode="auto">
        <a:xfrm flipH="1">
          <a:off x="4063253" y="6137910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9525</xdr:rowOff>
    </xdr:to>
    <xdr:sp macro="" textlink="">
      <xdr:nvSpPr>
        <xdr:cNvPr id="2612" name="Text Box 4"/>
        <xdr:cNvSpPr txBox="1">
          <a:spLocks noChangeArrowheads="1"/>
        </xdr:cNvSpPr>
      </xdr:nvSpPr>
      <xdr:spPr bwMode="auto">
        <a:xfrm flipH="1">
          <a:off x="4295775" y="613791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23100</xdr:rowOff>
    </xdr:to>
    <xdr:sp macro="" textlink="">
      <xdr:nvSpPr>
        <xdr:cNvPr id="2613" name="Text Box 12"/>
        <xdr:cNvSpPr txBox="1">
          <a:spLocks noChangeArrowheads="1"/>
        </xdr:cNvSpPr>
      </xdr:nvSpPr>
      <xdr:spPr bwMode="auto">
        <a:xfrm flipH="1">
          <a:off x="4295775" y="61379100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23313</xdr:rowOff>
    </xdr:to>
    <xdr:sp macro="" textlink="">
      <xdr:nvSpPr>
        <xdr:cNvPr id="2614" name="Text Box 14"/>
        <xdr:cNvSpPr txBox="1">
          <a:spLocks noChangeArrowheads="1"/>
        </xdr:cNvSpPr>
      </xdr:nvSpPr>
      <xdr:spPr bwMode="auto">
        <a:xfrm flipH="1">
          <a:off x="4295775" y="61379100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23312</xdr:rowOff>
    </xdr:to>
    <xdr:sp macro="" textlink="">
      <xdr:nvSpPr>
        <xdr:cNvPr id="2615" name="Text Box 16"/>
        <xdr:cNvSpPr txBox="1">
          <a:spLocks noChangeArrowheads="1"/>
        </xdr:cNvSpPr>
      </xdr:nvSpPr>
      <xdr:spPr bwMode="auto">
        <a:xfrm flipH="1">
          <a:off x="4295775" y="61379100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0</xdr:rowOff>
    </xdr:to>
    <xdr:sp macro="" textlink="">
      <xdr:nvSpPr>
        <xdr:cNvPr id="2616" name="Text Box 12"/>
        <xdr:cNvSpPr txBox="1">
          <a:spLocks noChangeArrowheads="1"/>
        </xdr:cNvSpPr>
      </xdr:nvSpPr>
      <xdr:spPr bwMode="auto">
        <a:xfrm flipH="1">
          <a:off x="4295775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26760</xdr:rowOff>
    </xdr:to>
    <xdr:sp macro="" textlink="">
      <xdr:nvSpPr>
        <xdr:cNvPr id="2617" name="Text Box 4"/>
        <xdr:cNvSpPr txBox="1">
          <a:spLocks noChangeArrowheads="1"/>
        </xdr:cNvSpPr>
      </xdr:nvSpPr>
      <xdr:spPr bwMode="auto">
        <a:xfrm flipH="1">
          <a:off x="4295775" y="61379100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9525</xdr:rowOff>
    </xdr:to>
    <xdr:sp macro="" textlink="">
      <xdr:nvSpPr>
        <xdr:cNvPr id="2618" name="Text Box 4"/>
        <xdr:cNvSpPr txBox="1">
          <a:spLocks noChangeArrowheads="1"/>
        </xdr:cNvSpPr>
      </xdr:nvSpPr>
      <xdr:spPr bwMode="auto">
        <a:xfrm flipH="1">
          <a:off x="4295775" y="613791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23100</xdr:rowOff>
    </xdr:to>
    <xdr:sp macro="" textlink="">
      <xdr:nvSpPr>
        <xdr:cNvPr id="2619" name="Text Box 12"/>
        <xdr:cNvSpPr txBox="1">
          <a:spLocks noChangeArrowheads="1"/>
        </xdr:cNvSpPr>
      </xdr:nvSpPr>
      <xdr:spPr bwMode="auto">
        <a:xfrm flipH="1">
          <a:off x="4295775" y="61379100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23313</xdr:rowOff>
    </xdr:to>
    <xdr:sp macro="" textlink="">
      <xdr:nvSpPr>
        <xdr:cNvPr id="2620" name="Text Box 14"/>
        <xdr:cNvSpPr txBox="1">
          <a:spLocks noChangeArrowheads="1"/>
        </xdr:cNvSpPr>
      </xdr:nvSpPr>
      <xdr:spPr bwMode="auto">
        <a:xfrm flipH="1">
          <a:off x="4295775" y="61379100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23312</xdr:rowOff>
    </xdr:to>
    <xdr:sp macro="" textlink="">
      <xdr:nvSpPr>
        <xdr:cNvPr id="2621" name="Text Box 16"/>
        <xdr:cNvSpPr txBox="1">
          <a:spLocks noChangeArrowheads="1"/>
        </xdr:cNvSpPr>
      </xdr:nvSpPr>
      <xdr:spPr bwMode="auto">
        <a:xfrm flipH="1">
          <a:off x="4295775" y="61379100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0</xdr:rowOff>
    </xdr:to>
    <xdr:sp macro="" textlink="">
      <xdr:nvSpPr>
        <xdr:cNvPr id="2622" name="Text Box 12"/>
        <xdr:cNvSpPr txBox="1">
          <a:spLocks noChangeArrowheads="1"/>
        </xdr:cNvSpPr>
      </xdr:nvSpPr>
      <xdr:spPr bwMode="auto">
        <a:xfrm flipH="1">
          <a:off x="4295775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26760</xdr:rowOff>
    </xdr:to>
    <xdr:sp macro="" textlink="">
      <xdr:nvSpPr>
        <xdr:cNvPr id="2623" name="Text Box 4"/>
        <xdr:cNvSpPr txBox="1">
          <a:spLocks noChangeArrowheads="1"/>
        </xdr:cNvSpPr>
      </xdr:nvSpPr>
      <xdr:spPr bwMode="auto">
        <a:xfrm flipH="1">
          <a:off x="4295775" y="61379100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624" name="Text Box 4"/>
        <xdr:cNvSpPr txBox="1">
          <a:spLocks noChangeArrowheads="1"/>
        </xdr:cNvSpPr>
      </xdr:nvSpPr>
      <xdr:spPr bwMode="auto">
        <a:xfrm flipH="1">
          <a:off x="4295775" y="613791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23100</xdr:rowOff>
    </xdr:to>
    <xdr:sp macro="" textlink="">
      <xdr:nvSpPr>
        <xdr:cNvPr id="2625" name="Text Box 12"/>
        <xdr:cNvSpPr txBox="1">
          <a:spLocks noChangeArrowheads="1"/>
        </xdr:cNvSpPr>
      </xdr:nvSpPr>
      <xdr:spPr bwMode="auto">
        <a:xfrm flipH="1">
          <a:off x="4063253" y="6137910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23313</xdr:rowOff>
    </xdr:to>
    <xdr:sp macro="" textlink="">
      <xdr:nvSpPr>
        <xdr:cNvPr id="2626" name="Text Box 14"/>
        <xdr:cNvSpPr txBox="1">
          <a:spLocks noChangeArrowheads="1"/>
        </xdr:cNvSpPr>
      </xdr:nvSpPr>
      <xdr:spPr bwMode="auto">
        <a:xfrm flipH="1">
          <a:off x="4063253" y="6137910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23312</xdr:rowOff>
    </xdr:to>
    <xdr:sp macro="" textlink="">
      <xdr:nvSpPr>
        <xdr:cNvPr id="2627" name="Text Box 16"/>
        <xdr:cNvSpPr txBox="1">
          <a:spLocks noChangeArrowheads="1"/>
        </xdr:cNvSpPr>
      </xdr:nvSpPr>
      <xdr:spPr bwMode="auto">
        <a:xfrm flipH="1">
          <a:off x="4063253" y="6137910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0</xdr:rowOff>
    </xdr:to>
    <xdr:sp macro="" textlink="">
      <xdr:nvSpPr>
        <xdr:cNvPr id="2628" name="Text Box 12"/>
        <xdr:cNvSpPr txBox="1">
          <a:spLocks noChangeArrowheads="1"/>
        </xdr:cNvSpPr>
      </xdr:nvSpPr>
      <xdr:spPr bwMode="auto">
        <a:xfrm flipH="1">
          <a:off x="4063253" y="6137910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26760</xdr:rowOff>
    </xdr:to>
    <xdr:sp macro="" textlink="">
      <xdr:nvSpPr>
        <xdr:cNvPr id="2629" name="Text Box 4"/>
        <xdr:cNvSpPr txBox="1">
          <a:spLocks noChangeArrowheads="1"/>
        </xdr:cNvSpPr>
      </xdr:nvSpPr>
      <xdr:spPr bwMode="auto">
        <a:xfrm flipH="1">
          <a:off x="4063253" y="6137910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630" name="Text Box 4"/>
        <xdr:cNvSpPr txBox="1">
          <a:spLocks noChangeArrowheads="1"/>
        </xdr:cNvSpPr>
      </xdr:nvSpPr>
      <xdr:spPr bwMode="auto">
        <a:xfrm flipH="1">
          <a:off x="4295775" y="613791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23100</xdr:rowOff>
    </xdr:to>
    <xdr:sp macro="" textlink="">
      <xdr:nvSpPr>
        <xdr:cNvPr id="2631" name="Text Box 12"/>
        <xdr:cNvSpPr txBox="1">
          <a:spLocks noChangeArrowheads="1"/>
        </xdr:cNvSpPr>
      </xdr:nvSpPr>
      <xdr:spPr bwMode="auto">
        <a:xfrm flipH="1">
          <a:off x="4063253" y="6137910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23313</xdr:rowOff>
    </xdr:to>
    <xdr:sp macro="" textlink="">
      <xdr:nvSpPr>
        <xdr:cNvPr id="2632" name="Text Box 14"/>
        <xdr:cNvSpPr txBox="1">
          <a:spLocks noChangeArrowheads="1"/>
        </xdr:cNvSpPr>
      </xdr:nvSpPr>
      <xdr:spPr bwMode="auto">
        <a:xfrm flipH="1">
          <a:off x="4063253" y="6137910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23312</xdr:rowOff>
    </xdr:to>
    <xdr:sp macro="" textlink="">
      <xdr:nvSpPr>
        <xdr:cNvPr id="2633" name="Text Box 16"/>
        <xdr:cNvSpPr txBox="1">
          <a:spLocks noChangeArrowheads="1"/>
        </xdr:cNvSpPr>
      </xdr:nvSpPr>
      <xdr:spPr bwMode="auto">
        <a:xfrm flipH="1">
          <a:off x="4063253" y="6137910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0</xdr:rowOff>
    </xdr:to>
    <xdr:sp macro="" textlink="">
      <xdr:nvSpPr>
        <xdr:cNvPr id="2634" name="Text Box 12"/>
        <xdr:cNvSpPr txBox="1">
          <a:spLocks noChangeArrowheads="1"/>
        </xdr:cNvSpPr>
      </xdr:nvSpPr>
      <xdr:spPr bwMode="auto">
        <a:xfrm flipH="1">
          <a:off x="4063253" y="6137910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26760</xdr:rowOff>
    </xdr:to>
    <xdr:sp macro="" textlink="">
      <xdr:nvSpPr>
        <xdr:cNvPr id="2635" name="Text Box 4"/>
        <xdr:cNvSpPr txBox="1">
          <a:spLocks noChangeArrowheads="1"/>
        </xdr:cNvSpPr>
      </xdr:nvSpPr>
      <xdr:spPr bwMode="auto">
        <a:xfrm flipH="1">
          <a:off x="4063253" y="6137910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636" name="Text Box 4"/>
        <xdr:cNvSpPr txBox="1">
          <a:spLocks noChangeArrowheads="1"/>
        </xdr:cNvSpPr>
      </xdr:nvSpPr>
      <xdr:spPr bwMode="auto">
        <a:xfrm flipH="1">
          <a:off x="4295775" y="613791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23100</xdr:rowOff>
    </xdr:to>
    <xdr:sp macro="" textlink="">
      <xdr:nvSpPr>
        <xdr:cNvPr id="2637" name="Text Box 12"/>
        <xdr:cNvSpPr txBox="1">
          <a:spLocks noChangeArrowheads="1"/>
        </xdr:cNvSpPr>
      </xdr:nvSpPr>
      <xdr:spPr bwMode="auto">
        <a:xfrm flipH="1">
          <a:off x="4063253" y="6137910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23313</xdr:rowOff>
    </xdr:to>
    <xdr:sp macro="" textlink="">
      <xdr:nvSpPr>
        <xdr:cNvPr id="2638" name="Text Box 14"/>
        <xdr:cNvSpPr txBox="1">
          <a:spLocks noChangeArrowheads="1"/>
        </xdr:cNvSpPr>
      </xdr:nvSpPr>
      <xdr:spPr bwMode="auto">
        <a:xfrm flipH="1">
          <a:off x="4063253" y="6137910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23312</xdr:rowOff>
    </xdr:to>
    <xdr:sp macro="" textlink="">
      <xdr:nvSpPr>
        <xdr:cNvPr id="2639" name="Text Box 16"/>
        <xdr:cNvSpPr txBox="1">
          <a:spLocks noChangeArrowheads="1"/>
        </xdr:cNvSpPr>
      </xdr:nvSpPr>
      <xdr:spPr bwMode="auto">
        <a:xfrm flipH="1">
          <a:off x="4063253" y="6137910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0</xdr:rowOff>
    </xdr:to>
    <xdr:sp macro="" textlink="">
      <xdr:nvSpPr>
        <xdr:cNvPr id="2640" name="Text Box 12"/>
        <xdr:cNvSpPr txBox="1">
          <a:spLocks noChangeArrowheads="1"/>
        </xdr:cNvSpPr>
      </xdr:nvSpPr>
      <xdr:spPr bwMode="auto">
        <a:xfrm flipH="1">
          <a:off x="4063253" y="6137910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26760</xdr:rowOff>
    </xdr:to>
    <xdr:sp macro="" textlink="">
      <xdr:nvSpPr>
        <xdr:cNvPr id="2641" name="Text Box 4"/>
        <xdr:cNvSpPr txBox="1">
          <a:spLocks noChangeArrowheads="1"/>
        </xdr:cNvSpPr>
      </xdr:nvSpPr>
      <xdr:spPr bwMode="auto">
        <a:xfrm flipH="1">
          <a:off x="4063253" y="6137910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642" name="Text Box 4"/>
        <xdr:cNvSpPr txBox="1">
          <a:spLocks noChangeArrowheads="1"/>
        </xdr:cNvSpPr>
      </xdr:nvSpPr>
      <xdr:spPr bwMode="auto">
        <a:xfrm flipH="1">
          <a:off x="4295775" y="613791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23100</xdr:rowOff>
    </xdr:to>
    <xdr:sp macro="" textlink="">
      <xdr:nvSpPr>
        <xdr:cNvPr id="2643" name="Text Box 12"/>
        <xdr:cNvSpPr txBox="1">
          <a:spLocks noChangeArrowheads="1"/>
        </xdr:cNvSpPr>
      </xdr:nvSpPr>
      <xdr:spPr bwMode="auto">
        <a:xfrm flipH="1">
          <a:off x="4063253" y="6137910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23313</xdr:rowOff>
    </xdr:to>
    <xdr:sp macro="" textlink="">
      <xdr:nvSpPr>
        <xdr:cNvPr id="2644" name="Text Box 14"/>
        <xdr:cNvSpPr txBox="1">
          <a:spLocks noChangeArrowheads="1"/>
        </xdr:cNvSpPr>
      </xdr:nvSpPr>
      <xdr:spPr bwMode="auto">
        <a:xfrm flipH="1">
          <a:off x="4063253" y="6137910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23312</xdr:rowOff>
    </xdr:to>
    <xdr:sp macro="" textlink="">
      <xdr:nvSpPr>
        <xdr:cNvPr id="2645" name="Text Box 16"/>
        <xdr:cNvSpPr txBox="1">
          <a:spLocks noChangeArrowheads="1"/>
        </xdr:cNvSpPr>
      </xdr:nvSpPr>
      <xdr:spPr bwMode="auto">
        <a:xfrm flipH="1">
          <a:off x="4063253" y="6137910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0</xdr:rowOff>
    </xdr:to>
    <xdr:sp macro="" textlink="">
      <xdr:nvSpPr>
        <xdr:cNvPr id="2646" name="Text Box 12"/>
        <xdr:cNvSpPr txBox="1">
          <a:spLocks noChangeArrowheads="1"/>
        </xdr:cNvSpPr>
      </xdr:nvSpPr>
      <xdr:spPr bwMode="auto">
        <a:xfrm flipH="1">
          <a:off x="4063253" y="6137910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26760</xdr:rowOff>
    </xdr:to>
    <xdr:sp macro="" textlink="">
      <xdr:nvSpPr>
        <xdr:cNvPr id="2647" name="Text Box 4"/>
        <xdr:cNvSpPr txBox="1">
          <a:spLocks noChangeArrowheads="1"/>
        </xdr:cNvSpPr>
      </xdr:nvSpPr>
      <xdr:spPr bwMode="auto">
        <a:xfrm flipH="1">
          <a:off x="4063253" y="6137910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9525</xdr:rowOff>
    </xdr:to>
    <xdr:sp macro="" textlink="">
      <xdr:nvSpPr>
        <xdr:cNvPr id="2648" name="Text Box 4"/>
        <xdr:cNvSpPr txBox="1">
          <a:spLocks noChangeArrowheads="1"/>
        </xdr:cNvSpPr>
      </xdr:nvSpPr>
      <xdr:spPr bwMode="auto">
        <a:xfrm flipH="1">
          <a:off x="4295775" y="613791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23100</xdr:rowOff>
    </xdr:to>
    <xdr:sp macro="" textlink="">
      <xdr:nvSpPr>
        <xdr:cNvPr id="2649" name="Text Box 12"/>
        <xdr:cNvSpPr txBox="1">
          <a:spLocks noChangeArrowheads="1"/>
        </xdr:cNvSpPr>
      </xdr:nvSpPr>
      <xdr:spPr bwMode="auto">
        <a:xfrm flipH="1">
          <a:off x="4295775" y="61379100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23313</xdr:rowOff>
    </xdr:to>
    <xdr:sp macro="" textlink="">
      <xdr:nvSpPr>
        <xdr:cNvPr id="2650" name="Text Box 14"/>
        <xdr:cNvSpPr txBox="1">
          <a:spLocks noChangeArrowheads="1"/>
        </xdr:cNvSpPr>
      </xdr:nvSpPr>
      <xdr:spPr bwMode="auto">
        <a:xfrm flipH="1">
          <a:off x="4295775" y="61379100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23312</xdr:rowOff>
    </xdr:to>
    <xdr:sp macro="" textlink="">
      <xdr:nvSpPr>
        <xdr:cNvPr id="2651" name="Text Box 16"/>
        <xdr:cNvSpPr txBox="1">
          <a:spLocks noChangeArrowheads="1"/>
        </xdr:cNvSpPr>
      </xdr:nvSpPr>
      <xdr:spPr bwMode="auto">
        <a:xfrm flipH="1">
          <a:off x="4295775" y="61379100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0</xdr:rowOff>
    </xdr:to>
    <xdr:sp macro="" textlink="">
      <xdr:nvSpPr>
        <xdr:cNvPr id="2652" name="Text Box 12"/>
        <xdr:cNvSpPr txBox="1">
          <a:spLocks noChangeArrowheads="1"/>
        </xdr:cNvSpPr>
      </xdr:nvSpPr>
      <xdr:spPr bwMode="auto">
        <a:xfrm flipH="1">
          <a:off x="4295775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26760</xdr:rowOff>
    </xdr:to>
    <xdr:sp macro="" textlink="">
      <xdr:nvSpPr>
        <xdr:cNvPr id="2653" name="Text Box 4"/>
        <xdr:cNvSpPr txBox="1">
          <a:spLocks noChangeArrowheads="1"/>
        </xdr:cNvSpPr>
      </xdr:nvSpPr>
      <xdr:spPr bwMode="auto">
        <a:xfrm flipH="1">
          <a:off x="4295775" y="61379100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9525</xdr:rowOff>
    </xdr:to>
    <xdr:sp macro="" textlink="">
      <xdr:nvSpPr>
        <xdr:cNvPr id="2654" name="Text Box 4"/>
        <xdr:cNvSpPr txBox="1">
          <a:spLocks noChangeArrowheads="1"/>
        </xdr:cNvSpPr>
      </xdr:nvSpPr>
      <xdr:spPr bwMode="auto">
        <a:xfrm flipH="1">
          <a:off x="4295775" y="613791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23100</xdr:rowOff>
    </xdr:to>
    <xdr:sp macro="" textlink="">
      <xdr:nvSpPr>
        <xdr:cNvPr id="2655" name="Text Box 12"/>
        <xdr:cNvSpPr txBox="1">
          <a:spLocks noChangeArrowheads="1"/>
        </xdr:cNvSpPr>
      </xdr:nvSpPr>
      <xdr:spPr bwMode="auto">
        <a:xfrm flipH="1">
          <a:off x="4295775" y="61379100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23313</xdr:rowOff>
    </xdr:to>
    <xdr:sp macro="" textlink="">
      <xdr:nvSpPr>
        <xdr:cNvPr id="2656" name="Text Box 14"/>
        <xdr:cNvSpPr txBox="1">
          <a:spLocks noChangeArrowheads="1"/>
        </xdr:cNvSpPr>
      </xdr:nvSpPr>
      <xdr:spPr bwMode="auto">
        <a:xfrm flipH="1">
          <a:off x="4295775" y="61379100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23312</xdr:rowOff>
    </xdr:to>
    <xdr:sp macro="" textlink="">
      <xdr:nvSpPr>
        <xdr:cNvPr id="2657" name="Text Box 16"/>
        <xdr:cNvSpPr txBox="1">
          <a:spLocks noChangeArrowheads="1"/>
        </xdr:cNvSpPr>
      </xdr:nvSpPr>
      <xdr:spPr bwMode="auto">
        <a:xfrm flipH="1">
          <a:off x="4295775" y="61379100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0</xdr:rowOff>
    </xdr:to>
    <xdr:sp macro="" textlink="">
      <xdr:nvSpPr>
        <xdr:cNvPr id="2658" name="Text Box 12"/>
        <xdr:cNvSpPr txBox="1">
          <a:spLocks noChangeArrowheads="1"/>
        </xdr:cNvSpPr>
      </xdr:nvSpPr>
      <xdr:spPr bwMode="auto">
        <a:xfrm flipH="1">
          <a:off x="4295775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26760</xdr:rowOff>
    </xdr:to>
    <xdr:sp macro="" textlink="">
      <xdr:nvSpPr>
        <xdr:cNvPr id="2659" name="Text Box 4"/>
        <xdr:cNvSpPr txBox="1">
          <a:spLocks noChangeArrowheads="1"/>
        </xdr:cNvSpPr>
      </xdr:nvSpPr>
      <xdr:spPr bwMode="auto">
        <a:xfrm flipH="1">
          <a:off x="4295775" y="61379100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660" name="Text Box 4"/>
        <xdr:cNvSpPr txBox="1">
          <a:spLocks noChangeArrowheads="1"/>
        </xdr:cNvSpPr>
      </xdr:nvSpPr>
      <xdr:spPr bwMode="auto">
        <a:xfrm flipH="1">
          <a:off x="4295775" y="613791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23100</xdr:rowOff>
    </xdr:to>
    <xdr:sp macro="" textlink="">
      <xdr:nvSpPr>
        <xdr:cNvPr id="2661" name="Text Box 12"/>
        <xdr:cNvSpPr txBox="1">
          <a:spLocks noChangeArrowheads="1"/>
        </xdr:cNvSpPr>
      </xdr:nvSpPr>
      <xdr:spPr bwMode="auto">
        <a:xfrm flipH="1">
          <a:off x="4063253" y="6137910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23313</xdr:rowOff>
    </xdr:to>
    <xdr:sp macro="" textlink="">
      <xdr:nvSpPr>
        <xdr:cNvPr id="2662" name="Text Box 14"/>
        <xdr:cNvSpPr txBox="1">
          <a:spLocks noChangeArrowheads="1"/>
        </xdr:cNvSpPr>
      </xdr:nvSpPr>
      <xdr:spPr bwMode="auto">
        <a:xfrm flipH="1">
          <a:off x="4063253" y="6137910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23312</xdr:rowOff>
    </xdr:to>
    <xdr:sp macro="" textlink="">
      <xdr:nvSpPr>
        <xdr:cNvPr id="2663" name="Text Box 16"/>
        <xdr:cNvSpPr txBox="1">
          <a:spLocks noChangeArrowheads="1"/>
        </xdr:cNvSpPr>
      </xdr:nvSpPr>
      <xdr:spPr bwMode="auto">
        <a:xfrm flipH="1">
          <a:off x="4063253" y="6137910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0</xdr:rowOff>
    </xdr:to>
    <xdr:sp macro="" textlink="">
      <xdr:nvSpPr>
        <xdr:cNvPr id="2664" name="Text Box 12"/>
        <xdr:cNvSpPr txBox="1">
          <a:spLocks noChangeArrowheads="1"/>
        </xdr:cNvSpPr>
      </xdr:nvSpPr>
      <xdr:spPr bwMode="auto">
        <a:xfrm flipH="1">
          <a:off x="4063253" y="6137910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26760</xdr:rowOff>
    </xdr:to>
    <xdr:sp macro="" textlink="">
      <xdr:nvSpPr>
        <xdr:cNvPr id="2665" name="Text Box 4"/>
        <xdr:cNvSpPr txBox="1">
          <a:spLocks noChangeArrowheads="1"/>
        </xdr:cNvSpPr>
      </xdr:nvSpPr>
      <xdr:spPr bwMode="auto">
        <a:xfrm flipH="1">
          <a:off x="4063253" y="6137910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666" name="Text Box 4"/>
        <xdr:cNvSpPr txBox="1">
          <a:spLocks noChangeArrowheads="1"/>
        </xdr:cNvSpPr>
      </xdr:nvSpPr>
      <xdr:spPr bwMode="auto">
        <a:xfrm flipH="1">
          <a:off x="4295775" y="613791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23100</xdr:rowOff>
    </xdr:to>
    <xdr:sp macro="" textlink="">
      <xdr:nvSpPr>
        <xdr:cNvPr id="2667" name="Text Box 12"/>
        <xdr:cNvSpPr txBox="1">
          <a:spLocks noChangeArrowheads="1"/>
        </xdr:cNvSpPr>
      </xdr:nvSpPr>
      <xdr:spPr bwMode="auto">
        <a:xfrm flipH="1">
          <a:off x="4063253" y="6137910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23313</xdr:rowOff>
    </xdr:to>
    <xdr:sp macro="" textlink="">
      <xdr:nvSpPr>
        <xdr:cNvPr id="2668" name="Text Box 14"/>
        <xdr:cNvSpPr txBox="1">
          <a:spLocks noChangeArrowheads="1"/>
        </xdr:cNvSpPr>
      </xdr:nvSpPr>
      <xdr:spPr bwMode="auto">
        <a:xfrm flipH="1">
          <a:off x="4063253" y="6137910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23312</xdr:rowOff>
    </xdr:to>
    <xdr:sp macro="" textlink="">
      <xdr:nvSpPr>
        <xdr:cNvPr id="2669" name="Text Box 16"/>
        <xdr:cNvSpPr txBox="1">
          <a:spLocks noChangeArrowheads="1"/>
        </xdr:cNvSpPr>
      </xdr:nvSpPr>
      <xdr:spPr bwMode="auto">
        <a:xfrm flipH="1">
          <a:off x="4063253" y="6137910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0</xdr:rowOff>
    </xdr:to>
    <xdr:sp macro="" textlink="">
      <xdr:nvSpPr>
        <xdr:cNvPr id="2670" name="Text Box 12"/>
        <xdr:cNvSpPr txBox="1">
          <a:spLocks noChangeArrowheads="1"/>
        </xdr:cNvSpPr>
      </xdr:nvSpPr>
      <xdr:spPr bwMode="auto">
        <a:xfrm flipH="1">
          <a:off x="4063253" y="6137910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26760</xdr:rowOff>
    </xdr:to>
    <xdr:sp macro="" textlink="">
      <xdr:nvSpPr>
        <xdr:cNvPr id="2671" name="Text Box 4"/>
        <xdr:cNvSpPr txBox="1">
          <a:spLocks noChangeArrowheads="1"/>
        </xdr:cNvSpPr>
      </xdr:nvSpPr>
      <xdr:spPr bwMode="auto">
        <a:xfrm flipH="1">
          <a:off x="4063253" y="6137910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9525</xdr:rowOff>
    </xdr:to>
    <xdr:sp macro="" textlink="">
      <xdr:nvSpPr>
        <xdr:cNvPr id="2672" name="Text Box 4"/>
        <xdr:cNvSpPr txBox="1">
          <a:spLocks noChangeArrowheads="1"/>
        </xdr:cNvSpPr>
      </xdr:nvSpPr>
      <xdr:spPr bwMode="auto">
        <a:xfrm flipH="1">
          <a:off x="4295775" y="613791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23100</xdr:rowOff>
    </xdr:to>
    <xdr:sp macro="" textlink="">
      <xdr:nvSpPr>
        <xdr:cNvPr id="2673" name="Text Box 12"/>
        <xdr:cNvSpPr txBox="1">
          <a:spLocks noChangeArrowheads="1"/>
        </xdr:cNvSpPr>
      </xdr:nvSpPr>
      <xdr:spPr bwMode="auto">
        <a:xfrm flipH="1">
          <a:off x="4295775" y="61379100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23313</xdr:rowOff>
    </xdr:to>
    <xdr:sp macro="" textlink="">
      <xdr:nvSpPr>
        <xdr:cNvPr id="2674" name="Text Box 14"/>
        <xdr:cNvSpPr txBox="1">
          <a:spLocks noChangeArrowheads="1"/>
        </xdr:cNvSpPr>
      </xdr:nvSpPr>
      <xdr:spPr bwMode="auto">
        <a:xfrm flipH="1">
          <a:off x="4295775" y="61379100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23312</xdr:rowOff>
    </xdr:to>
    <xdr:sp macro="" textlink="">
      <xdr:nvSpPr>
        <xdr:cNvPr id="2675" name="Text Box 16"/>
        <xdr:cNvSpPr txBox="1">
          <a:spLocks noChangeArrowheads="1"/>
        </xdr:cNvSpPr>
      </xdr:nvSpPr>
      <xdr:spPr bwMode="auto">
        <a:xfrm flipH="1">
          <a:off x="4295775" y="61379100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0</xdr:rowOff>
    </xdr:to>
    <xdr:sp macro="" textlink="">
      <xdr:nvSpPr>
        <xdr:cNvPr id="2676" name="Text Box 12"/>
        <xdr:cNvSpPr txBox="1">
          <a:spLocks noChangeArrowheads="1"/>
        </xdr:cNvSpPr>
      </xdr:nvSpPr>
      <xdr:spPr bwMode="auto">
        <a:xfrm flipH="1">
          <a:off x="4295775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26760</xdr:rowOff>
    </xdr:to>
    <xdr:sp macro="" textlink="">
      <xdr:nvSpPr>
        <xdr:cNvPr id="2677" name="Text Box 4"/>
        <xdr:cNvSpPr txBox="1">
          <a:spLocks noChangeArrowheads="1"/>
        </xdr:cNvSpPr>
      </xdr:nvSpPr>
      <xdr:spPr bwMode="auto">
        <a:xfrm flipH="1">
          <a:off x="4295775" y="61379100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9525</xdr:rowOff>
    </xdr:to>
    <xdr:sp macro="" textlink="">
      <xdr:nvSpPr>
        <xdr:cNvPr id="2678" name="Text Box 4"/>
        <xdr:cNvSpPr txBox="1">
          <a:spLocks noChangeArrowheads="1"/>
        </xdr:cNvSpPr>
      </xdr:nvSpPr>
      <xdr:spPr bwMode="auto">
        <a:xfrm flipH="1">
          <a:off x="4295775" y="613791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23100</xdr:rowOff>
    </xdr:to>
    <xdr:sp macro="" textlink="">
      <xdr:nvSpPr>
        <xdr:cNvPr id="2679" name="Text Box 12"/>
        <xdr:cNvSpPr txBox="1">
          <a:spLocks noChangeArrowheads="1"/>
        </xdr:cNvSpPr>
      </xdr:nvSpPr>
      <xdr:spPr bwMode="auto">
        <a:xfrm flipH="1">
          <a:off x="4295775" y="61379100"/>
          <a:ext cx="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23313</xdr:rowOff>
    </xdr:to>
    <xdr:sp macro="" textlink="">
      <xdr:nvSpPr>
        <xdr:cNvPr id="2680" name="Text Box 14"/>
        <xdr:cNvSpPr txBox="1">
          <a:spLocks noChangeArrowheads="1"/>
        </xdr:cNvSpPr>
      </xdr:nvSpPr>
      <xdr:spPr bwMode="auto">
        <a:xfrm flipH="1">
          <a:off x="4295775" y="61379100"/>
          <a:ext cx="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23312</xdr:rowOff>
    </xdr:to>
    <xdr:sp macro="" textlink="">
      <xdr:nvSpPr>
        <xdr:cNvPr id="2681" name="Text Box 16"/>
        <xdr:cNvSpPr txBox="1">
          <a:spLocks noChangeArrowheads="1"/>
        </xdr:cNvSpPr>
      </xdr:nvSpPr>
      <xdr:spPr bwMode="auto">
        <a:xfrm flipH="1">
          <a:off x="4295775" y="61379100"/>
          <a:ext cx="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0</xdr:rowOff>
    </xdr:to>
    <xdr:sp macro="" textlink="">
      <xdr:nvSpPr>
        <xdr:cNvPr id="2682" name="Text Box 12"/>
        <xdr:cNvSpPr txBox="1">
          <a:spLocks noChangeArrowheads="1"/>
        </xdr:cNvSpPr>
      </xdr:nvSpPr>
      <xdr:spPr bwMode="auto">
        <a:xfrm flipH="1">
          <a:off x="4295775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26760</xdr:rowOff>
    </xdr:to>
    <xdr:sp macro="" textlink="">
      <xdr:nvSpPr>
        <xdr:cNvPr id="2683" name="Text Box 4"/>
        <xdr:cNvSpPr txBox="1">
          <a:spLocks noChangeArrowheads="1"/>
        </xdr:cNvSpPr>
      </xdr:nvSpPr>
      <xdr:spPr bwMode="auto">
        <a:xfrm flipH="1">
          <a:off x="4295775" y="61379100"/>
          <a:ext cx="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684" name="Text Box 4"/>
        <xdr:cNvSpPr txBox="1">
          <a:spLocks noChangeArrowheads="1"/>
        </xdr:cNvSpPr>
      </xdr:nvSpPr>
      <xdr:spPr bwMode="auto">
        <a:xfrm flipH="1">
          <a:off x="4295775" y="613791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23100</xdr:rowOff>
    </xdr:to>
    <xdr:sp macro="" textlink="">
      <xdr:nvSpPr>
        <xdr:cNvPr id="2685" name="Text Box 12"/>
        <xdr:cNvSpPr txBox="1">
          <a:spLocks noChangeArrowheads="1"/>
        </xdr:cNvSpPr>
      </xdr:nvSpPr>
      <xdr:spPr bwMode="auto">
        <a:xfrm flipH="1">
          <a:off x="4063253" y="6137910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23313</xdr:rowOff>
    </xdr:to>
    <xdr:sp macro="" textlink="">
      <xdr:nvSpPr>
        <xdr:cNvPr id="2686" name="Text Box 14"/>
        <xdr:cNvSpPr txBox="1">
          <a:spLocks noChangeArrowheads="1"/>
        </xdr:cNvSpPr>
      </xdr:nvSpPr>
      <xdr:spPr bwMode="auto">
        <a:xfrm flipH="1">
          <a:off x="4063253" y="6137910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23312</xdr:rowOff>
    </xdr:to>
    <xdr:sp macro="" textlink="">
      <xdr:nvSpPr>
        <xdr:cNvPr id="2687" name="Text Box 16"/>
        <xdr:cNvSpPr txBox="1">
          <a:spLocks noChangeArrowheads="1"/>
        </xdr:cNvSpPr>
      </xdr:nvSpPr>
      <xdr:spPr bwMode="auto">
        <a:xfrm flipH="1">
          <a:off x="4063253" y="6137910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0</xdr:rowOff>
    </xdr:to>
    <xdr:sp macro="" textlink="">
      <xdr:nvSpPr>
        <xdr:cNvPr id="2688" name="Text Box 12"/>
        <xdr:cNvSpPr txBox="1">
          <a:spLocks noChangeArrowheads="1"/>
        </xdr:cNvSpPr>
      </xdr:nvSpPr>
      <xdr:spPr bwMode="auto">
        <a:xfrm flipH="1">
          <a:off x="4063253" y="6137910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26760</xdr:rowOff>
    </xdr:to>
    <xdr:sp macro="" textlink="">
      <xdr:nvSpPr>
        <xdr:cNvPr id="2689" name="Text Box 4"/>
        <xdr:cNvSpPr txBox="1">
          <a:spLocks noChangeArrowheads="1"/>
        </xdr:cNvSpPr>
      </xdr:nvSpPr>
      <xdr:spPr bwMode="auto">
        <a:xfrm flipH="1">
          <a:off x="4063253" y="6137910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690" name="Text Box 4"/>
        <xdr:cNvSpPr txBox="1">
          <a:spLocks noChangeArrowheads="1"/>
        </xdr:cNvSpPr>
      </xdr:nvSpPr>
      <xdr:spPr bwMode="auto">
        <a:xfrm flipH="1">
          <a:off x="4295775" y="613791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23100</xdr:rowOff>
    </xdr:to>
    <xdr:sp macro="" textlink="">
      <xdr:nvSpPr>
        <xdr:cNvPr id="2691" name="Text Box 12"/>
        <xdr:cNvSpPr txBox="1">
          <a:spLocks noChangeArrowheads="1"/>
        </xdr:cNvSpPr>
      </xdr:nvSpPr>
      <xdr:spPr bwMode="auto">
        <a:xfrm flipH="1">
          <a:off x="4063253" y="61379100"/>
          <a:ext cx="34290" cy="2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23313</xdr:rowOff>
    </xdr:to>
    <xdr:sp macro="" textlink="">
      <xdr:nvSpPr>
        <xdr:cNvPr id="2692" name="Text Box 14"/>
        <xdr:cNvSpPr txBox="1">
          <a:spLocks noChangeArrowheads="1"/>
        </xdr:cNvSpPr>
      </xdr:nvSpPr>
      <xdr:spPr bwMode="auto">
        <a:xfrm flipH="1">
          <a:off x="4063253" y="61379100"/>
          <a:ext cx="34290" cy="23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23312</xdr:rowOff>
    </xdr:to>
    <xdr:sp macro="" textlink="">
      <xdr:nvSpPr>
        <xdr:cNvPr id="2693" name="Text Box 16"/>
        <xdr:cNvSpPr txBox="1">
          <a:spLocks noChangeArrowheads="1"/>
        </xdr:cNvSpPr>
      </xdr:nvSpPr>
      <xdr:spPr bwMode="auto">
        <a:xfrm flipH="1">
          <a:off x="4063253" y="61379100"/>
          <a:ext cx="34290" cy="2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0</xdr:rowOff>
    </xdr:to>
    <xdr:sp macro="" textlink="">
      <xdr:nvSpPr>
        <xdr:cNvPr id="2694" name="Text Box 12"/>
        <xdr:cNvSpPr txBox="1">
          <a:spLocks noChangeArrowheads="1"/>
        </xdr:cNvSpPr>
      </xdr:nvSpPr>
      <xdr:spPr bwMode="auto">
        <a:xfrm flipH="1">
          <a:off x="4063253" y="61379100"/>
          <a:ext cx="342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2621168</xdr:colOff>
      <xdr:row>371</xdr:row>
      <xdr:rowOff>26760</xdr:rowOff>
    </xdr:to>
    <xdr:sp macro="" textlink="">
      <xdr:nvSpPr>
        <xdr:cNvPr id="2695" name="Text Box 4"/>
        <xdr:cNvSpPr txBox="1">
          <a:spLocks noChangeArrowheads="1"/>
        </xdr:cNvSpPr>
      </xdr:nvSpPr>
      <xdr:spPr bwMode="auto">
        <a:xfrm flipH="1">
          <a:off x="4063253" y="61379100"/>
          <a:ext cx="34290" cy="2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80456</xdr:rowOff>
    </xdr:to>
    <xdr:sp macro="" textlink="">
      <xdr:nvSpPr>
        <xdr:cNvPr id="2696" name="Text Box 4"/>
        <xdr:cNvSpPr txBox="1">
          <a:spLocks noChangeArrowheads="1"/>
        </xdr:cNvSpPr>
      </xdr:nvSpPr>
      <xdr:spPr bwMode="auto">
        <a:xfrm flipH="1">
          <a:off x="4063253" y="6137910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24544</xdr:rowOff>
    </xdr:to>
    <xdr:sp macro="" textlink="">
      <xdr:nvSpPr>
        <xdr:cNvPr id="2697" name="Text Box 12"/>
        <xdr:cNvSpPr txBox="1">
          <a:spLocks noChangeArrowheads="1"/>
        </xdr:cNvSpPr>
      </xdr:nvSpPr>
      <xdr:spPr bwMode="auto">
        <a:xfrm flipH="1">
          <a:off x="4063253" y="6137910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23162</xdr:rowOff>
    </xdr:to>
    <xdr:sp macro="" textlink="">
      <xdr:nvSpPr>
        <xdr:cNvPr id="2698" name="Text Box 14"/>
        <xdr:cNvSpPr txBox="1">
          <a:spLocks noChangeArrowheads="1"/>
        </xdr:cNvSpPr>
      </xdr:nvSpPr>
      <xdr:spPr bwMode="auto">
        <a:xfrm flipH="1">
          <a:off x="4063253" y="6137910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23161</xdr:rowOff>
    </xdr:to>
    <xdr:sp macro="" textlink="">
      <xdr:nvSpPr>
        <xdr:cNvPr id="2699" name="Text Box 16"/>
        <xdr:cNvSpPr txBox="1">
          <a:spLocks noChangeArrowheads="1"/>
        </xdr:cNvSpPr>
      </xdr:nvSpPr>
      <xdr:spPr bwMode="auto">
        <a:xfrm flipH="1">
          <a:off x="4063253" y="6137910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80989</xdr:rowOff>
    </xdr:to>
    <xdr:sp macro="" textlink="">
      <xdr:nvSpPr>
        <xdr:cNvPr id="2700" name="Text Box 12"/>
        <xdr:cNvSpPr txBox="1">
          <a:spLocks noChangeArrowheads="1"/>
        </xdr:cNvSpPr>
      </xdr:nvSpPr>
      <xdr:spPr bwMode="auto">
        <a:xfrm flipH="1">
          <a:off x="4063253" y="613791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30996</xdr:rowOff>
    </xdr:to>
    <xdr:sp macro="" textlink="">
      <xdr:nvSpPr>
        <xdr:cNvPr id="2701" name="Text Box 4"/>
        <xdr:cNvSpPr txBox="1">
          <a:spLocks noChangeArrowheads="1"/>
        </xdr:cNvSpPr>
      </xdr:nvSpPr>
      <xdr:spPr bwMode="auto">
        <a:xfrm flipH="1">
          <a:off x="4063253" y="6137910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80456</xdr:rowOff>
    </xdr:to>
    <xdr:sp macro="" textlink="">
      <xdr:nvSpPr>
        <xdr:cNvPr id="2702" name="Text Box 4"/>
        <xdr:cNvSpPr txBox="1">
          <a:spLocks noChangeArrowheads="1"/>
        </xdr:cNvSpPr>
      </xdr:nvSpPr>
      <xdr:spPr bwMode="auto">
        <a:xfrm flipH="1">
          <a:off x="4063253" y="6137910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24544</xdr:rowOff>
    </xdr:to>
    <xdr:sp macro="" textlink="">
      <xdr:nvSpPr>
        <xdr:cNvPr id="2703" name="Text Box 12"/>
        <xdr:cNvSpPr txBox="1">
          <a:spLocks noChangeArrowheads="1"/>
        </xdr:cNvSpPr>
      </xdr:nvSpPr>
      <xdr:spPr bwMode="auto">
        <a:xfrm flipH="1">
          <a:off x="4063253" y="6137910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23162</xdr:rowOff>
    </xdr:to>
    <xdr:sp macro="" textlink="">
      <xdr:nvSpPr>
        <xdr:cNvPr id="2704" name="Text Box 14"/>
        <xdr:cNvSpPr txBox="1">
          <a:spLocks noChangeArrowheads="1"/>
        </xdr:cNvSpPr>
      </xdr:nvSpPr>
      <xdr:spPr bwMode="auto">
        <a:xfrm flipH="1">
          <a:off x="4063253" y="6137910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23161</xdr:rowOff>
    </xdr:to>
    <xdr:sp macro="" textlink="">
      <xdr:nvSpPr>
        <xdr:cNvPr id="2705" name="Text Box 16"/>
        <xdr:cNvSpPr txBox="1">
          <a:spLocks noChangeArrowheads="1"/>
        </xdr:cNvSpPr>
      </xdr:nvSpPr>
      <xdr:spPr bwMode="auto">
        <a:xfrm flipH="1">
          <a:off x="4063253" y="6137910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80989</xdr:rowOff>
    </xdr:to>
    <xdr:sp macro="" textlink="">
      <xdr:nvSpPr>
        <xdr:cNvPr id="2706" name="Text Box 12"/>
        <xdr:cNvSpPr txBox="1">
          <a:spLocks noChangeArrowheads="1"/>
        </xdr:cNvSpPr>
      </xdr:nvSpPr>
      <xdr:spPr bwMode="auto">
        <a:xfrm flipH="1">
          <a:off x="4063253" y="613791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30996</xdr:rowOff>
    </xdr:to>
    <xdr:sp macro="" textlink="">
      <xdr:nvSpPr>
        <xdr:cNvPr id="2707" name="Text Box 4"/>
        <xdr:cNvSpPr txBox="1">
          <a:spLocks noChangeArrowheads="1"/>
        </xdr:cNvSpPr>
      </xdr:nvSpPr>
      <xdr:spPr bwMode="auto">
        <a:xfrm flipH="1">
          <a:off x="4063253" y="6137910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80456</xdr:rowOff>
    </xdr:to>
    <xdr:sp macro="" textlink="">
      <xdr:nvSpPr>
        <xdr:cNvPr id="2708" name="Text Box 4"/>
        <xdr:cNvSpPr txBox="1">
          <a:spLocks noChangeArrowheads="1"/>
        </xdr:cNvSpPr>
      </xdr:nvSpPr>
      <xdr:spPr bwMode="auto">
        <a:xfrm flipH="1">
          <a:off x="4295775" y="6137910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24544</xdr:rowOff>
    </xdr:to>
    <xdr:sp macro="" textlink="">
      <xdr:nvSpPr>
        <xdr:cNvPr id="2709" name="Text Box 12"/>
        <xdr:cNvSpPr txBox="1">
          <a:spLocks noChangeArrowheads="1"/>
        </xdr:cNvSpPr>
      </xdr:nvSpPr>
      <xdr:spPr bwMode="auto">
        <a:xfrm flipH="1">
          <a:off x="4295775" y="6137910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23162</xdr:rowOff>
    </xdr:to>
    <xdr:sp macro="" textlink="">
      <xdr:nvSpPr>
        <xdr:cNvPr id="2710" name="Text Box 14"/>
        <xdr:cNvSpPr txBox="1">
          <a:spLocks noChangeArrowheads="1"/>
        </xdr:cNvSpPr>
      </xdr:nvSpPr>
      <xdr:spPr bwMode="auto">
        <a:xfrm flipH="1">
          <a:off x="4295775" y="6137910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23161</xdr:rowOff>
    </xdr:to>
    <xdr:sp macro="" textlink="">
      <xdr:nvSpPr>
        <xdr:cNvPr id="2711" name="Text Box 16"/>
        <xdr:cNvSpPr txBox="1">
          <a:spLocks noChangeArrowheads="1"/>
        </xdr:cNvSpPr>
      </xdr:nvSpPr>
      <xdr:spPr bwMode="auto">
        <a:xfrm flipH="1">
          <a:off x="4295775" y="6137910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80989</xdr:rowOff>
    </xdr:to>
    <xdr:sp macro="" textlink="">
      <xdr:nvSpPr>
        <xdr:cNvPr id="2712" name="Text Box 12"/>
        <xdr:cNvSpPr txBox="1">
          <a:spLocks noChangeArrowheads="1"/>
        </xdr:cNvSpPr>
      </xdr:nvSpPr>
      <xdr:spPr bwMode="auto">
        <a:xfrm flipH="1">
          <a:off x="4295775" y="613791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30996</xdr:rowOff>
    </xdr:to>
    <xdr:sp macro="" textlink="">
      <xdr:nvSpPr>
        <xdr:cNvPr id="2713" name="Text Box 4"/>
        <xdr:cNvSpPr txBox="1">
          <a:spLocks noChangeArrowheads="1"/>
        </xdr:cNvSpPr>
      </xdr:nvSpPr>
      <xdr:spPr bwMode="auto">
        <a:xfrm flipH="1">
          <a:off x="4295775" y="6137910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80456</xdr:rowOff>
    </xdr:to>
    <xdr:sp macro="" textlink="">
      <xdr:nvSpPr>
        <xdr:cNvPr id="2714" name="Text Box 4"/>
        <xdr:cNvSpPr txBox="1">
          <a:spLocks noChangeArrowheads="1"/>
        </xdr:cNvSpPr>
      </xdr:nvSpPr>
      <xdr:spPr bwMode="auto">
        <a:xfrm flipH="1">
          <a:off x="4295775" y="6137910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24544</xdr:rowOff>
    </xdr:to>
    <xdr:sp macro="" textlink="">
      <xdr:nvSpPr>
        <xdr:cNvPr id="2715" name="Text Box 12"/>
        <xdr:cNvSpPr txBox="1">
          <a:spLocks noChangeArrowheads="1"/>
        </xdr:cNvSpPr>
      </xdr:nvSpPr>
      <xdr:spPr bwMode="auto">
        <a:xfrm flipH="1">
          <a:off x="4295775" y="6137910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23162</xdr:rowOff>
    </xdr:to>
    <xdr:sp macro="" textlink="">
      <xdr:nvSpPr>
        <xdr:cNvPr id="2716" name="Text Box 14"/>
        <xdr:cNvSpPr txBox="1">
          <a:spLocks noChangeArrowheads="1"/>
        </xdr:cNvSpPr>
      </xdr:nvSpPr>
      <xdr:spPr bwMode="auto">
        <a:xfrm flipH="1">
          <a:off x="4295775" y="6137910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23161</xdr:rowOff>
    </xdr:to>
    <xdr:sp macro="" textlink="">
      <xdr:nvSpPr>
        <xdr:cNvPr id="2717" name="Text Box 16"/>
        <xdr:cNvSpPr txBox="1">
          <a:spLocks noChangeArrowheads="1"/>
        </xdr:cNvSpPr>
      </xdr:nvSpPr>
      <xdr:spPr bwMode="auto">
        <a:xfrm flipH="1">
          <a:off x="4295775" y="6137910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80989</xdr:rowOff>
    </xdr:to>
    <xdr:sp macro="" textlink="">
      <xdr:nvSpPr>
        <xdr:cNvPr id="2718" name="Text Box 12"/>
        <xdr:cNvSpPr txBox="1">
          <a:spLocks noChangeArrowheads="1"/>
        </xdr:cNvSpPr>
      </xdr:nvSpPr>
      <xdr:spPr bwMode="auto">
        <a:xfrm flipH="1">
          <a:off x="4295775" y="613791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30996</xdr:rowOff>
    </xdr:to>
    <xdr:sp macro="" textlink="">
      <xdr:nvSpPr>
        <xdr:cNvPr id="2719" name="Text Box 4"/>
        <xdr:cNvSpPr txBox="1">
          <a:spLocks noChangeArrowheads="1"/>
        </xdr:cNvSpPr>
      </xdr:nvSpPr>
      <xdr:spPr bwMode="auto">
        <a:xfrm flipH="1">
          <a:off x="4295775" y="6137910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80456</xdr:rowOff>
    </xdr:to>
    <xdr:sp macro="" textlink="">
      <xdr:nvSpPr>
        <xdr:cNvPr id="2720" name="Text Box 4"/>
        <xdr:cNvSpPr txBox="1">
          <a:spLocks noChangeArrowheads="1"/>
        </xdr:cNvSpPr>
      </xdr:nvSpPr>
      <xdr:spPr bwMode="auto">
        <a:xfrm flipH="1">
          <a:off x="4063253" y="6137910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24544</xdr:rowOff>
    </xdr:to>
    <xdr:sp macro="" textlink="">
      <xdr:nvSpPr>
        <xdr:cNvPr id="2721" name="Text Box 12"/>
        <xdr:cNvSpPr txBox="1">
          <a:spLocks noChangeArrowheads="1"/>
        </xdr:cNvSpPr>
      </xdr:nvSpPr>
      <xdr:spPr bwMode="auto">
        <a:xfrm flipH="1">
          <a:off x="4063253" y="6137910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23162</xdr:rowOff>
    </xdr:to>
    <xdr:sp macro="" textlink="">
      <xdr:nvSpPr>
        <xdr:cNvPr id="2722" name="Text Box 14"/>
        <xdr:cNvSpPr txBox="1">
          <a:spLocks noChangeArrowheads="1"/>
        </xdr:cNvSpPr>
      </xdr:nvSpPr>
      <xdr:spPr bwMode="auto">
        <a:xfrm flipH="1">
          <a:off x="4063253" y="6137910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23161</xdr:rowOff>
    </xdr:to>
    <xdr:sp macro="" textlink="">
      <xdr:nvSpPr>
        <xdr:cNvPr id="2723" name="Text Box 16"/>
        <xdr:cNvSpPr txBox="1">
          <a:spLocks noChangeArrowheads="1"/>
        </xdr:cNvSpPr>
      </xdr:nvSpPr>
      <xdr:spPr bwMode="auto">
        <a:xfrm flipH="1">
          <a:off x="4063253" y="6137910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80989</xdr:rowOff>
    </xdr:to>
    <xdr:sp macro="" textlink="">
      <xdr:nvSpPr>
        <xdr:cNvPr id="2724" name="Text Box 12"/>
        <xdr:cNvSpPr txBox="1">
          <a:spLocks noChangeArrowheads="1"/>
        </xdr:cNvSpPr>
      </xdr:nvSpPr>
      <xdr:spPr bwMode="auto">
        <a:xfrm flipH="1">
          <a:off x="4063253" y="613791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30996</xdr:rowOff>
    </xdr:to>
    <xdr:sp macro="" textlink="">
      <xdr:nvSpPr>
        <xdr:cNvPr id="2725" name="Text Box 4"/>
        <xdr:cNvSpPr txBox="1">
          <a:spLocks noChangeArrowheads="1"/>
        </xdr:cNvSpPr>
      </xdr:nvSpPr>
      <xdr:spPr bwMode="auto">
        <a:xfrm flipH="1">
          <a:off x="4063253" y="6137910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80456</xdr:rowOff>
    </xdr:to>
    <xdr:sp macro="" textlink="">
      <xdr:nvSpPr>
        <xdr:cNvPr id="2726" name="Text Box 4"/>
        <xdr:cNvSpPr txBox="1">
          <a:spLocks noChangeArrowheads="1"/>
        </xdr:cNvSpPr>
      </xdr:nvSpPr>
      <xdr:spPr bwMode="auto">
        <a:xfrm flipH="1">
          <a:off x="4063253" y="6137910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24544</xdr:rowOff>
    </xdr:to>
    <xdr:sp macro="" textlink="">
      <xdr:nvSpPr>
        <xdr:cNvPr id="2727" name="Text Box 12"/>
        <xdr:cNvSpPr txBox="1">
          <a:spLocks noChangeArrowheads="1"/>
        </xdr:cNvSpPr>
      </xdr:nvSpPr>
      <xdr:spPr bwMode="auto">
        <a:xfrm flipH="1">
          <a:off x="4063253" y="6137910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23162</xdr:rowOff>
    </xdr:to>
    <xdr:sp macro="" textlink="">
      <xdr:nvSpPr>
        <xdr:cNvPr id="2728" name="Text Box 14"/>
        <xdr:cNvSpPr txBox="1">
          <a:spLocks noChangeArrowheads="1"/>
        </xdr:cNvSpPr>
      </xdr:nvSpPr>
      <xdr:spPr bwMode="auto">
        <a:xfrm flipH="1">
          <a:off x="4063253" y="6137910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23161</xdr:rowOff>
    </xdr:to>
    <xdr:sp macro="" textlink="">
      <xdr:nvSpPr>
        <xdr:cNvPr id="2729" name="Text Box 16"/>
        <xdr:cNvSpPr txBox="1">
          <a:spLocks noChangeArrowheads="1"/>
        </xdr:cNvSpPr>
      </xdr:nvSpPr>
      <xdr:spPr bwMode="auto">
        <a:xfrm flipH="1">
          <a:off x="4063253" y="6137910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80989</xdr:rowOff>
    </xdr:to>
    <xdr:sp macro="" textlink="">
      <xdr:nvSpPr>
        <xdr:cNvPr id="2730" name="Text Box 12"/>
        <xdr:cNvSpPr txBox="1">
          <a:spLocks noChangeArrowheads="1"/>
        </xdr:cNvSpPr>
      </xdr:nvSpPr>
      <xdr:spPr bwMode="auto">
        <a:xfrm flipH="1">
          <a:off x="4063253" y="613791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30996</xdr:rowOff>
    </xdr:to>
    <xdr:sp macro="" textlink="">
      <xdr:nvSpPr>
        <xdr:cNvPr id="2731" name="Text Box 4"/>
        <xdr:cNvSpPr txBox="1">
          <a:spLocks noChangeArrowheads="1"/>
        </xdr:cNvSpPr>
      </xdr:nvSpPr>
      <xdr:spPr bwMode="auto">
        <a:xfrm flipH="1">
          <a:off x="4063253" y="6137910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80456</xdr:rowOff>
    </xdr:to>
    <xdr:sp macro="" textlink="">
      <xdr:nvSpPr>
        <xdr:cNvPr id="2732" name="Text Box 4"/>
        <xdr:cNvSpPr txBox="1">
          <a:spLocks noChangeArrowheads="1"/>
        </xdr:cNvSpPr>
      </xdr:nvSpPr>
      <xdr:spPr bwMode="auto">
        <a:xfrm flipH="1">
          <a:off x="4295775" y="6137910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24544</xdr:rowOff>
    </xdr:to>
    <xdr:sp macro="" textlink="">
      <xdr:nvSpPr>
        <xdr:cNvPr id="2733" name="Text Box 12"/>
        <xdr:cNvSpPr txBox="1">
          <a:spLocks noChangeArrowheads="1"/>
        </xdr:cNvSpPr>
      </xdr:nvSpPr>
      <xdr:spPr bwMode="auto">
        <a:xfrm flipH="1">
          <a:off x="4295775" y="6137910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23162</xdr:rowOff>
    </xdr:to>
    <xdr:sp macro="" textlink="">
      <xdr:nvSpPr>
        <xdr:cNvPr id="2734" name="Text Box 14"/>
        <xdr:cNvSpPr txBox="1">
          <a:spLocks noChangeArrowheads="1"/>
        </xdr:cNvSpPr>
      </xdr:nvSpPr>
      <xdr:spPr bwMode="auto">
        <a:xfrm flipH="1">
          <a:off x="4295775" y="6137910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23161</xdr:rowOff>
    </xdr:to>
    <xdr:sp macro="" textlink="">
      <xdr:nvSpPr>
        <xdr:cNvPr id="2735" name="Text Box 16"/>
        <xdr:cNvSpPr txBox="1">
          <a:spLocks noChangeArrowheads="1"/>
        </xdr:cNvSpPr>
      </xdr:nvSpPr>
      <xdr:spPr bwMode="auto">
        <a:xfrm flipH="1">
          <a:off x="4295775" y="6137910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80989</xdr:rowOff>
    </xdr:to>
    <xdr:sp macro="" textlink="">
      <xdr:nvSpPr>
        <xdr:cNvPr id="2736" name="Text Box 12"/>
        <xdr:cNvSpPr txBox="1">
          <a:spLocks noChangeArrowheads="1"/>
        </xdr:cNvSpPr>
      </xdr:nvSpPr>
      <xdr:spPr bwMode="auto">
        <a:xfrm flipH="1">
          <a:off x="4295775" y="613791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30996</xdr:rowOff>
    </xdr:to>
    <xdr:sp macro="" textlink="">
      <xdr:nvSpPr>
        <xdr:cNvPr id="2737" name="Text Box 4"/>
        <xdr:cNvSpPr txBox="1">
          <a:spLocks noChangeArrowheads="1"/>
        </xdr:cNvSpPr>
      </xdr:nvSpPr>
      <xdr:spPr bwMode="auto">
        <a:xfrm flipH="1">
          <a:off x="4295775" y="6137910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80456</xdr:rowOff>
    </xdr:to>
    <xdr:sp macro="" textlink="">
      <xdr:nvSpPr>
        <xdr:cNvPr id="2738" name="Text Box 4"/>
        <xdr:cNvSpPr txBox="1">
          <a:spLocks noChangeArrowheads="1"/>
        </xdr:cNvSpPr>
      </xdr:nvSpPr>
      <xdr:spPr bwMode="auto">
        <a:xfrm flipH="1">
          <a:off x="4295775" y="6137910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24544</xdr:rowOff>
    </xdr:to>
    <xdr:sp macro="" textlink="">
      <xdr:nvSpPr>
        <xdr:cNvPr id="2739" name="Text Box 12"/>
        <xdr:cNvSpPr txBox="1">
          <a:spLocks noChangeArrowheads="1"/>
        </xdr:cNvSpPr>
      </xdr:nvSpPr>
      <xdr:spPr bwMode="auto">
        <a:xfrm flipH="1">
          <a:off x="4295775" y="6137910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23162</xdr:rowOff>
    </xdr:to>
    <xdr:sp macro="" textlink="">
      <xdr:nvSpPr>
        <xdr:cNvPr id="2740" name="Text Box 14"/>
        <xdr:cNvSpPr txBox="1">
          <a:spLocks noChangeArrowheads="1"/>
        </xdr:cNvSpPr>
      </xdr:nvSpPr>
      <xdr:spPr bwMode="auto">
        <a:xfrm flipH="1">
          <a:off x="4295775" y="6137910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23161</xdr:rowOff>
    </xdr:to>
    <xdr:sp macro="" textlink="">
      <xdr:nvSpPr>
        <xdr:cNvPr id="2741" name="Text Box 16"/>
        <xdr:cNvSpPr txBox="1">
          <a:spLocks noChangeArrowheads="1"/>
        </xdr:cNvSpPr>
      </xdr:nvSpPr>
      <xdr:spPr bwMode="auto">
        <a:xfrm flipH="1">
          <a:off x="4295775" y="6137910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80989</xdr:rowOff>
    </xdr:to>
    <xdr:sp macro="" textlink="">
      <xdr:nvSpPr>
        <xdr:cNvPr id="2742" name="Text Box 12"/>
        <xdr:cNvSpPr txBox="1">
          <a:spLocks noChangeArrowheads="1"/>
        </xdr:cNvSpPr>
      </xdr:nvSpPr>
      <xdr:spPr bwMode="auto">
        <a:xfrm flipH="1">
          <a:off x="4295775" y="613791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0</xdr:colOff>
      <xdr:row>371</xdr:row>
      <xdr:rowOff>30996</xdr:rowOff>
    </xdr:to>
    <xdr:sp macro="" textlink="">
      <xdr:nvSpPr>
        <xdr:cNvPr id="2743" name="Text Box 4"/>
        <xdr:cNvSpPr txBox="1">
          <a:spLocks noChangeArrowheads="1"/>
        </xdr:cNvSpPr>
      </xdr:nvSpPr>
      <xdr:spPr bwMode="auto">
        <a:xfrm flipH="1">
          <a:off x="4295775" y="6137910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80456</xdr:rowOff>
    </xdr:to>
    <xdr:sp macro="" textlink="">
      <xdr:nvSpPr>
        <xdr:cNvPr id="2744" name="Text Box 4"/>
        <xdr:cNvSpPr txBox="1">
          <a:spLocks noChangeArrowheads="1"/>
        </xdr:cNvSpPr>
      </xdr:nvSpPr>
      <xdr:spPr bwMode="auto">
        <a:xfrm flipH="1">
          <a:off x="4063253" y="6137910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24544</xdr:rowOff>
    </xdr:to>
    <xdr:sp macro="" textlink="">
      <xdr:nvSpPr>
        <xdr:cNvPr id="2745" name="Text Box 12"/>
        <xdr:cNvSpPr txBox="1">
          <a:spLocks noChangeArrowheads="1"/>
        </xdr:cNvSpPr>
      </xdr:nvSpPr>
      <xdr:spPr bwMode="auto">
        <a:xfrm flipH="1">
          <a:off x="4063253" y="6137910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23162</xdr:rowOff>
    </xdr:to>
    <xdr:sp macro="" textlink="">
      <xdr:nvSpPr>
        <xdr:cNvPr id="2746" name="Text Box 14"/>
        <xdr:cNvSpPr txBox="1">
          <a:spLocks noChangeArrowheads="1"/>
        </xdr:cNvSpPr>
      </xdr:nvSpPr>
      <xdr:spPr bwMode="auto">
        <a:xfrm flipH="1">
          <a:off x="4063253" y="6137910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23161</xdr:rowOff>
    </xdr:to>
    <xdr:sp macro="" textlink="">
      <xdr:nvSpPr>
        <xdr:cNvPr id="2747" name="Text Box 16"/>
        <xdr:cNvSpPr txBox="1">
          <a:spLocks noChangeArrowheads="1"/>
        </xdr:cNvSpPr>
      </xdr:nvSpPr>
      <xdr:spPr bwMode="auto">
        <a:xfrm flipH="1">
          <a:off x="4063253" y="6137910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80989</xdr:rowOff>
    </xdr:to>
    <xdr:sp macro="" textlink="">
      <xdr:nvSpPr>
        <xdr:cNvPr id="2748" name="Text Box 12"/>
        <xdr:cNvSpPr txBox="1">
          <a:spLocks noChangeArrowheads="1"/>
        </xdr:cNvSpPr>
      </xdr:nvSpPr>
      <xdr:spPr bwMode="auto">
        <a:xfrm flipH="1">
          <a:off x="4063253" y="613791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30996</xdr:rowOff>
    </xdr:to>
    <xdr:sp macro="" textlink="">
      <xdr:nvSpPr>
        <xdr:cNvPr id="2749" name="Text Box 4"/>
        <xdr:cNvSpPr txBox="1">
          <a:spLocks noChangeArrowheads="1"/>
        </xdr:cNvSpPr>
      </xdr:nvSpPr>
      <xdr:spPr bwMode="auto">
        <a:xfrm flipH="1">
          <a:off x="4063253" y="6137910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80456</xdr:rowOff>
    </xdr:to>
    <xdr:sp macro="" textlink="">
      <xdr:nvSpPr>
        <xdr:cNvPr id="2750" name="Text Box 4"/>
        <xdr:cNvSpPr txBox="1">
          <a:spLocks noChangeArrowheads="1"/>
        </xdr:cNvSpPr>
      </xdr:nvSpPr>
      <xdr:spPr bwMode="auto">
        <a:xfrm flipH="1">
          <a:off x="4063253" y="61379100"/>
          <a:ext cx="0" cy="8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24544</xdr:rowOff>
    </xdr:to>
    <xdr:sp macro="" textlink="">
      <xdr:nvSpPr>
        <xdr:cNvPr id="2751" name="Text Box 12"/>
        <xdr:cNvSpPr txBox="1">
          <a:spLocks noChangeArrowheads="1"/>
        </xdr:cNvSpPr>
      </xdr:nvSpPr>
      <xdr:spPr bwMode="auto">
        <a:xfrm flipH="1">
          <a:off x="4063253" y="61379100"/>
          <a:ext cx="0" cy="2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23162</xdr:rowOff>
    </xdr:to>
    <xdr:sp macro="" textlink="">
      <xdr:nvSpPr>
        <xdr:cNvPr id="2752" name="Text Box 14"/>
        <xdr:cNvSpPr txBox="1">
          <a:spLocks noChangeArrowheads="1"/>
        </xdr:cNvSpPr>
      </xdr:nvSpPr>
      <xdr:spPr bwMode="auto">
        <a:xfrm flipH="1">
          <a:off x="4063253" y="61379100"/>
          <a:ext cx="0" cy="2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23161</xdr:rowOff>
    </xdr:to>
    <xdr:sp macro="" textlink="">
      <xdr:nvSpPr>
        <xdr:cNvPr id="2753" name="Text Box 16"/>
        <xdr:cNvSpPr txBox="1">
          <a:spLocks noChangeArrowheads="1"/>
        </xdr:cNvSpPr>
      </xdr:nvSpPr>
      <xdr:spPr bwMode="auto">
        <a:xfrm flipH="1">
          <a:off x="4063253" y="61379100"/>
          <a:ext cx="0" cy="2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80989</xdr:rowOff>
    </xdr:to>
    <xdr:sp macro="" textlink="">
      <xdr:nvSpPr>
        <xdr:cNvPr id="2754" name="Text Box 12"/>
        <xdr:cNvSpPr txBox="1">
          <a:spLocks noChangeArrowheads="1"/>
        </xdr:cNvSpPr>
      </xdr:nvSpPr>
      <xdr:spPr bwMode="auto">
        <a:xfrm flipH="1">
          <a:off x="4063253" y="61379100"/>
          <a:ext cx="0" cy="8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30996</xdr:rowOff>
    </xdr:to>
    <xdr:sp macro="" textlink="">
      <xdr:nvSpPr>
        <xdr:cNvPr id="2755" name="Text Box 4"/>
        <xdr:cNvSpPr txBox="1">
          <a:spLocks noChangeArrowheads="1"/>
        </xdr:cNvSpPr>
      </xdr:nvSpPr>
      <xdr:spPr bwMode="auto">
        <a:xfrm flipH="1">
          <a:off x="4063253" y="61379100"/>
          <a:ext cx="0" cy="3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56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57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58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59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60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61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62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63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64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65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66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67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68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69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70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71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72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73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74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75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76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77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78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79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80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81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82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83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84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85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86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87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88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89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90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91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92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93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94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95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96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97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98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799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00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01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02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03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04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05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06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07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08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09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10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11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12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13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14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15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16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17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18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19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20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21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22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23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24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25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26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27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28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29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30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31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32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33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34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35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36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37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38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39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40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41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42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43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44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45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46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47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48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49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50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51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52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53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54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55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56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57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58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59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60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61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62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63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64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65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66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67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68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69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70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71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72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73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74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75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76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77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78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79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80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81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82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83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84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85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86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87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88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89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90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91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92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93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94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95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96" name="Text Box 1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97" name="Text Box 16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98" name="Text Box 12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4</xdr:col>
      <xdr:colOff>2586878</xdr:colOff>
      <xdr:row>371</xdr:row>
      <xdr:rowOff>0</xdr:rowOff>
    </xdr:from>
    <xdr:to>
      <xdr:col>4</xdr:col>
      <xdr:colOff>2586878</xdr:colOff>
      <xdr:row>371</xdr:row>
      <xdr:rowOff>0</xdr:rowOff>
    </xdr:to>
    <xdr:sp macro="" textlink="">
      <xdr:nvSpPr>
        <xdr:cNvPr id="2899" name="Text Box 4"/>
        <xdr:cNvSpPr txBox="1">
          <a:spLocks noChangeArrowheads="1"/>
        </xdr:cNvSpPr>
      </xdr:nvSpPr>
      <xdr:spPr bwMode="auto">
        <a:xfrm flipH="1">
          <a:off x="4063253" y="6137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2900" name="Text Box 4"/>
        <xdr:cNvSpPr txBox="1">
          <a:spLocks noChangeArrowheads="1"/>
        </xdr:cNvSpPr>
      </xdr:nvSpPr>
      <xdr:spPr bwMode="auto">
        <a:xfrm flipH="1">
          <a:off x="4295775" y="253079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2901" name="Text Box 4"/>
        <xdr:cNvSpPr txBox="1">
          <a:spLocks noChangeArrowheads="1"/>
        </xdr:cNvSpPr>
      </xdr:nvSpPr>
      <xdr:spPr bwMode="auto">
        <a:xfrm flipH="1">
          <a:off x="4295775" y="253079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2902" name="Text Box 4"/>
        <xdr:cNvSpPr txBox="1">
          <a:spLocks noChangeArrowheads="1"/>
        </xdr:cNvSpPr>
      </xdr:nvSpPr>
      <xdr:spPr bwMode="auto">
        <a:xfrm flipH="1">
          <a:off x="4295775" y="253079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2903" name="Text Box 4"/>
        <xdr:cNvSpPr txBox="1">
          <a:spLocks noChangeArrowheads="1"/>
        </xdr:cNvSpPr>
      </xdr:nvSpPr>
      <xdr:spPr bwMode="auto">
        <a:xfrm flipH="1">
          <a:off x="4295775" y="253079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2904" name="Text Box 4"/>
        <xdr:cNvSpPr txBox="1">
          <a:spLocks noChangeArrowheads="1"/>
        </xdr:cNvSpPr>
      </xdr:nvSpPr>
      <xdr:spPr bwMode="auto">
        <a:xfrm flipH="1">
          <a:off x="4295775" y="253079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2905" name="Text Box 4"/>
        <xdr:cNvSpPr txBox="1">
          <a:spLocks noChangeArrowheads="1"/>
        </xdr:cNvSpPr>
      </xdr:nvSpPr>
      <xdr:spPr bwMode="auto">
        <a:xfrm flipH="1">
          <a:off x="4295775" y="253079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2906" name="Text Box 4"/>
        <xdr:cNvSpPr txBox="1">
          <a:spLocks noChangeArrowheads="1"/>
        </xdr:cNvSpPr>
      </xdr:nvSpPr>
      <xdr:spPr bwMode="auto">
        <a:xfrm flipH="1">
          <a:off x="4295775" y="253079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2907" name="Text Box 4"/>
        <xdr:cNvSpPr txBox="1">
          <a:spLocks noChangeArrowheads="1"/>
        </xdr:cNvSpPr>
      </xdr:nvSpPr>
      <xdr:spPr bwMode="auto">
        <a:xfrm flipH="1">
          <a:off x="4295775" y="253079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2908" name="Text Box 4"/>
        <xdr:cNvSpPr txBox="1">
          <a:spLocks noChangeArrowheads="1"/>
        </xdr:cNvSpPr>
      </xdr:nvSpPr>
      <xdr:spPr bwMode="auto">
        <a:xfrm flipH="1">
          <a:off x="4295775" y="253079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2909" name="Text Box 4"/>
        <xdr:cNvSpPr txBox="1">
          <a:spLocks noChangeArrowheads="1"/>
        </xdr:cNvSpPr>
      </xdr:nvSpPr>
      <xdr:spPr bwMode="auto">
        <a:xfrm flipH="1">
          <a:off x="4295775" y="253079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2910" name="Text Box 4"/>
        <xdr:cNvSpPr txBox="1">
          <a:spLocks noChangeArrowheads="1"/>
        </xdr:cNvSpPr>
      </xdr:nvSpPr>
      <xdr:spPr bwMode="auto">
        <a:xfrm flipH="1">
          <a:off x="4295775" y="253079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146</xdr:row>
      <xdr:rowOff>0</xdr:rowOff>
    </xdr:from>
    <xdr:to>
      <xdr:col>5</xdr:col>
      <xdr:colOff>28575</xdr:colOff>
      <xdr:row>146</xdr:row>
      <xdr:rowOff>9525</xdr:rowOff>
    </xdr:to>
    <xdr:sp macro="" textlink="">
      <xdr:nvSpPr>
        <xdr:cNvPr id="2911" name="Text Box 4"/>
        <xdr:cNvSpPr txBox="1">
          <a:spLocks noChangeArrowheads="1"/>
        </xdr:cNvSpPr>
      </xdr:nvSpPr>
      <xdr:spPr bwMode="auto">
        <a:xfrm flipH="1">
          <a:off x="4295775" y="2530792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12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13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14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15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16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17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18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19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20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21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22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23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24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25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26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27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28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29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30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31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32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33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34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35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36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37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38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39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40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41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42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43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44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45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46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47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48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49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50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51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52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53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54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55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56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57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58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28575</xdr:colOff>
      <xdr:row>159</xdr:row>
      <xdr:rowOff>9525</xdr:rowOff>
    </xdr:to>
    <xdr:sp macro="" textlink="">
      <xdr:nvSpPr>
        <xdr:cNvPr id="2959" name="Text Box 4"/>
        <xdr:cNvSpPr txBox="1">
          <a:spLocks noChangeArrowheads="1"/>
        </xdr:cNvSpPr>
      </xdr:nvSpPr>
      <xdr:spPr bwMode="auto">
        <a:xfrm flipH="1">
          <a:off x="4295775" y="275367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960" name="Text Box 4"/>
        <xdr:cNvSpPr txBox="1">
          <a:spLocks noChangeArrowheads="1"/>
        </xdr:cNvSpPr>
      </xdr:nvSpPr>
      <xdr:spPr bwMode="auto">
        <a:xfrm flipH="1">
          <a:off x="4295775" y="48348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961" name="Text Box 4"/>
        <xdr:cNvSpPr txBox="1">
          <a:spLocks noChangeArrowheads="1"/>
        </xdr:cNvSpPr>
      </xdr:nvSpPr>
      <xdr:spPr bwMode="auto">
        <a:xfrm flipH="1">
          <a:off x="4295775" y="48348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962" name="Text Box 4"/>
        <xdr:cNvSpPr txBox="1">
          <a:spLocks noChangeArrowheads="1"/>
        </xdr:cNvSpPr>
      </xdr:nvSpPr>
      <xdr:spPr bwMode="auto">
        <a:xfrm flipH="1">
          <a:off x="4295775" y="48348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963" name="Text Box 4"/>
        <xdr:cNvSpPr txBox="1">
          <a:spLocks noChangeArrowheads="1"/>
        </xdr:cNvSpPr>
      </xdr:nvSpPr>
      <xdr:spPr bwMode="auto">
        <a:xfrm flipH="1">
          <a:off x="4295775" y="48348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964" name="Text Box 4"/>
        <xdr:cNvSpPr txBox="1">
          <a:spLocks noChangeArrowheads="1"/>
        </xdr:cNvSpPr>
      </xdr:nvSpPr>
      <xdr:spPr bwMode="auto">
        <a:xfrm flipH="1">
          <a:off x="4295775" y="48348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965" name="Text Box 4"/>
        <xdr:cNvSpPr txBox="1">
          <a:spLocks noChangeArrowheads="1"/>
        </xdr:cNvSpPr>
      </xdr:nvSpPr>
      <xdr:spPr bwMode="auto">
        <a:xfrm flipH="1">
          <a:off x="4295775" y="48348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966" name="Text Box 4"/>
        <xdr:cNvSpPr txBox="1">
          <a:spLocks noChangeArrowheads="1"/>
        </xdr:cNvSpPr>
      </xdr:nvSpPr>
      <xdr:spPr bwMode="auto">
        <a:xfrm flipH="1">
          <a:off x="4295775" y="48348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967" name="Text Box 4"/>
        <xdr:cNvSpPr txBox="1">
          <a:spLocks noChangeArrowheads="1"/>
        </xdr:cNvSpPr>
      </xdr:nvSpPr>
      <xdr:spPr bwMode="auto">
        <a:xfrm flipH="1">
          <a:off x="4295775" y="48348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968" name="Text Box 4"/>
        <xdr:cNvSpPr txBox="1">
          <a:spLocks noChangeArrowheads="1"/>
        </xdr:cNvSpPr>
      </xdr:nvSpPr>
      <xdr:spPr bwMode="auto">
        <a:xfrm flipH="1">
          <a:off x="4295775" y="48348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969" name="Text Box 4"/>
        <xdr:cNvSpPr txBox="1">
          <a:spLocks noChangeArrowheads="1"/>
        </xdr:cNvSpPr>
      </xdr:nvSpPr>
      <xdr:spPr bwMode="auto">
        <a:xfrm flipH="1">
          <a:off x="4295775" y="48348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970" name="Text Box 4"/>
        <xdr:cNvSpPr txBox="1">
          <a:spLocks noChangeArrowheads="1"/>
        </xdr:cNvSpPr>
      </xdr:nvSpPr>
      <xdr:spPr bwMode="auto">
        <a:xfrm flipH="1">
          <a:off x="4295775" y="48348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28575</xdr:colOff>
      <xdr:row>281</xdr:row>
      <xdr:rowOff>9525</xdr:rowOff>
    </xdr:to>
    <xdr:sp macro="" textlink="">
      <xdr:nvSpPr>
        <xdr:cNvPr id="2971" name="Text Box 4"/>
        <xdr:cNvSpPr txBox="1">
          <a:spLocks noChangeArrowheads="1"/>
        </xdr:cNvSpPr>
      </xdr:nvSpPr>
      <xdr:spPr bwMode="auto">
        <a:xfrm flipH="1">
          <a:off x="4295775" y="483489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972" name="Text Box 4"/>
        <xdr:cNvSpPr txBox="1">
          <a:spLocks noChangeArrowheads="1"/>
        </xdr:cNvSpPr>
      </xdr:nvSpPr>
      <xdr:spPr bwMode="auto">
        <a:xfrm flipH="1">
          <a:off x="4295775" y="637794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973" name="Text Box 4"/>
        <xdr:cNvSpPr txBox="1">
          <a:spLocks noChangeArrowheads="1"/>
        </xdr:cNvSpPr>
      </xdr:nvSpPr>
      <xdr:spPr bwMode="auto">
        <a:xfrm flipH="1">
          <a:off x="4295775" y="637794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974" name="Text Box 4"/>
        <xdr:cNvSpPr txBox="1">
          <a:spLocks noChangeArrowheads="1"/>
        </xdr:cNvSpPr>
      </xdr:nvSpPr>
      <xdr:spPr bwMode="auto">
        <a:xfrm flipH="1">
          <a:off x="4295775" y="637794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975" name="Text Box 4"/>
        <xdr:cNvSpPr txBox="1">
          <a:spLocks noChangeArrowheads="1"/>
        </xdr:cNvSpPr>
      </xdr:nvSpPr>
      <xdr:spPr bwMode="auto">
        <a:xfrm flipH="1">
          <a:off x="4295775" y="637794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976" name="Text Box 4"/>
        <xdr:cNvSpPr txBox="1">
          <a:spLocks noChangeArrowheads="1"/>
        </xdr:cNvSpPr>
      </xdr:nvSpPr>
      <xdr:spPr bwMode="auto">
        <a:xfrm flipH="1">
          <a:off x="4295775" y="637794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977" name="Text Box 4"/>
        <xdr:cNvSpPr txBox="1">
          <a:spLocks noChangeArrowheads="1"/>
        </xdr:cNvSpPr>
      </xdr:nvSpPr>
      <xdr:spPr bwMode="auto">
        <a:xfrm flipH="1">
          <a:off x="4295775" y="637794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978" name="Text Box 4"/>
        <xdr:cNvSpPr txBox="1">
          <a:spLocks noChangeArrowheads="1"/>
        </xdr:cNvSpPr>
      </xdr:nvSpPr>
      <xdr:spPr bwMode="auto">
        <a:xfrm flipH="1">
          <a:off x="4295775" y="637794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979" name="Text Box 4"/>
        <xdr:cNvSpPr txBox="1">
          <a:spLocks noChangeArrowheads="1"/>
        </xdr:cNvSpPr>
      </xdr:nvSpPr>
      <xdr:spPr bwMode="auto">
        <a:xfrm flipH="1">
          <a:off x="4295775" y="637794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980" name="Text Box 4"/>
        <xdr:cNvSpPr txBox="1">
          <a:spLocks noChangeArrowheads="1"/>
        </xdr:cNvSpPr>
      </xdr:nvSpPr>
      <xdr:spPr bwMode="auto">
        <a:xfrm flipH="1">
          <a:off x="4295775" y="637794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981" name="Text Box 4"/>
        <xdr:cNvSpPr txBox="1">
          <a:spLocks noChangeArrowheads="1"/>
        </xdr:cNvSpPr>
      </xdr:nvSpPr>
      <xdr:spPr bwMode="auto">
        <a:xfrm flipH="1">
          <a:off x="4295775" y="637794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982" name="Text Box 4"/>
        <xdr:cNvSpPr txBox="1">
          <a:spLocks noChangeArrowheads="1"/>
        </xdr:cNvSpPr>
      </xdr:nvSpPr>
      <xdr:spPr bwMode="auto">
        <a:xfrm flipH="1">
          <a:off x="4295775" y="637794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0</xdr:colOff>
      <xdr:row>371</xdr:row>
      <xdr:rowOff>0</xdr:rowOff>
    </xdr:from>
    <xdr:to>
      <xdr:col>5</xdr:col>
      <xdr:colOff>28575</xdr:colOff>
      <xdr:row>371</xdr:row>
      <xdr:rowOff>9525</xdr:rowOff>
    </xdr:to>
    <xdr:sp macro="" textlink="">
      <xdr:nvSpPr>
        <xdr:cNvPr id="2983" name="Text Box 4"/>
        <xdr:cNvSpPr txBox="1">
          <a:spLocks noChangeArrowheads="1"/>
        </xdr:cNvSpPr>
      </xdr:nvSpPr>
      <xdr:spPr bwMode="auto">
        <a:xfrm flipH="1">
          <a:off x="4295775" y="63779400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400050</xdr:colOff>
          <xdr:row>3</xdr:row>
          <xdr:rowOff>123825</xdr:rowOff>
        </xdr:from>
        <xdr:to>
          <xdr:col>23</xdr:col>
          <xdr:colOff>714375</xdr:colOff>
          <xdr:row>5</xdr:row>
          <xdr:rowOff>47625</xdr:rowOff>
        </xdr:to>
        <xdr:sp macro="" textlink="">
          <xdr:nvSpPr>
            <xdr:cNvPr id="21505" name="Check Box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400050</xdr:colOff>
          <xdr:row>4</xdr:row>
          <xdr:rowOff>123825</xdr:rowOff>
        </xdr:from>
        <xdr:to>
          <xdr:col>23</xdr:col>
          <xdr:colOff>714375</xdr:colOff>
          <xdr:row>6</xdr:row>
          <xdr:rowOff>47625</xdr:rowOff>
        </xdr:to>
        <xdr:sp macro="" textlink="">
          <xdr:nvSpPr>
            <xdr:cNvPr id="21506" name="Check Box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409575</xdr:colOff>
          <xdr:row>5</xdr:row>
          <xdr:rowOff>123825</xdr:rowOff>
        </xdr:from>
        <xdr:to>
          <xdr:col>23</xdr:col>
          <xdr:colOff>723900</xdr:colOff>
          <xdr:row>7</xdr:row>
          <xdr:rowOff>47625</xdr:rowOff>
        </xdr:to>
        <xdr:sp macro="" textlink="">
          <xdr:nvSpPr>
            <xdr:cNvPr id="21507" name="Check Box 3" hidden="1">
              <a:extLst>
                <a:ext uri="{63B3BB69-23CF-44E3-9099-C40C66FF867C}">
                  <a14:compatExt spid="_x0000_s2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638175</xdr:colOff>
          <xdr:row>3</xdr:row>
          <xdr:rowOff>123825</xdr:rowOff>
        </xdr:from>
        <xdr:to>
          <xdr:col>15</xdr:col>
          <xdr:colOff>952500</xdr:colOff>
          <xdr:row>4</xdr:row>
          <xdr:rowOff>180975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638175</xdr:colOff>
          <xdr:row>4</xdr:row>
          <xdr:rowOff>123825</xdr:rowOff>
        </xdr:from>
        <xdr:to>
          <xdr:col>15</xdr:col>
          <xdr:colOff>952500</xdr:colOff>
          <xdr:row>5</xdr:row>
          <xdr:rowOff>180975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638175</xdr:colOff>
          <xdr:row>5</xdr:row>
          <xdr:rowOff>123825</xdr:rowOff>
        </xdr:from>
        <xdr:to>
          <xdr:col>15</xdr:col>
          <xdr:colOff>952500</xdr:colOff>
          <xdr:row>6</xdr:row>
          <xdr:rowOff>180975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ng\Desktop\mitch_budget%20files_2012\REPORTS2014\monthly%20report\december%202014%20-%20adjusted(cna)\fund%20u%20as%20of%20dec%203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es\AppData\Local\Temp\FINANCIAL%20MONITORING%20REPORT%20-2016\format2016-region%20vii-2%20(6)revised%20september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es\AppData\Local\Temp\format2016-region%20vii-2%20(4)%20may%2031,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igations"/>
      <sheetName val="Detailed fund U"/>
      <sheetName val="R7"/>
      <sheetName val="r8"/>
      <sheetName val="r9"/>
      <sheetName val="r10"/>
      <sheetName val="r11"/>
      <sheetName val="r12"/>
      <sheetName val="r13"/>
      <sheetName val="fund u as of dec 31"/>
      <sheetName val="fund%20u%20as%20of%20dec%2031.x"/>
    </sheetNames>
    <definedNames>
      <definedName name="CheckBox29490_Click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mr"/>
      <sheetName val="detailed fund u"/>
      <sheetName val="far 1"/>
      <sheetName val="far 1 a(for internal use only)"/>
      <sheetName val="far 1a"/>
      <sheetName val="far 1b regular"/>
      <sheetName val="SUMMARY"/>
    </sheetNames>
    <sheetDataSet>
      <sheetData sheetId="0"/>
      <sheetData sheetId="1"/>
      <sheetData sheetId="2"/>
      <sheetData sheetId="3">
        <row r="26">
          <cell r="H26">
            <v>0</v>
          </cell>
          <cell r="K26">
            <v>0</v>
          </cell>
          <cell r="L26">
            <v>0</v>
          </cell>
          <cell r="O26">
            <v>0</v>
          </cell>
          <cell r="P26">
            <v>0</v>
          </cell>
          <cell r="Q26">
            <v>0</v>
          </cell>
          <cell r="T26">
            <v>0</v>
          </cell>
          <cell r="U26">
            <v>0</v>
          </cell>
          <cell r="V26">
            <v>0</v>
          </cell>
          <cell r="AA26">
            <v>0</v>
          </cell>
        </row>
        <row r="27"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  <cell r="Q27">
            <v>0</v>
          </cell>
          <cell r="T27">
            <v>0</v>
          </cell>
          <cell r="U27">
            <v>0</v>
          </cell>
          <cell r="V27">
            <v>0</v>
          </cell>
          <cell r="AA27">
            <v>0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mr"/>
      <sheetName val="detailed fund u"/>
      <sheetName val="far 1"/>
      <sheetName val="far 1 a(for internal use only)"/>
      <sheetName val="far 1a"/>
      <sheetName val="far 1b regular"/>
      <sheetName val="SUMMARY"/>
    </sheetNames>
    <sheetDataSet>
      <sheetData sheetId="0" refreshError="1"/>
      <sheetData sheetId="1" refreshError="1"/>
      <sheetData sheetId="2" refreshError="1"/>
      <sheetData sheetId="3">
        <row r="719">
          <cell r="M719">
            <v>1166428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9.xml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8.xml"/><Relationship Id="rId5" Type="http://schemas.openxmlformats.org/officeDocument/2006/relationships/ctrlProp" Target="../ctrlProps/ctrlProp17.xml"/><Relationship Id="rId4" Type="http://schemas.openxmlformats.org/officeDocument/2006/relationships/ctrlProp" Target="../ctrlProps/ctrlProp1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6"/>
  <sheetViews>
    <sheetView topLeftCell="M1" workbookViewId="0">
      <pane ySplit="12" topLeftCell="A13" activePane="bottomLeft" state="frozen"/>
      <selection pane="bottomLeft" activeCell="U16" sqref="U16"/>
    </sheetView>
  </sheetViews>
  <sheetFormatPr defaultRowHeight="12.75" x14ac:dyDescent="0.2"/>
  <cols>
    <col min="1" max="1" width="3.140625" style="764" customWidth="1"/>
    <col min="2" max="2" width="49.28515625" style="764" customWidth="1"/>
    <col min="3" max="4" width="16.7109375" style="764" customWidth="1"/>
    <col min="5" max="5" width="17" style="764" customWidth="1"/>
    <col min="6" max="6" width="13" style="764" customWidth="1"/>
    <col min="7" max="9" width="13.85546875" style="764" customWidth="1"/>
    <col min="10" max="11" width="12.7109375" style="764" customWidth="1"/>
    <col min="12" max="12" width="13.7109375" style="764" customWidth="1"/>
    <col min="13" max="13" width="14.140625" style="764" customWidth="1"/>
    <col min="14" max="14" width="14.85546875" style="764" customWidth="1"/>
    <col min="15" max="15" width="13.7109375" style="764" customWidth="1"/>
    <col min="16" max="16" width="15.5703125" style="764" bestFit="1" customWidth="1"/>
    <col min="17" max="17" width="15.140625" style="764" customWidth="1"/>
    <col min="18" max="18" width="13.5703125" style="764" customWidth="1"/>
    <col min="19" max="19" width="12.7109375" style="764" bestFit="1" customWidth="1"/>
    <col min="20" max="20" width="14.5703125" style="764" customWidth="1"/>
    <col min="21" max="22" width="14.7109375" style="764" customWidth="1"/>
    <col min="23" max="23" width="16" style="764" customWidth="1"/>
    <col min="24" max="24" width="16.7109375" style="764" customWidth="1"/>
    <col min="25" max="25" width="15.28515625" style="764" customWidth="1"/>
    <col min="26" max="16384" width="9.140625" style="764"/>
  </cols>
  <sheetData>
    <row r="1" spans="1:27" s="760" customFormat="1" ht="15" x14ac:dyDescent="0.25">
      <c r="A1" s="848" t="s">
        <v>0</v>
      </c>
      <c r="B1" s="849"/>
      <c r="C1" s="849"/>
      <c r="D1" s="849"/>
      <c r="E1" s="849"/>
      <c r="F1" s="849"/>
      <c r="G1" s="849"/>
      <c r="H1" s="849"/>
      <c r="I1" s="849"/>
      <c r="J1" s="849"/>
      <c r="K1" s="849"/>
      <c r="L1" s="849"/>
      <c r="M1" s="849"/>
      <c r="N1" s="849"/>
      <c r="O1" s="849"/>
      <c r="P1" s="849"/>
      <c r="Q1" s="849"/>
      <c r="R1" s="849"/>
      <c r="S1" s="849"/>
      <c r="T1" s="849"/>
      <c r="U1" s="849"/>
      <c r="V1" s="849"/>
      <c r="W1" s="849"/>
      <c r="X1" s="849"/>
      <c r="Y1" s="849"/>
    </row>
    <row r="2" spans="1:27" s="760" customFormat="1" ht="15" x14ac:dyDescent="0.25">
      <c r="A2" s="848" t="s">
        <v>1</v>
      </c>
      <c r="B2" s="848"/>
      <c r="C2" s="848"/>
      <c r="D2" s="848"/>
      <c r="E2" s="848"/>
      <c r="F2" s="848"/>
      <c r="G2" s="848"/>
      <c r="H2" s="848"/>
      <c r="I2" s="848"/>
      <c r="J2" s="848"/>
      <c r="K2" s="848"/>
      <c r="L2" s="848"/>
      <c r="M2" s="848"/>
      <c r="N2" s="848"/>
      <c r="O2" s="848"/>
      <c r="P2" s="848"/>
      <c r="Q2" s="848"/>
      <c r="R2" s="848"/>
      <c r="S2" s="848"/>
      <c r="T2" s="848"/>
      <c r="U2" s="848"/>
      <c r="V2" s="848"/>
      <c r="W2" s="848"/>
      <c r="X2" s="848"/>
      <c r="Y2" s="848"/>
    </row>
    <row r="3" spans="1:27" s="760" customFormat="1" ht="16.5" customHeight="1" x14ac:dyDescent="0.25">
      <c r="A3" s="850" t="s">
        <v>820</v>
      </c>
      <c r="B3" s="851"/>
      <c r="C3" s="849"/>
      <c r="D3" s="849"/>
      <c r="E3" s="849"/>
      <c r="F3" s="849"/>
      <c r="G3" s="859"/>
      <c r="H3" s="849"/>
      <c r="I3" s="849"/>
      <c r="J3" s="849"/>
      <c r="K3" s="849"/>
      <c r="L3" s="849"/>
      <c r="M3" s="849"/>
      <c r="N3" s="849"/>
      <c r="O3" s="849"/>
      <c r="P3" s="849"/>
      <c r="Q3" s="849"/>
      <c r="R3" s="849"/>
      <c r="S3" s="849"/>
      <c r="T3" s="849"/>
      <c r="U3" s="859"/>
      <c r="V3" s="859"/>
      <c r="W3" s="859"/>
      <c r="X3" s="849"/>
      <c r="Y3" s="849"/>
    </row>
    <row r="4" spans="1:27" s="760" customFormat="1" ht="15" x14ac:dyDescent="0.25">
      <c r="A4" s="848" t="s">
        <v>2</v>
      </c>
      <c r="B4" s="848"/>
      <c r="C4" s="848"/>
      <c r="D4" s="848"/>
      <c r="E4" s="848"/>
      <c r="F4" s="848"/>
      <c r="G4" s="848"/>
      <c r="H4" s="848"/>
      <c r="I4" s="848"/>
      <c r="J4" s="862"/>
      <c r="K4" s="848"/>
      <c r="L4" s="849"/>
      <c r="M4" s="849"/>
      <c r="N4" s="849"/>
      <c r="O4" s="849"/>
      <c r="P4" s="849"/>
      <c r="Q4" s="849"/>
      <c r="R4" s="849"/>
      <c r="S4" s="849"/>
      <c r="T4" s="862"/>
      <c r="U4" s="848"/>
      <c r="V4" s="848"/>
      <c r="W4" s="848"/>
      <c r="X4" s="848"/>
      <c r="Y4" s="848"/>
    </row>
    <row r="5" spans="1:27" s="760" customFormat="1" ht="14.25" x14ac:dyDescent="0.2">
      <c r="A5" s="852" t="s">
        <v>3</v>
      </c>
      <c r="B5" s="853"/>
      <c r="C5" s="853"/>
      <c r="D5" s="853"/>
      <c r="E5" s="858"/>
      <c r="F5" s="853"/>
      <c r="G5" s="858"/>
      <c r="H5" s="853"/>
      <c r="I5" s="853"/>
      <c r="J5" s="853"/>
      <c r="K5" s="853"/>
      <c r="L5" s="849"/>
      <c r="M5" s="849"/>
      <c r="N5" s="849"/>
      <c r="O5" s="849"/>
      <c r="P5" s="849"/>
      <c r="Q5" s="849"/>
      <c r="R5" s="849"/>
      <c r="S5" s="849"/>
      <c r="T5" s="853"/>
      <c r="U5" s="863"/>
      <c r="V5" s="863"/>
      <c r="W5" s="858"/>
      <c r="X5" s="853"/>
      <c r="Y5" s="853"/>
      <c r="Z5" s="853"/>
      <c r="AA5" s="853"/>
    </row>
    <row r="6" spans="1:27" s="761" customFormat="1" ht="18.75" customHeight="1" x14ac:dyDescent="0.25">
      <c r="A6" s="761" t="s">
        <v>747</v>
      </c>
      <c r="C6" s="860"/>
    </row>
    <row r="7" spans="1:27" s="760" customFormat="1" ht="15" x14ac:dyDescent="0.25">
      <c r="A7" s="876" t="s">
        <v>5</v>
      </c>
      <c r="B7" s="876"/>
      <c r="C7" s="876"/>
      <c r="D7" s="876"/>
      <c r="E7" s="876"/>
      <c r="F7" s="876"/>
      <c r="G7" s="876"/>
      <c r="H7" s="876"/>
      <c r="I7" s="876"/>
      <c r="J7" s="876"/>
      <c r="K7" s="876"/>
      <c r="L7" s="876"/>
      <c r="M7" s="876"/>
      <c r="N7" s="876"/>
      <c r="O7" s="876"/>
      <c r="P7" s="876"/>
      <c r="Q7" s="876"/>
      <c r="R7" s="876"/>
      <c r="S7" s="876"/>
      <c r="T7" s="876"/>
      <c r="U7" s="876"/>
      <c r="V7" s="876"/>
      <c r="W7" s="876"/>
      <c r="X7" s="876"/>
      <c r="Y7" s="876"/>
    </row>
    <row r="8" spans="1:27" x14ac:dyDescent="0.2">
      <c r="A8" s="877" t="s">
        <v>6</v>
      </c>
      <c r="B8" s="877"/>
      <c r="C8" s="762" t="s">
        <v>712</v>
      </c>
      <c r="D8" s="878" t="s">
        <v>7</v>
      </c>
      <c r="E8" s="878"/>
      <c r="F8" s="878"/>
      <c r="G8" s="879"/>
      <c r="H8" s="880" t="s">
        <v>8</v>
      </c>
      <c r="I8" s="878"/>
      <c r="J8" s="878"/>
      <c r="K8" s="879"/>
      <c r="L8" s="762" t="s">
        <v>9</v>
      </c>
      <c r="M8" s="880" t="s">
        <v>748</v>
      </c>
      <c r="N8" s="878"/>
      <c r="O8" s="878"/>
      <c r="P8" s="879"/>
      <c r="Q8" s="880" t="s">
        <v>749</v>
      </c>
      <c r="R8" s="878"/>
      <c r="S8" s="878"/>
      <c r="T8" s="879"/>
      <c r="U8" s="763" t="s">
        <v>750</v>
      </c>
      <c r="V8" s="880" t="s">
        <v>751</v>
      </c>
      <c r="W8" s="878"/>
      <c r="X8" s="879"/>
      <c r="Y8" s="881" t="s">
        <v>752</v>
      </c>
    </row>
    <row r="9" spans="1:27" x14ac:dyDescent="0.2">
      <c r="A9" s="877"/>
      <c r="B9" s="877"/>
      <c r="C9" s="765" t="s">
        <v>10</v>
      </c>
      <c r="D9" s="766" t="s">
        <v>11</v>
      </c>
      <c r="E9" s="766" t="s">
        <v>12</v>
      </c>
      <c r="F9" s="766" t="s">
        <v>13</v>
      </c>
      <c r="G9" s="766" t="s">
        <v>14</v>
      </c>
      <c r="H9" s="766" t="s">
        <v>11</v>
      </c>
      <c r="I9" s="766" t="s">
        <v>12</v>
      </c>
      <c r="J9" s="766" t="s">
        <v>13</v>
      </c>
      <c r="K9" s="766" t="s">
        <v>14</v>
      </c>
      <c r="L9" s="767" t="s">
        <v>15</v>
      </c>
      <c r="M9" s="766" t="s">
        <v>11</v>
      </c>
      <c r="N9" s="766" t="s">
        <v>12</v>
      </c>
      <c r="O9" s="766" t="s">
        <v>13</v>
      </c>
      <c r="P9" s="766" t="s">
        <v>14</v>
      </c>
      <c r="Q9" s="766" t="s">
        <v>11</v>
      </c>
      <c r="R9" s="766" t="s">
        <v>12</v>
      </c>
      <c r="S9" s="766" t="s">
        <v>13</v>
      </c>
      <c r="T9" s="766" t="s">
        <v>14</v>
      </c>
      <c r="U9" s="768" t="s">
        <v>753</v>
      </c>
      <c r="V9" s="768" t="s">
        <v>754</v>
      </c>
      <c r="W9" s="767" t="s">
        <v>755</v>
      </c>
      <c r="X9" s="767" t="s">
        <v>756</v>
      </c>
      <c r="Y9" s="882"/>
    </row>
    <row r="10" spans="1:27" x14ac:dyDescent="0.2">
      <c r="A10" s="877"/>
      <c r="B10" s="877"/>
      <c r="C10" s="769" t="s">
        <v>16</v>
      </c>
      <c r="D10" s="880" t="str">
        <f>+A3</f>
        <v>As of December 31, 2016</v>
      </c>
      <c r="E10" s="878"/>
      <c r="F10" s="878"/>
      <c r="G10" s="878"/>
      <c r="H10" s="878"/>
      <c r="I10" s="878"/>
      <c r="J10" s="878"/>
      <c r="K10" s="878"/>
      <c r="L10" s="878"/>
      <c r="M10" s="878"/>
      <c r="N10" s="878"/>
      <c r="O10" s="878"/>
      <c r="P10" s="878"/>
      <c r="Q10" s="770"/>
      <c r="R10" s="770"/>
      <c r="S10" s="770"/>
      <c r="T10" s="770"/>
      <c r="U10" s="770"/>
      <c r="V10" s="770"/>
      <c r="W10" s="770"/>
      <c r="X10" s="770"/>
      <c r="Y10" s="883"/>
    </row>
    <row r="11" spans="1:27" s="774" customFormat="1" hidden="1" x14ac:dyDescent="0.2">
      <c r="A11" s="771"/>
      <c r="B11" s="771"/>
      <c r="C11" s="772"/>
      <c r="D11" s="773"/>
      <c r="E11" s="773"/>
      <c r="F11" s="773"/>
      <c r="G11" s="773"/>
      <c r="H11" s="773"/>
      <c r="I11" s="773"/>
      <c r="J11" s="773"/>
      <c r="K11" s="773"/>
      <c r="L11" s="773"/>
      <c r="M11" s="773"/>
      <c r="N11" s="773"/>
      <c r="O11" s="773"/>
      <c r="P11" s="773"/>
      <c r="Q11" s="773"/>
      <c r="R11" s="773"/>
      <c r="S11" s="773"/>
      <c r="T11" s="773"/>
      <c r="U11" s="773"/>
      <c r="V11" s="773"/>
      <c r="W11" s="773"/>
      <c r="X11" s="773"/>
      <c r="Y11" s="771"/>
    </row>
    <row r="12" spans="1:27" s="778" customFormat="1" hidden="1" x14ac:dyDescent="0.2">
      <c r="A12" s="775"/>
      <c r="B12" s="775"/>
      <c r="C12" s="776"/>
      <c r="D12" s="777"/>
      <c r="E12" s="777"/>
      <c r="F12" s="777"/>
      <c r="G12" s="777"/>
      <c r="H12" s="777"/>
      <c r="I12" s="777"/>
      <c r="J12" s="777"/>
      <c r="K12" s="77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5"/>
    </row>
    <row r="13" spans="1:27" x14ac:dyDescent="0.2">
      <c r="A13" s="779"/>
      <c r="B13" s="780"/>
      <c r="C13" s="781"/>
      <c r="D13" s="781"/>
      <c r="E13" s="781"/>
      <c r="F13" s="781"/>
      <c r="G13" s="782"/>
      <c r="H13" s="782"/>
      <c r="I13" s="781"/>
      <c r="J13" s="781"/>
      <c r="K13" s="781"/>
      <c r="L13" s="781"/>
      <c r="M13" s="781"/>
      <c r="N13" s="781"/>
      <c r="O13" s="781"/>
      <c r="P13" s="781"/>
      <c r="Q13" s="781"/>
      <c r="R13" s="781"/>
      <c r="S13" s="781"/>
      <c r="T13" s="781"/>
      <c r="U13" s="781"/>
      <c r="V13" s="781"/>
      <c r="W13" s="781"/>
      <c r="X13" s="781"/>
      <c r="Y13" s="781"/>
    </row>
    <row r="14" spans="1:27" s="789" customFormat="1" ht="21" customHeight="1" x14ac:dyDescent="0.2">
      <c r="A14" s="783"/>
      <c r="B14" s="784" t="s">
        <v>675</v>
      </c>
      <c r="C14" s="785">
        <f>+C16+C45</f>
        <v>49247000</v>
      </c>
      <c r="D14" s="786">
        <f>+D15+D19+D32+D45</f>
        <v>21675093.059999999</v>
      </c>
      <c r="E14" s="786">
        <f>+E15+E19+E32+E45</f>
        <v>29829216</v>
      </c>
      <c r="F14" s="786">
        <f>+F15+F19+F32+F45</f>
        <v>1590000</v>
      </c>
      <c r="G14" s="786">
        <f>SUM(D14:F14)</f>
        <v>53094309.060000002</v>
      </c>
      <c r="H14" s="786">
        <f>+H15+H19+H32+H45</f>
        <v>22343730.059999999</v>
      </c>
      <c r="I14" s="786">
        <f>+I15+I19+I32+I45</f>
        <v>24346651.990000002</v>
      </c>
      <c r="J14" s="786">
        <f>+J15+J19+J32+J45</f>
        <v>1532049.84</v>
      </c>
      <c r="K14" s="786">
        <f>SUM(H14:J14)</f>
        <v>48222431.890000001</v>
      </c>
      <c r="L14" s="787">
        <f>+K14/G14</f>
        <v>0.90824106658032855</v>
      </c>
      <c r="M14" s="786">
        <f>+M15+M19+M32+M45</f>
        <v>-668636.99999999837</v>
      </c>
      <c r="N14" s="786">
        <f>+N15+N19+N32+N45</f>
        <v>5482564.009999997</v>
      </c>
      <c r="O14" s="786">
        <f>+O15+O19+O32+O45</f>
        <v>57950.159999999916</v>
      </c>
      <c r="P14" s="786">
        <f>SUM(M14:O14)</f>
        <v>4871877.169999999</v>
      </c>
      <c r="Q14" s="786">
        <f>+Q15+Q19+Q32+Q45</f>
        <v>22343729.059999999</v>
      </c>
      <c r="R14" s="786">
        <f>+R15+R19+R32+R45</f>
        <v>21789086.539999995</v>
      </c>
      <c r="S14" s="786">
        <f>+S15+S19+S32+S45</f>
        <v>1532049.84</v>
      </c>
      <c r="T14" s="786">
        <f>SUM(Q14:S14)</f>
        <v>45664865.439999998</v>
      </c>
      <c r="U14" s="786">
        <f>+U15+U19+U32+U45</f>
        <v>44206940.060000002</v>
      </c>
      <c r="V14" s="786">
        <f>+T14/U14</f>
        <v>1.0329795588208825</v>
      </c>
      <c r="W14" s="787">
        <f t="shared" ref="W14:W45" si="0">+T14/G14</f>
        <v>0.86007081076044789</v>
      </c>
      <c r="X14" s="787">
        <f t="shared" ref="X14:X45" si="1">+T14/K14</f>
        <v>0.94696313832048007</v>
      </c>
      <c r="Y14" s="788"/>
    </row>
    <row r="15" spans="1:27" s="789" customFormat="1" x14ac:dyDescent="0.2">
      <c r="A15" s="783"/>
      <c r="B15" s="790" t="s">
        <v>17</v>
      </c>
      <c r="C15" s="791">
        <f>SUM(C16:C18)</f>
        <v>47588000</v>
      </c>
      <c r="D15" s="791">
        <f>SUM(D16:D18)</f>
        <v>18512300</v>
      </c>
      <c r="E15" s="791">
        <f>SUM(E16:E18)</f>
        <v>29581216</v>
      </c>
      <c r="F15" s="791">
        <f>SUM(F16:F18)</f>
        <v>1590000</v>
      </c>
      <c r="G15" s="791">
        <f>SUM(D15:F15)</f>
        <v>49683516</v>
      </c>
      <c r="H15" s="791">
        <f>SUM(H16:H18)</f>
        <v>18047414.899999999</v>
      </c>
      <c r="I15" s="791">
        <f>SUM(I16:I18)</f>
        <v>24267258.520000003</v>
      </c>
      <c r="J15" s="791">
        <f>SUM(J16:J18)</f>
        <v>1532049.84</v>
      </c>
      <c r="K15" s="791">
        <f>SUM(H15:J15)</f>
        <v>43846723.260000005</v>
      </c>
      <c r="L15" s="792">
        <f>+K15/G15</f>
        <v>0.88252053779768735</v>
      </c>
      <c r="M15" s="791">
        <f>SUM(M16:M18)</f>
        <v>464885.10000000149</v>
      </c>
      <c r="N15" s="791">
        <f>SUM(N16:N18)</f>
        <v>5313957.4799999967</v>
      </c>
      <c r="O15" s="791">
        <f>SUM(O16:O18)</f>
        <v>57950.159999999916</v>
      </c>
      <c r="P15" s="791">
        <f>SUM(M15:O15)</f>
        <v>5836792.7399999984</v>
      </c>
      <c r="Q15" s="791">
        <f>SUM(Q16:Q18)</f>
        <v>18047414.899999999</v>
      </c>
      <c r="R15" s="791">
        <f>SUM(R16:R18)</f>
        <v>21709693.069999997</v>
      </c>
      <c r="S15" s="791">
        <f>SUM(S16:S18)</f>
        <v>1532049.84</v>
      </c>
      <c r="T15" s="791">
        <f>SUM(Q15:S15)</f>
        <v>41289157.810000002</v>
      </c>
      <c r="U15" s="791">
        <f>SUM(U16:U18)</f>
        <v>42312055.060000002</v>
      </c>
      <c r="V15" s="791">
        <f>+T15/U15</f>
        <v>0.97582492156078227</v>
      </c>
      <c r="W15" s="792">
        <f t="shared" si="0"/>
        <v>0.83104339495618629</v>
      </c>
      <c r="X15" s="792">
        <f t="shared" si="1"/>
        <v>0.94167031741837848</v>
      </c>
      <c r="Y15" s="788"/>
    </row>
    <row r="16" spans="1:27" s="789" customFormat="1" x14ac:dyDescent="0.2">
      <c r="A16" s="793"/>
      <c r="B16" s="794" t="s">
        <v>18</v>
      </c>
      <c r="C16" s="795">
        <f>+'detailed fund u'!J15</f>
        <v>47588000</v>
      </c>
      <c r="D16" s="796">
        <f>18054000+458300</f>
        <v>18512300</v>
      </c>
      <c r="E16" s="797">
        <f>29475600+105616</f>
        <v>29581216</v>
      </c>
      <c r="F16" s="796">
        <f>1400000+190000</f>
        <v>1590000</v>
      </c>
      <c r="G16" s="791">
        <f>SUM(D16:F16)</f>
        <v>49683516</v>
      </c>
      <c r="H16" s="796">
        <f>+'detailed fund u'!AQ15</f>
        <v>18047414.899999999</v>
      </c>
      <c r="I16" s="796">
        <f>+'detailed fund u'!AR15</f>
        <v>24267258.520000003</v>
      </c>
      <c r="J16" s="796">
        <f>+'detailed fund u'!AS15</f>
        <v>1532049.84</v>
      </c>
      <c r="K16" s="791">
        <f>SUM(H16:J16)</f>
        <v>43846723.260000005</v>
      </c>
      <c r="L16" s="792">
        <f>+K16/G16</f>
        <v>0.88252053779768735</v>
      </c>
      <c r="M16" s="796">
        <f>+D16-H16</f>
        <v>464885.10000000149</v>
      </c>
      <c r="N16" s="796">
        <f t="shared" ref="N16:O18" si="2">+E16-I16</f>
        <v>5313957.4799999967</v>
      </c>
      <c r="O16" s="796">
        <f t="shared" si="2"/>
        <v>57950.159999999916</v>
      </c>
      <c r="P16" s="791">
        <f t="shared" ref="P16:P45" si="3">SUM(M16:O16)</f>
        <v>5836792.7399999984</v>
      </c>
      <c r="Q16" s="796">
        <f>+'detailed fund u'!BK15</f>
        <v>18047414.899999999</v>
      </c>
      <c r="R16" s="796">
        <f>+'detailed fund u'!BL15</f>
        <v>21709693.069999997</v>
      </c>
      <c r="S16" s="796">
        <f>+'detailed fund u'!BM15</f>
        <v>1532049.84</v>
      </c>
      <c r="T16" s="791">
        <f t="shared" ref="T16:T62" si="4">SUM(Q16:S16)</f>
        <v>41289157.810000002</v>
      </c>
      <c r="U16" s="796">
        <f>11599000+558640+44116+506214+9000+3545000+3518000+250420+3324000+7104000+40500+180500+218365.06+458300+6526000+4430000</f>
        <v>42312055.060000002</v>
      </c>
      <c r="V16" s="798">
        <f>+T16/U16</f>
        <v>0.97582492156078227</v>
      </c>
      <c r="W16" s="799">
        <f t="shared" si="0"/>
        <v>0.83104339495618629</v>
      </c>
      <c r="X16" s="799">
        <f t="shared" si="1"/>
        <v>0.94167031741837848</v>
      </c>
      <c r="Y16" s="788"/>
    </row>
    <row r="17" spans="1:25" s="789" customFormat="1" hidden="1" x14ac:dyDescent="0.2">
      <c r="A17" s="793"/>
      <c r="B17" s="794" t="s">
        <v>19</v>
      </c>
      <c r="C17" s="796"/>
      <c r="D17" s="796"/>
      <c r="E17" s="797"/>
      <c r="F17" s="796"/>
      <c r="G17" s="791">
        <f t="shared" ref="G17:G62" si="5">SUM(D17:F17)</f>
        <v>0</v>
      </c>
      <c r="H17" s="796"/>
      <c r="I17" s="796"/>
      <c r="J17" s="796"/>
      <c r="K17" s="791">
        <f t="shared" ref="K17:K62" si="6">SUM(H17:J17)</f>
        <v>0</v>
      </c>
      <c r="L17" s="792" t="e">
        <f t="shared" ref="L17:L80" si="7">+K17/G17</f>
        <v>#DIV/0!</v>
      </c>
      <c r="M17" s="796">
        <f>+D17-H17</f>
        <v>0</v>
      </c>
      <c r="N17" s="796">
        <f t="shared" si="2"/>
        <v>0</v>
      </c>
      <c r="O17" s="796">
        <f t="shared" si="2"/>
        <v>0</v>
      </c>
      <c r="P17" s="791">
        <f t="shared" si="3"/>
        <v>0</v>
      </c>
      <c r="Q17" s="796"/>
      <c r="R17" s="796"/>
      <c r="S17" s="796"/>
      <c r="T17" s="791">
        <f t="shared" si="4"/>
        <v>0</v>
      </c>
      <c r="U17" s="796"/>
      <c r="V17" s="796" t="e">
        <f>+T17/U17</f>
        <v>#DIV/0!</v>
      </c>
      <c r="W17" s="799" t="e">
        <f t="shared" si="0"/>
        <v>#DIV/0!</v>
      </c>
      <c r="X17" s="799" t="e">
        <f t="shared" si="1"/>
        <v>#DIV/0!</v>
      </c>
      <c r="Y17" s="788"/>
    </row>
    <row r="18" spans="1:25" s="789" customFormat="1" hidden="1" x14ac:dyDescent="0.2">
      <c r="A18" s="793"/>
      <c r="B18" s="794" t="s">
        <v>757</v>
      </c>
      <c r="C18" s="796"/>
      <c r="D18" s="796"/>
      <c r="E18" s="796"/>
      <c r="F18" s="796"/>
      <c r="G18" s="791">
        <f t="shared" si="5"/>
        <v>0</v>
      </c>
      <c r="H18" s="796"/>
      <c r="I18" s="796"/>
      <c r="J18" s="796"/>
      <c r="K18" s="791">
        <f t="shared" si="6"/>
        <v>0</v>
      </c>
      <c r="L18" s="792" t="e">
        <f t="shared" si="7"/>
        <v>#DIV/0!</v>
      </c>
      <c r="M18" s="796">
        <f>+D18-H18</f>
        <v>0</v>
      </c>
      <c r="N18" s="796">
        <f t="shared" si="2"/>
        <v>0</v>
      </c>
      <c r="O18" s="796">
        <f t="shared" si="2"/>
        <v>0</v>
      </c>
      <c r="P18" s="791">
        <f t="shared" si="3"/>
        <v>0</v>
      </c>
      <c r="Q18" s="796"/>
      <c r="R18" s="796"/>
      <c r="S18" s="796"/>
      <c r="T18" s="791">
        <f t="shared" si="4"/>
        <v>0</v>
      </c>
      <c r="U18" s="796"/>
      <c r="V18" s="796" t="e">
        <f>+T18/U18</f>
        <v>#DIV/0!</v>
      </c>
      <c r="W18" s="799" t="e">
        <f t="shared" si="0"/>
        <v>#DIV/0!</v>
      </c>
      <c r="X18" s="799" t="e">
        <f t="shared" si="1"/>
        <v>#DIV/0!</v>
      </c>
      <c r="Y18" s="788"/>
    </row>
    <row r="19" spans="1:25" s="789" customFormat="1" hidden="1" x14ac:dyDescent="0.2">
      <c r="A19" s="783"/>
      <c r="B19" s="790" t="s">
        <v>20</v>
      </c>
      <c r="C19" s="791">
        <f>+C20+C26</f>
        <v>0</v>
      </c>
      <c r="D19" s="791">
        <f>+D20+D26</f>
        <v>0</v>
      </c>
      <c r="E19" s="791">
        <f>+E20+E26</f>
        <v>0</v>
      </c>
      <c r="F19" s="791">
        <f>+F20+F26</f>
        <v>0</v>
      </c>
      <c r="G19" s="791">
        <f t="shared" si="5"/>
        <v>0</v>
      </c>
      <c r="H19" s="791">
        <f>+H20+H26</f>
        <v>0</v>
      </c>
      <c r="I19" s="791">
        <f>+I20+I26</f>
        <v>0</v>
      </c>
      <c r="J19" s="791">
        <f>+J20+J26</f>
        <v>0</v>
      </c>
      <c r="K19" s="791">
        <f t="shared" si="6"/>
        <v>0</v>
      </c>
      <c r="L19" s="792" t="e">
        <f t="shared" si="7"/>
        <v>#DIV/0!</v>
      </c>
      <c r="M19" s="791">
        <f>+M20+M26</f>
        <v>0</v>
      </c>
      <c r="N19" s="791">
        <f>+N20+N26</f>
        <v>0</v>
      </c>
      <c r="O19" s="791">
        <f>+O20+O26</f>
        <v>0</v>
      </c>
      <c r="P19" s="791">
        <f t="shared" si="3"/>
        <v>0</v>
      </c>
      <c r="Q19" s="791">
        <f>+Q20+Q26</f>
        <v>0</v>
      </c>
      <c r="R19" s="791">
        <f>+R20+R26</f>
        <v>0</v>
      </c>
      <c r="S19" s="791">
        <f>+S20+S26</f>
        <v>0</v>
      </c>
      <c r="T19" s="791">
        <f t="shared" si="4"/>
        <v>0</v>
      </c>
      <c r="U19" s="791">
        <f>+U20+U26</f>
        <v>0</v>
      </c>
      <c r="V19" s="791" t="e">
        <f t="shared" ref="V19:V62" si="8">+T19/U19</f>
        <v>#DIV/0!</v>
      </c>
      <c r="W19" s="792" t="e">
        <f t="shared" si="0"/>
        <v>#DIV/0!</v>
      </c>
      <c r="X19" s="792" t="e">
        <f t="shared" si="1"/>
        <v>#DIV/0!</v>
      </c>
      <c r="Y19" s="788"/>
    </row>
    <row r="20" spans="1:25" s="789" customFormat="1" hidden="1" x14ac:dyDescent="0.2">
      <c r="A20" s="783"/>
      <c r="B20" s="790" t="s">
        <v>21</v>
      </c>
      <c r="C20" s="791">
        <f>SUM(C21:C25)</f>
        <v>0</v>
      </c>
      <c r="D20" s="791">
        <f>SUM(D21:D25)</f>
        <v>0</v>
      </c>
      <c r="E20" s="791">
        <f>SUM(E21:E25)</f>
        <v>0</v>
      </c>
      <c r="F20" s="791">
        <f>SUM(F21:F25)</f>
        <v>0</v>
      </c>
      <c r="G20" s="791">
        <f t="shared" si="5"/>
        <v>0</v>
      </c>
      <c r="H20" s="791">
        <f>SUM(H21:H25)</f>
        <v>0</v>
      </c>
      <c r="I20" s="791">
        <f>SUM(I21:I25)</f>
        <v>0</v>
      </c>
      <c r="J20" s="791">
        <f>SUM(J21:J25)</f>
        <v>0</v>
      </c>
      <c r="K20" s="791">
        <f t="shared" si="6"/>
        <v>0</v>
      </c>
      <c r="L20" s="792" t="e">
        <f t="shared" si="7"/>
        <v>#DIV/0!</v>
      </c>
      <c r="M20" s="791">
        <f>SUM(M21:M25)</f>
        <v>0</v>
      </c>
      <c r="N20" s="791">
        <f>SUM(N21:N25)</f>
        <v>0</v>
      </c>
      <c r="O20" s="791">
        <f>SUM(O21:O25)</f>
        <v>0</v>
      </c>
      <c r="P20" s="791">
        <f t="shared" si="3"/>
        <v>0</v>
      </c>
      <c r="Q20" s="791">
        <f>SUM(Q21:Q25)</f>
        <v>0</v>
      </c>
      <c r="R20" s="791">
        <f>SUM(R21:R25)</f>
        <v>0</v>
      </c>
      <c r="S20" s="791">
        <f>SUM(S21:S25)</f>
        <v>0</v>
      </c>
      <c r="T20" s="791">
        <f t="shared" si="4"/>
        <v>0</v>
      </c>
      <c r="U20" s="791">
        <f>SUM(U21:U25)</f>
        <v>0</v>
      </c>
      <c r="V20" s="791" t="e">
        <f t="shared" si="8"/>
        <v>#DIV/0!</v>
      </c>
      <c r="W20" s="792" t="e">
        <f t="shared" si="0"/>
        <v>#DIV/0!</v>
      </c>
      <c r="X20" s="792" t="e">
        <f t="shared" si="1"/>
        <v>#DIV/0!</v>
      </c>
      <c r="Y20" s="788"/>
    </row>
    <row r="21" spans="1:25" s="789" customFormat="1" hidden="1" x14ac:dyDescent="0.2">
      <c r="A21" s="793"/>
      <c r="B21" s="794" t="s">
        <v>22</v>
      </c>
      <c r="C21" s="796"/>
      <c r="D21" s="796"/>
      <c r="E21" s="796"/>
      <c r="F21" s="796"/>
      <c r="G21" s="791">
        <f t="shared" si="5"/>
        <v>0</v>
      </c>
      <c r="H21" s="795"/>
      <c r="I21" s="795"/>
      <c r="J21" s="795"/>
      <c r="K21" s="791">
        <f t="shared" si="6"/>
        <v>0</v>
      </c>
      <c r="L21" s="792" t="e">
        <f t="shared" si="7"/>
        <v>#DIV/0!</v>
      </c>
      <c r="M21" s="796">
        <f t="shared" ref="M21:O25" si="9">+D21-H21</f>
        <v>0</v>
      </c>
      <c r="N21" s="796">
        <f t="shared" si="9"/>
        <v>0</v>
      </c>
      <c r="O21" s="796">
        <f t="shared" si="9"/>
        <v>0</v>
      </c>
      <c r="P21" s="791">
        <f t="shared" si="3"/>
        <v>0</v>
      </c>
      <c r="Q21" s="796"/>
      <c r="R21" s="796"/>
      <c r="S21" s="796"/>
      <c r="T21" s="791">
        <f t="shared" si="4"/>
        <v>0</v>
      </c>
      <c r="U21" s="796"/>
      <c r="V21" s="796" t="e">
        <f t="shared" si="8"/>
        <v>#DIV/0!</v>
      </c>
      <c r="W21" s="799" t="e">
        <f t="shared" si="0"/>
        <v>#DIV/0!</v>
      </c>
      <c r="X21" s="799" t="e">
        <f t="shared" si="1"/>
        <v>#DIV/0!</v>
      </c>
      <c r="Y21" s="788"/>
    </row>
    <row r="22" spans="1:25" s="789" customFormat="1" hidden="1" x14ac:dyDescent="0.2">
      <c r="A22" s="793"/>
      <c r="B22" s="794" t="s">
        <v>23</v>
      </c>
      <c r="C22" s="796"/>
      <c r="D22" s="796"/>
      <c r="E22" s="796"/>
      <c r="F22" s="796"/>
      <c r="G22" s="791">
        <f t="shared" si="5"/>
        <v>0</v>
      </c>
      <c r="H22" s="795"/>
      <c r="I22" s="795"/>
      <c r="J22" s="795"/>
      <c r="K22" s="791">
        <f t="shared" si="6"/>
        <v>0</v>
      </c>
      <c r="L22" s="792" t="e">
        <f t="shared" si="7"/>
        <v>#DIV/0!</v>
      </c>
      <c r="M22" s="796">
        <f t="shared" si="9"/>
        <v>0</v>
      </c>
      <c r="N22" s="796">
        <f t="shared" si="9"/>
        <v>0</v>
      </c>
      <c r="O22" s="796">
        <f t="shared" si="9"/>
        <v>0</v>
      </c>
      <c r="P22" s="791">
        <f t="shared" si="3"/>
        <v>0</v>
      </c>
      <c r="Q22" s="796"/>
      <c r="R22" s="796"/>
      <c r="S22" s="796"/>
      <c r="T22" s="791">
        <f t="shared" si="4"/>
        <v>0</v>
      </c>
      <c r="U22" s="796"/>
      <c r="V22" s="796" t="e">
        <f t="shared" si="8"/>
        <v>#DIV/0!</v>
      </c>
      <c r="W22" s="799" t="e">
        <f t="shared" si="0"/>
        <v>#DIV/0!</v>
      </c>
      <c r="X22" s="799" t="e">
        <f t="shared" si="1"/>
        <v>#DIV/0!</v>
      </c>
      <c r="Y22" s="788"/>
    </row>
    <row r="23" spans="1:25" s="789" customFormat="1" hidden="1" x14ac:dyDescent="0.2">
      <c r="A23" s="793"/>
      <c r="B23" s="794" t="s">
        <v>24</v>
      </c>
      <c r="C23" s="796"/>
      <c r="D23" s="796"/>
      <c r="E23" s="796"/>
      <c r="F23" s="796"/>
      <c r="G23" s="791">
        <f t="shared" si="5"/>
        <v>0</v>
      </c>
      <c r="H23" s="795"/>
      <c r="I23" s="795"/>
      <c r="J23" s="795"/>
      <c r="K23" s="791">
        <f t="shared" si="6"/>
        <v>0</v>
      </c>
      <c r="L23" s="792" t="e">
        <f t="shared" si="7"/>
        <v>#DIV/0!</v>
      </c>
      <c r="M23" s="796">
        <f t="shared" si="9"/>
        <v>0</v>
      </c>
      <c r="N23" s="796">
        <f t="shared" si="9"/>
        <v>0</v>
      </c>
      <c r="O23" s="796">
        <f t="shared" si="9"/>
        <v>0</v>
      </c>
      <c r="P23" s="791">
        <f t="shared" si="3"/>
        <v>0</v>
      </c>
      <c r="Q23" s="796"/>
      <c r="R23" s="796"/>
      <c r="S23" s="796"/>
      <c r="T23" s="791">
        <f t="shared" si="4"/>
        <v>0</v>
      </c>
      <c r="U23" s="796"/>
      <c r="V23" s="796" t="e">
        <f t="shared" si="8"/>
        <v>#DIV/0!</v>
      </c>
      <c r="W23" s="799" t="e">
        <f t="shared" si="0"/>
        <v>#DIV/0!</v>
      </c>
      <c r="X23" s="799" t="e">
        <f t="shared" si="1"/>
        <v>#DIV/0!</v>
      </c>
      <c r="Y23" s="788"/>
    </row>
    <row r="24" spans="1:25" s="789" customFormat="1" hidden="1" x14ac:dyDescent="0.2">
      <c r="A24" s="793"/>
      <c r="B24" s="794" t="s">
        <v>25</v>
      </c>
      <c r="C24" s="796"/>
      <c r="D24" s="796"/>
      <c r="E24" s="796"/>
      <c r="F24" s="796"/>
      <c r="G24" s="791">
        <f t="shared" si="5"/>
        <v>0</v>
      </c>
      <c r="H24" s="795"/>
      <c r="I24" s="795"/>
      <c r="J24" s="795"/>
      <c r="K24" s="791">
        <f t="shared" si="6"/>
        <v>0</v>
      </c>
      <c r="L24" s="792" t="e">
        <f t="shared" si="7"/>
        <v>#DIV/0!</v>
      </c>
      <c r="M24" s="796">
        <f t="shared" si="9"/>
        <v>0</v>
      </c>
      <c r="N24" s="796">
        <f t="shared" si="9"/>
        <v>0</v>
      </c>
      <c r="O24" s="796">
        <f t="shared" si="9"/>
        <v>0</v>
      </c>
      <c r="P24" s="791">
        <f t="shared" si="3"/>
        <v>0</v>
      </c>
      <c r="Q24" s="796"/>
      <c r="R24" s="796"/>
      <c r="S24" s="796"/>
      <c r="T24" s="791">
        <f t="shared" si="4"/>
        <v>0</v>
      </c>
      <c r="U24" s="796"/>
      <c r="V24" s="796" t="e">
        <f t="shared" si="8"/>
        <v>#DIV/0!</v>
      </c>
      <c r="W24" s="799" t="e">
        <f t="shared" si="0"/>
        <v>#DIV/0!</v>
      </c>
      <c r="X24" s="799" t="e">
        <f t="shared" si="1"/>
        <v>#DIV/0!</v>
      </c>
      <c r="Y24" s="788"/>
    </row>
    <row r="25" spans="1:25" s="789" customFormat="1" hidden="1" x14ac:dyDescent="0.2">
      <c r="A25" s="793"/>
      <c r="B25" s="794" t="s">
        <v>26</v>
      </c>
      <c r="C25" s="796"/>
      <c r="D25" s="796"/>
      <c r="E25" s="796"/>
      <c r="F25" s="796"/>
      <c r="G25" s="791">
        <f t="shared" si="5"/>
        <v>0</v>
      </c>
      <c r="H25" s="795"/>
      <c r="I25" s="795"/>
      <c r="J25" s="795"/>
      <c r="K25" s="791">
        <f t="shared" si="6"/>
        <v>0</v>
      </c>
      <c r="L25" s="792" t="e">
        <f t="shared" si="7"/>
        <v>#DIV/0!</v>
      </c>
      <c r="M25" s="796">
        <f t="shared" si="9"/>
        <v>0</v>
      </c>
      <c r="N25" s="796">
        <f t="shared" si="9"/>
        <v>0</v>
      </c>
      <c r="O25" s="796">
        <f t="shared" si="9"/>
        <v>0</v>
      </c>
      <c r="P25" s="791">
        <f t="shared" si="3"/>
        <v>0</v>
      </c>
      <c r="Q25" s="796"/>
      <c r="R25" s="796"/>
      <c r="S25" s="796"/>
      <c r="T25" s="791">
        <f t="shared" si="4"/>
        <v>0</v>
      </c>
      <c r="U25" s="796"/>
      <c r="V25" s="796" t="e">
        <f t="shared" si="8"/>
        <v>#DIV/0!</v>
      </c>
      <c r="W25" s="799" t="e">
        <f t="shared" si="0"/>
        <v>#DIV/0!</v>
      </c>
      <c r="X25" s="799" t="e">
        <f t="shared" si="1"/>
        <v>#DIV/0!</v>
      </c>
      <c r="Y25" s="788"/>
    </row>
    <row r="26" spans="1:25" s="789" customFormat="1" hidden="1" x14ac:dyDescent="0.2">
      <c r="A26" s="783"/>
      <c r="B26" s="790" t="s">
        <v>27</v>
      </c>
      <c r="C26" s="791">
        <f>SUM(C27:C31)</f>
        <v>0</v>
      </c>
      <c r="D26" s="791">
        <f>SUM(D27:D31)</f>
        <v>0</v>
      </c>
      <c r="E26" s="791">
        <f>SUM(E27:E31)</f>
        <v>0</v>
      </c>
      <c r="F26" s="791">
        <f>SUM(F27:F31)</f>
        <v>0</v>
      </c>
      <c r="G26" s="791">
        <f t="shared" si="5"/>
        <v>0</v>
      </c>
      <c r="H26" s="791">
        <f>SUM(H27:H31)</f>
        <v>0</v>
      </c>
      <c r="I26" s="791">
        <f>SUM(I27:I31)</f>
        <v>0</v>
      </c>
      <c r="J26" s="791">
        <f>SUM(J27:J31)</f>
        <v>0</v>
      </c>
      <c r="K26" s="791">
        <f t="shared" si="6"/>
        <v>0</v>
      </c>
      <c r="L26" s="792" t="e">
        <f t="shared" si="7"/>
        <v>#DIV/0!</v>
      </c>
      <c r="M26" s="791">
        <f>SUM(M27:M31)</f>
        <v>0</v>
      </c>
      <c r="N26" s="791">
        <f>SUM(N27:N31)</f>
        <v>0</v>
      </c>
      <c r="O26" s="791">
        <f>SUM(O27:O31)</f>
        <v>0</v>
      </c>
      <c r="P26" s="791">
        <f t="shared" si="3"/>
        <v>0</v>
      </c>
      <c r="Q26" s="791">
        <f>SUM(Q27:Q31)</f>
        <v>0</v>
      </c>
      <c r="R26" s="791">
        <f>SUM(R27:R31)</f>
        <v>0</v>
      </c>
      <c r="S26" s="791">
        <f>SUM(S27:S31)</f>
        <v>0</v>
      </c>
      <c r="T26" s="791">
        <f t="shared" si="4"/>
        <v>0</v>
      </c>
      <c r="U26" s="791">
        <f>SUM(U27:U31)</f>
        <v>0</v>
      </c>
      <c r="V26" s="791" t="e">
        <f t="shared" si="8"/>
        <v>#DIV/0!</v>
      </c>
      <c r="W26" s="792" t="e">
        <f t="shared" si="0"/>
        <v>#DIV/0!</v>
      </c>
      <c r="X26" s="792" t="e">
        <f t="shared" si="1"/>
        <v>#DIV/0!</v>
      </c>
      <c r="Y26" s="788"/>
    </row>
    <row r="27" spans="1:25" s="789" customFormat="1" hidden="1" x14ac:dyDescent="0.2">
      <c r="A27" s="793"/>
      <c r="B27" s="794" t="s">
        <v>22</v>
      </c>
      <c r="C27" s="796"/>
      <c r="D27" s="796"/>
      <c r="E27" s="796"/>
      <c r="F27" s="796"/>
      <c r="G27" s="791">
        <f t="shared" si="5"/>
        <v>0</v>
      </c>
      <c r="H27" s="796"/>
      <c r="I27" s="796"/>
      <c r="J27" s="796"/>
      <c r="K27" s="791">
        <f t="shared" si="6"/>
        <v>0</v>
      </c>
      <c r="L27" s="792" t="e">
        <f t="shared" si="7"/>
        <v>#DIV/0!</v>
      </c>
      <c r="M27" s="796">
        <f t="shared" ref="M27:O31" si="10">+D27-H27</f>
        <v>0</v>
      </c>
      <c r="N27" s="796">
        <f t="shared" si="10"/>
        <v>0</v>
      </c>
      <c r="O27" s="796">
        <f t="shared" si="10"/>
        <v>0</v>
      </c>
      <c r="P27" s="791">
        <f t="shared" si="3"/>
        <v>0</v>
      </c>
      <c r="Q27" s="796"/>
      <c r="R27" s="796"/>
      <c r="S27" s="796"/>
      <c r="T27" s="791">
        <f t="shared" si="4"/>
        <v>0</v>
      </c>
      <c r="U27" s="796"/>
      <c r="V27" s="796" t="e">
        <f t="shared" si="8"/>
        <v>#DIV/0!</v>
      </c>
      <c r="W27" s="799" t="e">
        <f t="shared" si="0"/>
        <v>#DIV/0!</v>
      </c>
      <c r="X27" s="799" t="e">
        <f t="shared" si="1"/>
        <v>#DIV/0!</v>
      </c>
      <c r="Y27" s="788"/>
    </row>
    <row r="28" spans="1:25" s="789" customFormat="1" hidden="1" x14ac:dyDescent="0.2">
      <c r="A28" s="793"/>
      <c r="B28" s="794" t="s">
        <v>23</v>
      </c>
      <c r="C28" s="796"/>
      <c r="D28" s="796"/>
      <c r="E28" s="796"/>
      <c r="F28" s="796"/>
      <c r="G28" s="791">
        <f t="shared" si="5"/>
        <v>0</v>
      </c>
      <c r="H28" s="796"/>
      <c r="I28" s="796"/>
      <c r="J28" s="796"/>
      <c r="K28" s="791">
        <f t="shared" si="6"/>
        <v>0</v>
      </c>
      <c r="L28" s="792" t="e">
        <f t="shared" si="7"/>
        <v>#DIV/0!</v>
      </c>
      <c r="M28" s="796">
        <f t="shared" si="10"/>
        <v>0</v>
      </c>
      <c r="N28" s="796">
        <f t="shared" si="10"/>
        <v>0</v>
      </c>
      <c r="O28" s="796">
        <f t="shared" si="10"/>
        <v>0</v>
      </c>
      <c r="P28" s="791">
        <f t="shared" si="3"/>
        <v>0</v>
      </c>
      <c r="Q28" s="796"/>
      <c r="R28" s="796"/>
      <c r="S28" s="796"/>
      <c r="T28" s="791">
        <f t="shared" si="4"/>
        <v>0</v>
      </c>
      <c r="U28" s="796"/>
      <c r="V28" s="796" t="e">
        <f t="shared" si="8"/>
        <v>#DIV/0!</v>
      </c>
      <c r="W28" s="799" t="e">
        <f t="shared" si="0"/>
        <v>#DIV/0!</v>
      </c>
      <c r="X28" s="799" t="e">
        <f t="shared" si="1"/>
        <v>#DIV/0!</v>
      </c>
      <c r="Y28" s="788"/>
    </row>
    <row r="29" spans="1:25" s="789" customFormat="1" hidden="1" x14ac:dyDescent="0.2">
      <c r="A29" s="793"/>
      <c r="B29" s="794" t="s">
        <v>24</v>
      </c>
      <c r="C29" s="796"/>
      <c r="D29" s="796"/>
      <c r="E29" s="796"/>
      <c r="F29" s="796"/>
      <c r="G29" s="791">
        <f t="shared" si="5"/>
        <v>0</v>
      </c>
      <c r="H29" s="796"/>
      <c r="I29" s="796"/>
      <c r="J29" s="796"/>
      <c r="K29" s="791">
        <f t="shared" si="6"/>
        <v>0</v>
      </c>
      <c r="L29" s="792" t="e">
        <f t="shared" si="7"/>
        <v>#DIV/0!</v>
      </c>
      <c r="M29" s="796">
        <f t="shared" si="10"/>
        <v>0</v>
      </c>
      <c r="N29" s="796">
        <f t="shared" si="10"/>
        <v>0</v>
      </c>
      <c r="O29" s="796">
        <f t="shared" si="10"/>
        <v>0</v>
      </c>
      <c r="P29" s="791">
        <f t="shared" si="3"/>
        <v>0</v>
      </c>
      <c r="Q29" s="796"/>
      <c r="R29" s="796"/>
      <c r="S29" s="796"/>
      <c r="T29" s="791">
        <f t="shared" si="4"/>
        <v>0</v>
      </c>
      <c r="U29" s="796"/>
      <c r="V29" s="796" t="e">
        <f t="shared" si="8"/>
        <v>#DIV/0!</v>
      </c>
      <c r="W29" s="799" t="e">
        <f t="shared" si="0"/>
        <v>#DIV/0!</v>
      </c>
      <c r="X29" s="799" t="e">
        <f t="shared" si="1"/>
        <v>#DIV/0!</v>
      </c>
      <c r="Y29" s="788"/>
    </row>
    <row r="30" spans="1:25" s="789" customFormat="1" hidden="1" x14ac:dyDescent="0.2">
      <c r="A30" s="793"/>
      <c r="B30" s="794" t="s">
        <v>25</v>
      </c>
      <c r="C30" s="796"/>
      <c r="D30" s="796"/>
      <c r="E30" s="796"/>
      <c r="F30" s="796"/>
      <c r="G30" s="791">
        <f t="shared" si="5"/>
        <v>0</v>
      </c>
      <c r="H30" s="796"/>
      <c r="I30" s="796"/>
      <c r="J30" s="796"/>
      <c r="K30" s="791">
        <f t="shared" si="6"/>
        <v>0</v>
      </c>
      <c r="L30" s="792" t="e">
        <f t="shared" si="7"/>
        <v>#DIV/0!</v>
      </c>
      <c r="M30" s="796">
        <f t="shared" si="10"/>
        <v>0</v>
      </c>
      <c r="N30" s="796">
        <f t="shared" si="10"/>
        <v>0</v>
      </c>
      <c r="O30" s="796">
        <f t="shared" si="10"/>
        <v>0</v>
      </c>
      <c r="P30" s="791">
        <f t="shared" si="3"/>
        <v>0</v>
      </c>
      <c r="Q30" s="796"/>
      <c r="R30" s="796"/>
      <c r="S30" s="796"/>
      <c r="T30" s="791">
        <f t="shared" si="4"/>
        <v>0</v>
      </c>
      <c r="U30" s="796"/>
      <c r="V30" s="796" t="e">
        <f t="shared" si="8"/>
        <v>#DIV/0!</v>
      </c>
      <c r="W30" s="799" t="e">
        <f t="shared" si="0"/>
        <v>#DIV/0!</v>
      </c>
      <c r="X30" s="799" t="e">
        <f t="shared" si="1"/>
        <v>#DIV/0!</v>
      </c>
      <c r="Y30" s="788"/>
    </row>
    <row r="31" spans="1:25" s="789" customFormat="1" hidden="1" x14ac:dyDescent="0.2">
      <c r="A31" s="793"/>
      <c r="B31" s="794" t="s">
        <v>26</v>
      </c>
      <c r="C31" s="796"/>
      <c r="D31" s="796"/>
      <c r="E31" s="796"/>
      <c r="F31" s="796"/>
      <c r="G31" s="791">
        <f t="shared" si="5"/>
        <v>0</v>
      </c>
      <c r="H31" s="796"/>
      <c r="I31" s="796"/>
      <c r="J31" s="796"/>
      <c r="K31" s="791">
        <f t="shared" si="6"/>
        <v>0</v>
      </c>
      <c r="L31" s="792" t="e">
        <f t="shared" si="7"/>
        <v>#DIV/0!</v>
      </c>
      <c r="M31" s="796">
        <f t="shared" si="10"/>
        <v>0</v>
      </c>
      <c r="N31" s="796">
        <f t="shared" si="10"/>
        <v>0</v>
      </c>
      <c r="O31" s="796">
        <f t="shared" si="10"/>
        <v>0</v>
      </c>
      <c r="P31" s="791">
        <f t="shared" si="3"/>
        <v>0</v>
      </c>
      <c r="Q31" s="796"/>
      <c r="R31" s="796"/>
      <c r="S31" s="796"/>
      <c r="T31" s="791">
        <f t="shared" si="4"/>
        <v>0</v>
      </c>
      <c r="U31" s="796"/>
      <c r="V31" s="796" t="e">
        <f t="shared" si="8"/>
        <v>#DIV/0!</v>
      </c>
      <c r="W31" s="799" t="e">
        <f t="shared" si="0"/>
        <v>#DIV/0!</v>
      </c>
      <c r="X31" s="799" t="e">
        <f t="shared" si="1"/>
        <v>#DIV/0!</v>
      </c>
      <c r="Y31" s="788"/>
    </row>
    <row r="32" spans="1:25" s="789" customFormat="1" x14ac:dyDescent="0.2">
      <c r="A32" s="783"/>
      <c r="B32" s="790" t="s">
        <v>28</v>
      </c>
      <c r="C32" s="791">
        <f>SUM(C33:C44)</f>
        <v>0</v>
      </c>
      <c r="D32" s="791">
        <f>SUM(D33:D44)</f>
        <v>1384793.06</v>
      </c>
      <c r="E32" s="791">
        <f>SUM(E33:E44)</f>
        <v>0</v>
      </c>
      <c r="F32" s="791">
        <f>SUM(F33:F44)</f>
        <v>0</v>
      </c>
      <c r="G32" s="791">
        <f t="shared" si="5"/>
        <v>1384793.06</v>
      </c>
      <c r="H32" s="791">
        <f>SUM(H33:H44)</f>
        <v>2679481.2999999998</v>
      </c>
      <c r="I32" s="791">
        <f>SUM(I33:I44)</f>
        <v>0</v>
      </c>
      <c r="J32" s="791">
        <f>SUM(J33:J44)</f>
        <v>0</v>
      </c>
      <c r="K32" s="791">
        <f t="shared" si="6"/>
        <v>2679481.2999999998</v>
      </c>
      <c r="L32" s="792">
        <f t="shared" si="7"/>
        <v>1.9349326461818055</v>
      </c>
      <c r="M32" s="791">
        <f>SUM(M33:M44)</f>
        <v>-1294688.2399999998</v>
      </c>
      <c r="N32" s="791">
        <f>SUM(N33:N44)</f>
        <v>0</v>
      </c>
      <c r="O32" s="791">
        <f>SUM(O33:O44)</f>
        <v>0</v>
      </c>
      <c r="P32" s="791">
        <f t="shared" si="3"/>
        <v>-1294688.2399999998</v>
      </c>
      <c r="Q32" s="791">
        <f>SUM(Q33:Q44)</f>
        <v>2679481.3000000003</v>
      </c>
      <c r="R32" s="791">
        <f>SUM(R33:R44)</f>
        <v>0</v>
      </c>
      <c r="S32" s="791">
        <f>SUM(S33:S44)</f>
        <v>0</v>
      </c>
      <c r="T32" s="791">
        <f t="shared" si="4"/>
        <v>2679481.3000000003</v>
      </c>
      <c r="U32" s="791">
        <f>SUM(U33:U44)</f>
        <v>0</v>
      </c>
      <c r="V32" s="791" t="e">
        <f t="shared" si="8"/>
        <v>#DIV/0!</v>
      </c>
      <c r="W32" s="792">
        <f t="shared" si="0"/>
        <v>1.9349326461818057</v>
      </c>
      <c r="X32" s="792">
        <f t="shared" si="1"/>
        <v>1.0000000000000002</v>
      </c>
      <c r="Y32" s="788"/>
    </row>
    <row r="33" spans="1:25" s="789" customFormat="1" hidden="1" x14ac:dyDescent="0.2">
      <c r="A33" s="793"/>
      <c r="B33" s="794" t="s">
        <v>758</v>
      </c>
      <c r="C33" s="796"/>
      <c r="D33" s="796"/>
      <c r="E33" s="796"/>
      <c r="F33" s="796"/>
      <c r="G33" s="791">
        <f t="shared" si="5"/>
        <v>0</v>
      </c>
      <c r="H33" s="796"/>
      <c r="I33" s="796"/>
      <c r="J33" s="796"/>
      <c r="K33" s="791">
        <f t="shared" si="6"/>
        <v>0</v>
      </c>
      <c r="L33" s="792" t="e">
        <f t="shared" si="7"/>
        <v>#DIV/0!</v>
      </c>
      <c r="M33" s="796">
        <f t="shared" ref="M33:O44" si="11">+D33-H33</f>
        <v>0</v>
      </c>
      <c r="N33" s="796">
        <f t="shared" si="11"/>
        <v>0</v>
      </c>
      <c r="O33" s="796">
        <f t="shared" si="11"/>
        <v>0</v>
      </c>
      <c r="P33" s="791">
        <f t="shared" si="3"/>
        <v>0</v>
      </c>
      <c r="Q33" s="796"/>
      <c r="R33" s="796"/>
      <c r="S33" s="796"/>
      <c r="T33" s="791">
        <f t="shared" si="4"/>
        <v>0</v>
      </c>
      <c r="U33" s="796"/>
      <c r="V33" s="796" t="e">
        <f t="shared" si="8"/>
        <v>#DIV/0!</v>
      </c>
      <c r="W33" s="799" t="e">
        <f t="shared" si="0"/>
        <v>#DIV/0!</v>
      </c>
      <c r="X33" s="799" t="e">
        <f t="shared" si="1"/>
        <v>#DIV/0!</v>
      </c>
      <c r="Y33" s="788"/>
    </row>
    <row r="34" spans="1:25" s="789" customFormat="1" hidden="1" x14ac:dyDescent="0.2">
      <c r="A34" s="793"/>
      <c r="B34" s="794" t="s">
        <v>759</v>
      </c>
      <c r="C34" s="796"/>
      <c r="D34" s="796"/>
      <c r="E34" s="796"/>
      <c r="F34" s="796"/>
      <c r="G34" s="791">
        <f t="shared" si="5"/>
        <v>0</v>
      </c>
      <c r="H34" s="796"/>
      <c r="I34" s="796"/>
      <c r="J34" s="796"/>
      <c r="K34" s="791">
        <f t="shared" si="6"/>
        <v>0</v>
      </c>
      <c r="L34" s="792" t="e">
        <f t="shared" si="7"/>
        <v>#DIV/0!</v>
      </c>
      <c r="M34" s="796">
        <f t="shared" si="11"/>
        <v>0</v>
      </c>
      <c r="N34" s="796">
        <f t="shared" si="11"/>
        <v>0</v>
      </c>
      <c r="O34" s="796">
        <f t="shared" si="11"/>
        <v>0</v>
      </c>
      <c r="P34" s="791">
        <f t="shared" si="3"/>
        <v>0</v>
      </c>
      <c r="Q34" s="796"/>
      <c r="R34" s="796"/>
      <c r="S34" s="796"/>
      <c r="T34" s="791">
        <f t="shared" si="4"/>
        <v>0</v>
      </c>
      <c r="U34" s="796"/>
      <c r="V34" s="796" t="e">
        <f t="shared" si="8"/>
        <v>#DIV/0!</v>
      </c>
      <c r="W34" s="799" t="e">
        <f t="shared" si="0"/>
        <v>#DIV/0!</v>
      </c>
      <c r="X34" s="799" t="e">
        <f t="shared" si="1"/>
        <v>#DIV/0!</v>
      </c>
      <c r="Y34" s="788"/>
    </row>
    <row r="35" spans="1:25" s="789" customFormat="1" hidden="1" x14ac:dyDescent="0.2">
      <c r="A35" s="793"/>
      <c r="B35" s="794" t="s">
        <v>760</v>
      </c>
      <c r="C35" s="796"/>
      <c r="D35" s="796"/>
      <c r="E35" s="796"/>
      <c r="F35" s="796"/>
      <c r="G35" s="791">
        <f t="shared" si="5"/>
        <v>0</v>
      </c>
      <c r="H35" s="796"/>
      <c r="I35" s="796"/>
      <c r="J35" s="796"/>
      <c r="K35" s="791">
        <f t="shared" si="6"/>
        <v>0</v>
      </c>
      <c r="L35" s="792" t="e">
        <f t="shared" si="7"/>
        <v>#DIV/0!</v>
      </c>
      <c r="M35" s="796">
        <f t="shared" si="11"/>
        <v>0</v>
      </c>
      <c r="N35" s="796">
        <f t="shared" si="11"/>
        <v>0</v>
      </c>
      <c r="O35" s="796">
        <f t="shared" si="11"/>
        <v>0</v>
      </c>
      <c r="P35" s="791">
        <f t="shared" si="3"/>
        <v>0</v>
      </c>
      <c r="Q35" s="796"/>
      <c r="R35" s="796"/>
      <c r="S35" s="796"/>
      <c r="T35" s="791">
        <f t="shared" si="4"/>
        <v>0</v>
      </c>
      <c r="U35" s="796"/>
      <c r="V35" s="796" t="e">
        <f t="shared" si="8"/>
        <v>#DIV/0!</v>
      </c>
      <c r="W35" s="799" t="e">
        <f t="shared" si="0"/>
        <v>#DIV/0!</v>
      </c>
      <c r="X35" s="799" t="e">
        <f t="shared" si="1"/>
        <v>#DIV/0!</v>
      </c>
      <c r="Y35" s="788"/>
    </row>
    <row r="36" spans="1:25" s="789" customFormat="1" hidden="1" x14ac:dyDescent="0.2">
      <c r="A36" s="793"/>
      <c r="B36" s="794" t="s">
        <v>761</v>
      </c>
      <c r="C36" s="796"/>
      <c r="D36" s="796"/>
      <c r="E36" s="796"/>
      <c r="F36" s="796"/>
      <c r="G36" s="791">
        <f t="shared" si="5"/>
        <v>0</v>
      </c>
      <c r="H36" s="796"/>
      <c r="I36" s="796"/>
      <c r="J36" s="796"/>
      <c r="K36" s="791">
        <f t="shared" si="6"/>
        <v>0</v>
      </c>
      <c r="L36" s="792" t="e">
        <f t="shared" si="7"/>
        <v>#DIV/0!</v>
      </c>
      <c r="M36" s="796">
        <f t="shared" si="11"/>
        <v>0</v>
      </c>
      <c r="N36" s="796">
        <f t="shared" si="11"/>
        <v>0</v>
      </c>
      <c r="O36" s="796">
        <f t="shared" si="11"/>
        <v>0</v>
      </c>
      <c r="P36" s="791">
        <f t="shared" si="3"/>
        <v>0</v>
      </c>
      <c r="Q36" s="796"/>
      <c r="R36" s="796"/>
      <c r="S36" s="796"/>
      <c r="T36" s="791">
        <f t="shared" si="4"/>
        <v>0</v>
      </c>
      <c r="U36" s="796"/>
      <c r="V36" s="796" t="e">
        <f t="shared" si="8"/>
        <v>#DIV/0!</v>
      </c>
      <c r="W36" s="799" t="e">
        <f t="shared" si="0"/>
        <v>#DIV/0!</v>
      </c>
      <c r="X36" s="799" t="e">
        <f t="shared" si="1"/>
        <v>#DIV/0!</v>
      </c>
      <c r="Y36" s="788"/>
    </row>
    <row r="37" spans="1:25" s="789" customFormat="1" hidden="1" x14ac:dyDescent="0.2">
      <c r="A37" s="793"/>
      <c r="B37" s="794" t="s">
        <v>762</v>
      </c>
      <c r="C37" s="796"/>
      <c r="D37" s="796"/>
      <c r="E37" s="796"/>
      <c r="F37" s="796"/>
      <c r="G37" s="791">
        <f t="shared" si="5"/>
        <v>0</v>
      </c>
      <c r="H37" s="796"/>
      <c r="I37" s="796"/>
      <c r="J37" s="796"/>
      <c r="K37" s="791">
        <f t="shared" si="6"/>
        <v>0</v>
      </c>
      <c r="L37" s="792" t="e">
        <f t="shared" si="7"/>
        <v>#DIV/0!</v>
      </c>
      <c r="M37" s="796">
        <f t="shared" si="11"/>
        <v>0</v>
      </c>
      <c r="N37" s="796">
        <f t="shared" si="11"/>
        <v>0</v>
      </c>
      <c r="O37" s="796">
        <f t="shared" si="11"/>
        <v>0</v>
      </c>
      <c r="P37" s="791">
        <f t="shared" si="3"/>
        <v>0</v>
      </c>
      <c r="Q37" s="796"/>
      <c r="R37" s="796"/>
      <c r="S37" s="796"/>
      <c r="T37" s="791">
        <f t="shared" si="4"/>
        <v>0</v>
      </c>
      <c r="U37" s="796"/>
      <c r="V37" s="796" t="e">
        <f t="shared" si="8"/>
        <v>#DIV/0!</v>
      </c>
      <c r="W37" s="799" t="e">
        <f t="shared" si="0"/>
        <v>#DIV/0!</v>
      </c>
      <c r="X37" s="799" t="e">
        <f t="shared" si="1"/>
        <v>#DIV/0!</v>
      </c>
      <c r="Y37" s="788"/>
    </row>
    <row r="38" spans="1:25" s="789" customFormat="1" x14ac:dyDescent="0.2">
      <c r="A38" s="793"/>
      <c r="B38" s="794" t="s">
        <v>763</v>
      </c>
      <c r="C38" s="796"/>
      <c r="D38" s="796">
        <f>1166428+218365.06</f>
        <v>1384793.06</v>
      </c>
      <c r="E38" s="796"/>
      <c r="F38" s="796"/>
      <c r="G38" s="791">
        <f t="shared" si="5"/>
        <v>1384793.06</v>
      </c>
      <c r="H38" s="796">
        <f>+'detailed fund u'!AQ145</f>
        <v>2679481.2999999998</v>
      </c>
      <c r="I38" s="796"/>
      <c r="J38" s="796"/>
      <c r="K38" s="791">
        <f t="shared" si="6"/>
        <v>2679481.2999999998</v>
      </c>
      <c r="L38" s="792">
        <f t="shared" si="7"/>
        <v>1.9349326461818055</v>
      </c>
      <c r="M38" s="796">
        <f t="shared" si="11"/>
        <v>-1294688.2399999998</v>
      </c>
      <c r="N38" s="796">
        <f t="shared" si="11"/>
        <v>0</v>
      </c>
      <c r="O38" s="796">
        <f t="shared" si="11"/>
        <v>0</v>
      </c>
      <c r="P38" s="791">
        <f t="shared" si="3"/>
        <v>-1294688.2399999998</v>
      </c>
      <c r="Q38" s="796">
        <f>+'detailed fund u'!BK145</f>
        <v>2679481.3000000003</v>
      </c>
      <c r="R38" s="796"/>
      <c r="S38" s="796"/>
      <c r="T38" s="791">
        <f t="shared" si="4"/>
        <v>2679481.3000000003</v>
      </c>
      <c r="U38" s="796"/>
      <c r="V38" s="796" t="e">
        <f t="shared" si="8"/>
        <v>#DIV/0!</v>
      </c>
      <c r="W38" s="799">
        <f t="shared" si="0"/>
        <v>1.9349326461818057</v>
      </c>
      <c r="X38" s="799">
        <f t="shared" si="1"/>
        <v>1.0000000000000002</v>
      </c>
      <c r="Y38" s="788"/>
    </row>
    <row r="39" spans="1:25" s="789" customFormat="1" hidden="1" x14ac:dyDescent="0.2">
      <c r="A39" s="793"/>
      <c r="B39" s="794" t="s">
        <v>764</v>
      </c>
      <c r="C39" s="796"/>
      <c r="D39" s="796"/>
      <c r="E39" s="796"/>
      <c r="F39" s="796"/>
      <c r="G39" s="791">
        <f t="shared" si="5"/>
        <v>0</v>
      </c>
      <c r="H39" s="796"/>
      <c r="I39" s="796"/>
      <c r="J39" s="796"/>
      <c r="K39" s="791">
        <f t="shared" si="6"/>
        <v>0</v>
      </c>
      <c r="L39" s="792" t="e">
        <f t="shared" si="7"/>
        <v>#DIV/0!</v>
      </c>
      <c r="M39" s="796">
        <f t="shared" si="11"/>
        <v>0</v>
      </c>
      <c r="N39" s="796">
        <f t="shared" si="11"/>
        <v>0</v>
      </c>
      <c r="O39" s="796">
        <f t="shared" si="11"/>
        <v>0</v>
      </c>
      <c r="P39" s="791">
        <f t="shared" si="3"/>
        <v>0</v>
      </c>
      <c r="Q39" s="796"/>
      <c r="R39" s="796"/>
      <c r="S39" s="796"/>
      <c r="T39" s="791">
        <f t="shared" si="4"/>
        <v>0</v>
      </c>
      <c r="U39" s="796"/>
      <c r="V39" s="796" t="e">
        <f t="shared" si="8"/>
        <v>#DIV/0!</v>
      </c>
      <c r="W39" s="799" t="e">
        <f t="shared" si="0"/>
        <v>#DIV/0!</v>
      </c>
      <c r="X39" s="799" t="e">
        <f t="shared" si="1"/>
        <v>#DIV/0!</v>
      </c>
      <c r="Y39" s="788"/>
    </row>
    <row r="40" spans="1:25" s="789" customFormat="1" hidden="1" x14ac:dyDescent="0.2">
      <c r="A40" s="793"/>
      <c r="B40" s="794" t="s">
        <v>765</v>
      </c>
      <c r="C40" s="796"/>
      <c r="D40" s="796"/>
      <c r="E40" s="796"/>
      <c r="F40" s="796"/>
      <c r="G40" s="791">
        <f t="shared" si="5"/>
        <v>0</v>
      </c>
      <c r="H40" s="796"/>
      <c r="I40" s="796"/>
      <c r="J40" s="796"/>
      <c r="K40" s="791">
        <f t="shared" si="6"/>
        <v>0</v>
      </c>
      <c r="L40" s="792" t="e">
        <f t="shared" si="7"/>
        <v>#DIV/0!</v>
      </c>
      <c r="M40" s="796">
        <f t="shared" si="11"/>
        <v>0</v>
      </c>
      <c r="N40" s="796">
        <f t="shared" si="11"/>
        <v>0</v>
      </c>
      <c r="O40" s="796">
        <f t="shared" si="11"/>
        <v>0</v>
      </c>
      <c r="P40" s="791">
        <f t="shared" si="3"/>
        <v>0</v>
      </c>
      <c r="Q40" s="796"/>
      <c r="R40" s="796"/>
      <c r="S40" s="796"/>
      <c r="T40" s="791">
        <f t="shared" si="4"/>
        <v>0</v>
      </c>
      <c r="U40" s="796"/>
      <c r="V40" s="796" t="e">
        <f t="shared" si="8"/>
        <v>#DIV/0!</v>
      </c>
      <c r="W40" s="799" t="e">
        <f t="shared" si="0"/>
        <v>#DIV/0!</v>
      </c>
      <c r="X40" s="799" t="e">
        <f t="shared" si="1"/>
        <v>#DIV/0!</v>
      </c>
      <c r="Y40" s="788"/>
    </row>
    <row r="41" spans="1:25" s="789" customFormat="1" hidden="1" x14ac:dyDescent="0.2">
      <c r="A41" s="793"/>
      <c r="B41" s="794" t="s">
        <v>766</v>
      </c>
      <c r="C41" s="796"/>
      <c r="D41" s="796"/>
      <c r="E41" s="796"/>
      <c r="F41" s="796"/>
      <c r="G41" s="791">
        <f t="shared" si="5"/>
        <v>0</v>
      </c>
      <c r="H41" s="796"/>
      <c r="I41" s="796"/>
      <c r="J41" s="796"/>
      <c r="K41" s="791">
        <f t="shared" si="6"/>
        <v>0</v>
      </c>
      <c r="L41" s="792" t="e">
        <f t="shared" si="7"/>
        <v>#DIV/0!</v>
      </c>
      <c r="M41" s="796">
        <f t="shared" si="11"/>
        <v>0</v>
      </c>
      <c r="N41" s="796">
        <f t="shared" si="11"/>
        <v>0</v>
      </c>
      <c r="O41" s="796">
        <f t="shared" si="11"/>
        <v>0</v>
      </c>
      <c r="P41" s="791">
        <f t="shared" si="3"/>
        <v>0</v>
      </c>
      <c r="Q41" s="796"/>
      <c r="R41" s="796"/>
      <c r="S41" s="796"/>
      <c r="T41" s="791">
        <f t="shared" si="4"/>
        <v>0</v>
      </c>
      <c r="U41" s="796"/>
      <c r="V41" s="796" t="e">
        <f t="shared" si="8"/>
        <v>#DIV/0!</v>
      </c>
      <c r="W41" s="799" t="e">
        <f t="shared" si="0"/>
        <v>#DIV/0!</v>
      </c>
      <c r="X41" s="799" t="e">
        <f t="shared" si="1"/>
        <v>#DIV/0!</v>
      </c>
      <c r="Y41" s="788"/>
    </row>
    <row r="42" spans="1:25" s="789" customFormat="1" hidden="1" x14ac:dyDescent="0.2">
      <c r="A42" s="793"/>
      <c r="B42" s="794" t="s">
        <v>767</v>
      </c>
      <c r="C42" s="796"/>
      <c r="D42" s="796"/>
      <c r="E42" s="796"/>
      <c r="F42" s="796"/>
      <c r="G42" s="791">
        <f t="shared" si="5"/>
        <v>0</v>
      </c>
      <c r="H42" s="796"/>
      <c r="I42" s="796"/>
      <c r="J42" s="796"/>
      <c r="K42" s="791">
        <f t="shared" si="6"/>
        <v>0</v>
      </c>
      <c r="L42" s="792" t="e">
        <f t="shared" si="7"/>
        <v>#DIV/0!</v>
      </c>
      <c r="M42" s="796">
        <f t="shared" si="11"/>
        <v>0</v>
      </c>
      <c r="N42" s="796">
        <f t="shared" si="11"/>
        <v>0</v>
      </c>
      <c r="O42" s="796">
        <f t="shared" si="11"/>
        <v>0</v>
      </c>
      <c r="P42" s="791">
        <f t="shared" si="3"/>
        <v>0</v>
      </c>
      <c r="Q42" s="796"/>
      <c r="R42" s="796"/>
      <c r="S42" s="796"/>
      <c r="T42" s="791">
        <f t="shared" si="4"/>
        <v>0</v>
      </c>
      <c r="U42" s="796"/>
      <c r="V42" s="796" t="e">
        <f t="shared" si="8"/>
        <v>#DIV/0!</v>
      </c>
      <c r="W42" s="799" t="e">
        <f t="shared" si="0"/>
        <v>#DIV/0!</v>
      </c>
      <c r="X42" s="799" t="e">
        <f t="shared" si="1"/>
        <v>#DIV/0!</v>
      </c>
      <c r="Y42" s="788"/>
    </row>
    <row r="43" spans="1:25" s="789" customFormat="1" hidden="1" x14ac:dyDescent="0.2">
      <c r="A43" s="793"/>
      <c r="B43" s="800" t="s">
        <v>768</v>
      </c>
      <c r="C43" s="796"/>
      <c r="D43" s="796"/>
      <c r="E43" s="796"/>
      <c r="F43" s="796"/>
      <c r="G43" s="791">
        <f t="shared" si="5"/>
        <v>0</v>
      </c>
      <c r="H43" s="796"/>
      <c r="I43" s="796"/>
      <c r="J43" s="796"/>
      <c r="K43" s="791">
        <f t="shared" si="6"/>
        <v>0</v>
      </c>
      <c r="L43" s="792" t="e">
        <f t="shared" si="7"/>
        <v>#DIV/0!</v>
      </c>
      <c r="M43" s="796">
        <f t="shared" si="11"/>
        <v>0</v>
      </c>
      <c r="N43" s="796">
        <f t="shared" si="11"/>
        <v>0</v>
      </c>
      <c r="O43" s="796">
        <f t="shared" si="11"/>
        <v>0</v>
      </c>
      <c r="P43" s="791">
        <f t="shared" si="3"/>
        <v>0</v>
      </c>
      <c r="Q43" s="796"/>
      <c r="R43" s="796"/>
      <c r="S43" s="796"/>
      <c r="T43" s="791">
        <f t="shared" si="4"/>
        <v>0</v>
      </c>
      <c r="U43" s="796"/>
      <c r="V43" s="796" t="e">
        <f t="shared" si="8"/>
        <v>#DIV/0!</v>
      </c>
      <c r="W43" s="799" t="e">
        <f t="shared" si="0"/>
        <v>#DIV/0!</v>
      </c>
      <c r="X43" s="799" t="e">
        <f t="shared" si="1"/>
        <v>#DIV/0!</v>
      </c>
      <c r="Y43" s="788"/>
    </row>
    <row r="44" spans="1:25" s="789" customFormat="1" hidden="1" x14ac:dyDescent="0.2">
      <c r="A44" s="793"/>
      <c r="B44" s="794" t="s">
        <v>769</v>
      </c>
      <c r="C44" s="796"/>
      <c r="D44" s="796"/>
      <c r="E44" s="796"/>
      <c r="F44" s="796"/>
      <c r="G44" s="791">
        <f t="shared" si="5"/>
        <v>0</v>
      </c>
      <c r="H44" s="796"/>
      <c r="I44" s="796"/>
      <c r="J44" s="796"/>
      <c r="K44" s="791">
        <f t="shared" si="6"/>
        <v>0</v>
      </c>
      <c r="L44" s="792" t="e">
        <f t="shared" si="7"/>
        <v>#DIV/0!</v>
      </c>
      <c r="M44" s="796">
        <f t="shared" si="11"/>
        <v>0</v>
      </c>
      <c r="N44" s="796">
        <f t="shared" si="11"/>
        <v>0</v>
      </c>
      <c r="O44" s="796">
        <f t="shared" si="11"/>
        <v>0</v>
      </c>
      <c r="P44" s="791">
        <f t="shared" si="3"/>
        <v>0</v>
      </c>
      <c r="Q44" s="795"/>
      <c r="R44" s="796"/>
      <c r="S44" s="796"/>
      <c r="T44" s="791">
        <f t="shared" si="4"/>
        <v>0</v>
      </c>
      <c r="U44" s="796"/>
      <c r="V44" s="796" t="e">
        <f t="shared" si="8"/>
        <v>#DIV/0!</v>
      </c>
      <c r="W44" s="799" t="e">
        <f t="shared" si="0"/>
        <v>#DIV/0!</v>
      </c>
      <c r="X44" s="799" t="e">
        <f t="shared" si="1"/>
        <v>#DIV/0!</v>
      </c>
      <c r="Y44" s="788"/>
    </row>
    <row r="45" spans="1:25" s="789" customFormat="1" x14ac:dyDescent="0.2">
      <c r="A45" s="783"/>
      <c r="B45" s="790" t="s">
        <v>29</v>
      </c>
      <c r="C45" s="791">
        <f>+C46+C52+C60+C61+C47</f>
        <v>1659000</v>
      </c>
      <c r="D45" s="791">
        <f>+D46+D52+D60+D61+D62+D47+D48+D49+D50+D51</f>
        <v>1778000</v>
      </c>
      <c r="E45" s="791">
        <f>+E46+E52+E60+E61+E62+E47+E48+E49+E50+E51</f>
        <v>248000</v>
      </c>
      <c r="F45" s="791">
        <f>+F46+F52+F60+F61+F62+F47+F48+F49+F50+F51</f>
        <v>0</v>
      </c>
      <c r="G45" s="791">
        <f t="shared" si="5"/>
        <v>2026000</v>
      </c>
      <c r="H45" s="791">
        <f>+H46+H52+H60+H61+H62+H47+H48+H49+H50+H51</f>
        <v>1616833.86</v>
      </c>
      <c r="I45" s="791">
        <f>+I46+I52+I60+I61+I62+I47+I48+I49+I50+I51</f>
        <v>79393.47</v>
      </c>
      <c r="J45" s="791">
        <f>+J46+J52+J60+J61+J62+J47+J48+J49+J50+J51</f>
        <v>0</v>
      </c>
      <c r="K45" s="791">
        <f t="shared" si="6"/>
        <v>1696227.33</v>
      </c>
      <c r="L45" s="792">
        <f t="shared" si="7"/>
        <v>0.83722967917077995</v>
      </c>
      <c r="M45" s="791">
        <f>+M46+M52+M60+M61+M62+M47+M48+M49+M50+M51</f>
        <v>161166.1399999999</v>
      </c>
      <c r="N45" s="791">
        <f>+N46+N52+N60+N61+N62+N47+N48+N49+N50+N51</f>
        <v>168606.53</v>
      </c>
      <c r="O45" s="791">
        <f>+O46+O52+O60+O61+O62+O47+O48+O49+O50+O51</f>
        <v>0</v>
      </c>
      <c r="P45" s="791">
        <f t="shared" si="3"/>
        <v>329772.66999999993</v>
      </c>
      <c r="Q45" s="791">
        <f>+Q46+Q52+Q60+Q61+Q62+Q47+Q48+Q49+Q50+Q51</f>
        <v>1616832.8599999999</v>
      </c>
      <c r="R45" s="791">
        <f>+R46+R52+R60+R61+R62+R47+R48+R49+R50+R51</f>
        <v>79393.47</v>
      </c>
      <c r="S45" s="791">
        <f>+S46+S52+S60+S61+S62+S47+S48+S49+S50+S51</f>
        <v>0</v>
      </c>
      <c r="T45" s="791">
        <f t="shared" si="4"/>
        <v>1696226.3299999998</v>
      </c>
      <c r="U45" s="791">
        <f>+U46+U52+U60+U61+U62+U47+U48+U49+U50+U51</f>
        <v>1894885</v>
      </c>
      <c r="V45" s="791">
        <f t="shared" si="8"/>
        <v>0.89516056647237163</v>
      </c>
      <c r="W45" s="792">
        <f t="shared" si="0"/>
        <v>0.83722918558736414</v>
      </c>
      <c r="X45" s="792">
        <f t="shared" si="1"/>
        <v>0.99999941045638019</v>
      </c>
      <c r="Y45" s="788"/>
    </row>
    <row r="46" spans="1:25" s="789" customFormat="1" x14ac:dyDescent="0.2">
      <c r="A46" s="793"/>
      <c r="B46" s="794" t="s">
        <v>770</v>
      </c>
      <c r="C46" s="795">
        <f>D46</f>
        <v>1659000</v>
      </c>
      <c r="D46" s="796">
        <v>1659000</v>
      </c>
      <c r="E46" s="796"/>
      <c r="F46" s="796"/>
      <c r="G46" s="791">
        <f t="shared" si="5"/>
        <v>1659000</v>
      </c>
      <c r="H46" s="796">
        <f>+'detailed fund u'!AQ153</f>
        <v>1616833.86</v>
      </c>
      <c r="I46" s="796"/>
      <c r="J46" s="796"/>
      <c r="K46" s="791">
        <f t="shared" si="6"/>
        <v>1616833.86</v>
      </c>
      <c r="L46" s="792">
        <f t="shared" si="7"/>
        <v>0.9745833996383364</v>
      </c>
      <c r="M46" s="796">
        <f t="shared" ref="M46:O51" si="12">+D46-H46</f>
        <v>42166.139999999898</v>
      </c>
      <c r="N46" s="796">
        <f t="shared" si="12"/>
        <v>0</v>
      </c>
      <c r="O46" s="796">
        <f t="shared" si="12"/>
        <v>0</v>
      </c>
      <c r="P46" s="791">
        <f t="shared" ref="P46:P62" si="13">SUM(M46:O46)</f>
        <v>42166.139999999898</v>
      </c>
      <c r="Q46" s="796">
        <f>+'detailed fund u'!BK153</f>
        <v>1616832.8599999999</v>
      </c>
      <c r="R46" s="796"/>
      <c r="S46" s="796"/>
      <c r="T46" s="791">
        <f t="shared" si="4"/>
        <v>1616832.8599999999</v>
      </c>
      <c r="U46" s="796">
        <v>1659000</v>
      </c>
      <c r="V46" s="796">
        <f t="shared" si="8"/>
        <v>0.97458279686558158</v>
      </c>
      <c r="W46" s="799">
        <f t="shared" ref="W46:W62" si="14">+T46/G46</f>
        <v>0.97458279686558158</v>
      </c>
      <c r="X46" s="799">
        <f t="shared" ref="X46:X62" si="15">+T46/K46</f>
        <v>0.99999938150726242</v>
      </c>
      <c r="Y46" s="788"/>
    </row>
    <row r="47" spans="1:25" s="789" customFormat="1" x14ac:dyDescent="0.2">
      <c r="A47" s="793"/>
      <c r="B47" s="794" t="s">
        <v>771</v>
      </c>
      <c r="C47" s="795"/>
      <c r="D47" s="796">
        <v>119000</v>
      </c>
      <c r="E47" s="796"/>
      <c r="F47" s="796"/>
      <c r="G47" s="791">
        <f t="shared" si="5"/>
        <v>119000</v>
      </c>
      <c r="H47" s="796"/>
      <c r="I47" s="796"/>
      <c r="J47" s="796"/>
      <c r="K47" s="791">
        <f t="shared" si="6"/>
        <v>0</v>
      </c>
      <c r="L47" s="792">
        <f t="shared" si="7"/>
        <v>0</v>
      </c>
      <c r="M47" s="796">
        <f t="shared" si="12"/>
        <v>119000</v>
      </c>
      <c r="N47" s="796">
        <f t="shared" si="12"/>
        <v>0</v>
      </c>
      <c r="O47" s="796">
        <f t="shared" si="12"/>
        <v>0</v>
      </c>
      <c r="P47" s="791">
        <f t="shared" si="13"/>
        <v>119000</v>
      </c>
      <c r="Q47" s="796"/>
      <c r="R47" s="796"/>
      <c r="S47" s="796"/>
      <c r="T47" s="791">
        <f t="shared" si="4"/>
        <v>0</v>
      </c>
      <c r="U47" s="796"/>
      <c r="V47" s="796" t="e">
        <f t="shared" si="8"/>
        <v>#DIV/0!</v>
      </c>
      <c r="W47" s="799">
        <f t="shared" si="14"/>
        <v>0</v>
      </c>
      <c r="X47" s="799" t="e">
        <f t="shared" si="15"/>
        <v>#DIV/0!</v>
      </c>
      <c r="Y47" s="788"/>
    </row>
    <row r="48" spans="1:25" s="789" customFormat="1" hidden="1" x14ac:dyDescent="0.2">
      <c r="A48" s="793"/>
      <c r="B48" s="794" t="s">
        <v>772</v>
      </c>
      <c r="C48" s="796"/>
      <c r="D48" s="796"/>
      <c r="E48" s="796"/>
      <c r="F48" s="796"/>
      <c r="G48" s="791">
        <f t="shared" si="5"/>
        <v>0</v>
      </c>
      <c r="H48" s="796"/>
      <c r="I48" s="796"/>
      <c r="J48" s="796"/>
      <c r="K48" s="791">
        <f t="shared" si="6"/>
        <v>0</v>
      </c>
      <c r="L48" s="792" t="e">
        <f t="shared" si="7"/>
        <v>#DIV/0!</v>
      </c>
      <c r="M48" s="796">
        <f t="shared" si="12"/>
        <v>0</v>
      </c>
      <c r="N48" s="796">
        <f t="shared" si="12"/>
        <v>0</v>
      </c>
      <c r="O48" s="796">
        <f t="shared" si="12"/>
        <v>0</v>
      </c>
      <c r="P48" s="791">
        <f t="shared" si="13"/>
        <v>0</v>
      </c>
      <c r="Q48" s="796"/>
      <c r="R48" s="796"/>
      <c r="S48" s="796"/>
      <c r="T48" s="791">
        <f t="shared" si="4"/>
        <v>0</v>
      </c>
      <c r="U48" s="796"/>
      <c r="V48" s="796" t="e">
        <f t="shared" si="8"/>
        <v>#DIV/0!</v>
      </c>
      <c r="W48" s="799" t="e">
        <f t="shared" si="14"/>
        <v>#DIV/0!</v>
      </c>
      <c r="X48" s="799" t="e">
        <f t="shared" si="15"/>
        <v>#DIV/0!</v>
      </c>
      <c r="Y48" s="788"/>
    </row>
    <row r="49" spans="1:25" s="789" customFormat="1" hidden="1" x14ac:dyDescent="0.2">
      <c r="A49" s="793"/>
      <c r="B49" s="794" t="s">
        <v>773</v>
      </c>
      <c r="C49" s="796"/>
      <c r="D49" s="796"/>
      <c r="E49" s="796"/>
      <c r="F49" s="796"/>
      <c r="G49" s="791">
        <f t="shared" si="5"/>
        <v>0</v>
      </c>
      <c r="H49" s="796"/>
      <c r="I49" s="796"/>
      <c r="J49" s="796"/>
      <c r="K49" s="791">
        <f t="shared" si="6"/>
        <v>0</v>
      </c>
      <c r="L49" s="792" t="e">
        <f t="shared" si="7"/>
        <v>#DIV/0!</v>
      </c>
      <c r="M49" s="796">
        <f t="shared" si="12"/>
        <v>0</v>
      </c>
      <c r="N49" s="796">
        <f t="shared" si="12"/>
        <v>0</v>
      </c>
      <c r="O49" s="796">
        <f t="shared" si="12"/>
        <v>0</v>
      </c>
      <c r="P49" s="791">
        <f t="shared" si="13"/>
        <v>0</v>
      </c>
      <c r="Q49" s="796"/>
      <c r="R49" s="796"/>
      <c r="S49" s="796"/>
      <c r="T49" s="791">
        <f t="shared" si="4"/>
        <v>0</v>
      </c>
      <c r="U49" s="796"/>
      <c r="V49" s="796" t="e">
        <f t="shared" si="8"/>
        <v>#DIV/0!</v>
      </c>
      <c r="W49" s="799" t="e">
        <f t="shared" si="14"/>
        <v>#DIV/0!</v>
      </c>
      <c r="X49" s="799" t="e">
        <f t="shared" si="15"/>
        <v>#DIV/0!</v>
      </c>
      <c r="Y49" s="788"/>
    </row>
    <row r="50" spans="1:25" s="789" customFormat="1" x14ac:dyDescent="0.2">
      <c r="A50" s="793"/>
      <c r="B50" s="794" t="s">
        <v>774</v>
      </c>
      <c r="C50" s="796"/>
      <c r="D50" s="796"/>
      <c r="E50" s="796">
        <v>248000</v>
      </c>
      <c r="F50" s="796"/>
      <c r="G50" s="791">
        <f t="shared" si="5"/>
        <v>248000</v>
      </c>
      <c r="H50" s="796"/>
      <c r="I50" s="796">
        <f>+'detailed fund u'!AR166</f>
        <v>79393.47</v>
      </c>
      <c r="J50" s="796"/>
      <c r="K50" s="791">
        <f t="shared" si="6"/>
        <v>79393.47</v>
      </c>
      <c r="L50" s="792">
        <f t="shared" si="7"/>
        <v>0.32013495967741934</v>
      </c>
      <c r="M50" s="796">
        <f t="shared" si="12"/>
        <v>0</v>
      </c>
      <c r="N50" s="796">
        <f t="shared" si="12"/>
        <v>168606.53</v>
      </c>
      <c r="O50" s="796">
        <f t="shared" si="12"/>
        <v>0</v>
      </c>
      <c r="P50" s="791">
        <f t="shared" si="13"/>
        <v>168606.53</v>
      </c>
      <c r="Q50" s="796"/>
      <c r="R50" s="796">
        <f>+'detailed fund u'!BL167</f>
        <v>79393.47</v>
      </c>
      <c r="S50" s="796"/>
      <c r="T50" s="791">
        <f t="shared" si="4"/>
        <v>79393.47</v>
      </c>
      <c r="U50" s="796">
        <f>123618+112267</f>
        <v>235885</v>
      </c>
      <c r="V50" s="796">
        <f t="shared" si="8"/>
        <v>0.33657701846238636</v>
      </c>
      <c r="W50" s="799">
        <f t="shared" si="14"/>
        <v>0.32013495967741934</v>
      </c>
      <c r="X50" s="799">
        <f t="shared" si="15"/>
        <v>1</v>
      </c>
      <c r="Y50" s="788"/>
    </row>
    <row r="51" spans="1:25" s="789" customFormat="1" hidden="1" x14ac:dyDescent="0.2">
      <c r="A51" s="793"/>
      <c r="B51" s="794" t="s">
        <v>769</v>
      </c>
      <c r="C51" s="796"/>
      <c r="D51" s="796"/>
      <c r="E51" s="796"/>
      <c r="F51" s="796"/>
      <c r="G51" s="791">
        <f t="shared" si="5"/>
        <v>0</v>
      </c>
      <c r="H51" s="796"/>
      <c r="I51" s="796"/>
      <c r="J51" s="796"/>
      <c r="K51" s="791">
        <f t="shared" si="6"/>
        <v>0</v>
      </c>
      <c r="L51" s="792" t="e">
        <f t="shared" si="7"/>
        <v>#DIV/0!</v>
      </c>
      <c r="M51" s="796">
        <f t="shared" si="12"/>
        <v>0</v>
      </c>
      <c r="N51" s="796">
        <f t="shared" si="12"/>
        <v>0</v>
      </c>
      <c r="O51" s="796">
        <f t="shared" si="12"/>
        <v>0</v>
      </c>
      <c r="P51" s="791">
        <f t="shared" si="13"/>
        <v>0</v>
      </c>
      <c r="Q51" s="796"/>
      <c r="R51" s="796"/>
      <c r="S51" s="796"/>
      <c r="T51" s="791">
        <f t="shared" si="4"/>
        <v>0</v>
      </c>
      <c r="U51" s="796"/>
      <c r="V51" s="796" t="e">
        <f t="shared" si="8"/>
        <v>#DIV/0!</v>
      </c>
      <c r="W51" s="799" t="e">
        <f t="shared" si="14"/>
        <v>#DIV/0!</v>
      </c>
      <c r="X51" s="799" t="e">
        <f t="shared" si="15"/>
        <v>#DIV/0!</v>
      </c>
      <c r="Y51" s="788"/>
    </row>
    <row r="52" spans="1:25" s="789" customFormat="1" hidden="1" x14ac:dyDescent="0.2">
      <c r="A52" s="783"/>
      <c r="B52" s="801" t="s">
        <v>31</v>
      </c>
      <c r="C52" s="791">
        <f>SUM(C53:C59)</f>
        <v>0</v>
      </c>
      <c r="D52" s="791">
        <f>SUM(D53:D59)</f>
        <v>0</v>
      </c>
      <c r="E52" s="791">
        <f>SUM(E53:E59)</f>
        <v>0</v>
      </c>
      <c r="F52" s="791">
        <f>SUM(F53:F59)</f>
        <v>0</v>
      </c>
      <c r="G52" s="791">
        <f t="shared" si="5"/>
        <v>0</v>
      </c>
      <c r="H52" s="791">
        <f>SUM(H53:H59)</f>
        <v>0</v>
      </c>
      <c r="I52" s="791">
        <f>SUM(I53:I59)</f>
        <v>0</v>
      </c>
      <c r="J52" s="791">
        <f>SUM(J53:J59)</f>
        <v>0</v>
      </c>
      <c r="K52" s="791">
        <f t="shared" si="6"/>
        <v>0</v>
      </c>
      <c r="L52" s="792" t="e">
        <f t="shared" si="7"/>
        <v>#DIV/0!</v>
      </c>
      <c r="M52" s="791">
        <f>SUM(M53:M59)</f>
        <v>0</v>
      </c>
      <c r="N52" s="791">
        <f>SUM(N53:N59)</f>
        <v>0</v>
      </c>
      <c r="O52" s="791">
        <f>SUM(O53:O59)</f>
        <v>0</v>
      </c>
      <c r="P52" s="791">
        <f t="shared" si="13"/>
        <v>0</v>
      </c>
      <c r="Q52" s="791">
        <f>SUM(Q53:Q59)</f>
        <v>0</v>
      </c>
      <c r="R52" s="791">
        <f>SUM(R53:R59)</f>
        <v>0</v>
      </c>
      <c r="S52" s="791">
        <f>SUM(S53:S59)</f>
        <v>0</v>
      </c>
      <c r="T52" s="791">
        <f t="shared" si="4"/>
        <v>0</v>
      </c>
      <c r="U52" s="791">
        <f>SUM(U53:U59)</f>
        <v>0</v>
      </c>
      <c r="V52" s="791" t="e">
        <f t="shared" si="8"/>
        <v>#DIV/0!</v>
      </c>
      <c r="W52" s="792" t="e">
        <f t="shared" si="14"/>
        <v>#DIV/0!</v>
      </c>
      <c r="X52" s="792" t="e">
        <f t="shared" si="15"/>
        <v>#DIV/0!</v>
      </c>
      <c r="Y52" s="788"/>
    </row>
    <row r="53" spans="1:25" s="789" customFormat="1" hidden="1" x14ac:dyDescent="0.2">
      <c r="A53" s="793"/>
      <c r="B53" s="794" t="s">
        <v>32</v>
      </c>
      <c r="C53" s="796"/>
      <c r="D53" s="796"/>
      <c r="E53" s="796"/>
      <c r="F53" s="796"/>
      <c r="G53" s="791">
        <f t="shared" si="5"/>
        <v>0</v>
      </c>
      <c r="H53" s="796"/>
      <c r="I53" s="796"/>
      <c r="J53" s="796"/>
      <c r="K53" s="791">
        <f t="shared" si="6"/>
        <v>0</v>
      </c>
      <c r="L53" s="792" t="e">
        <f t="shared" si="7"/>
        <v>#DIV/0!</v>
      </c>
      <c r="M53" s="796">
        <f t="shared" ref="M53:O61" si="16">+D53-H53</f>
        <v>0</v>
      </c>
      <c r="N53" s="796">
        <f t="shared" si="16"/>
        <v>0</v>
      </c>
      <c r="O53" s="796">
        <f t="shared" si="16"/>
        <v>0</v>
      </c>
      <c r="P53" s="791">
        <f t="shared" si="13"/>
        <v>0</v>
      </c>
      <c r="Q53" s="796"/>
      <c r="R53" s="796"/>
      <c r="S53" s="796"/>
      <c r="T53" s="791">
        <f t="shared" si="4"/>
        <v>0</v>
      </c>
      <c r="U53" s="796"/>
      <c r="V53" s="796" t="e">
        <f t="shared" si="8"/>
        <v>#DIV/0!</v>
      </c>
      <c r="W53" s="799" t="e">
        <f t="shared" si="14"/>
        <v>#DIV/0!</v>
      </c>
      <c r="X53" s="799" t="e">
        <f t="shared" si="15"/>
        <v>#DIV/0!</v>
      </c>
      <c r="Y53" s="788"/>
    </row>
    <row r="54" spans="1:25" s="789" customFormat="1" hidden="1" x14ac:dyDescent="0.2">
      <c r="A54" s="793"/>
      <c r="B54" s="794" t="s">
        <v>33</v>
      </c>
      <c r="C54" s="796"/>
      <c r="D54" s="796"/>
      <c r="E54" s="796"/>
      <c r="F54" s="796"/>
      <c r="G54" s="791">
        <f t="shared" si="5"/>
        <v>0</v>
      </c>
      <c r="H54" s="796"/>
      <c r="I54" s="796"/>
      <c r="J54" s="796"/>
      <c r="K54" s="791">
        <f t="shared" si="6"/>
        <v>0</v>
      </c>
      <c r="L54" s="792" t="e">
        <f t="shared" si="7"/>
        <v>#DIV/0!</v>
      </c>
      <c r="M54" s="796">
        <f t="shared" si="16"/>
        <v>0</v>
      </c>
      <c r="N54" s="796">
        <f t="shared" si="16"/>
        <v>0</v>
      </c>
      <c r="O54" s="796">
        <f t="shared" si="16"/>
        <v>0</v>
      </c>
      <c r="P54" s="791">
        <f t="shared" si="13"/>
        <v>0</v>
      </c>
      <c r="Q54" s="796"/>
      <c r="R54" s="796"/>
      <c r="S54" s="796"/>
      <c r="T54" s="791">
        <f t="shared" si="4"/>
        <v>0</v>
      </c>
      <c r="U54" s="796"/>
      <c r="V54" s="796" t="e">
        <f t="shared" si="8"/>
        <v>#DIV/0!</v>
      </c>
      <c r="W54" s="799" t="e">
        <f t="shared" si="14"/>
        <v>#DIV/0!</v>
      </c>
      <c r="X54" s="799" t="e">
        <f t="shared" si="15"/>
        <v>#DIV/0!</v>
      </c>
      <c r="Y54" s="788"/>
    </row>
    <row r="55" spans="1:25" s="789" customFormat="1" hidden="1" x14ac:dyDescent="0.2">
      <c r="A55" s="793"/>
      <c r="B55" s="794" t="s">
        <v>775</v>
      </c>
      <c r="C55" s="796"/>
      <c r="D55" s="796"/>
      <c r="E55" s="796"/>
      <c r="F55" s="796"/>
      <c r="G55" s="791">
        <f t="shared" si="5"/>
        <v>0</v>
      </c>
      <c r="H55" s="796"/>
      <c r="I55" s="796"/>
      <c r="J55" s="796"/>
      <c r="K55" s="791">
        <f t="shared" si="6"/>
        <v>0</v>
      </c>
      <c r="L55" s="792" t="e">
        <f t="shared" si="7"/>
        <v>#DIV/0!</v>
      </c>
      <c r="M55" s="796">
        <f t="shared" si="16"/>
        <v>0</v>
      </c>
      <c r="N55" s="796">
        <f t="shared" si="16"/>
        <v>0</v>
      </c>
      <c r="O55" s="796">
        <f t="shared" si="16"/>
        <v>0</v>
      </c>
      <c r="P55" s="791">
        <f t="shared" si="13"/>
        <v>0</v>
      </c>
      <c r="Q55" s="796"/>
      <c r="R55" s="796"/>
      <c r="S55" s="796"/>
      <c r="T55" s="791">
        <f t="shared" si="4"/>
        <v>0</v>
      </c>
      <c r="U55" s="796"/>
      <c r="V55" s="796" t="e">
        <f t="shared" si="8"/>
        <v>#DIV/0!</v>
      </c>
      <c r="W55" s="799" t="e">
        <f t="shared" si="14"/>
        <v>#DIV/0!</v>
      </c>
      <c r="X55" s="799" t="e">
        <f t="shared" si="15"/>
        <v>#DIV/0!</v>
      </c>
      <c r="Y55" s="788"/>
    </row>
    <row r="56" spans="1:25" s="789" customFormat="1" hidden="1" x14ac:dyDescent="0.2">
      <c r="A56" s="793"/>
      <c r="B56" s="794" t="s">
        <v>34</v>
      </c>
      <c r="C56" s="796"/>
      <c r="D56" s="796"/>
      <c r="E56" s="796"/>
      <c r="F56" s="796"/>
      <c r="G56" s="791">
        <f t="shared" si="5"/>
        <v>0</v>
      </c>
      <c r="H56" s="796"/>
      <c r="I56" s="796"/>
      <c r="J56" s="796"/>
      <c r="K56" s="791">
        <f t="shared" si="6"/>
        <v>0</v>
      </c>
      <c r="L56" s="792" t="e">
        <f t="shared" si="7"/>
        <v>#DIV/0!</v>
      </c>
      <c r="M56" s="796">
        <f t="shared" si="16"/>
        <v>0</v>
      </c>
      <c r="N56" s="796">
        <f t="shared" si="16"/>
        <v>0</v>
      </c>
      <c r="O56" s="796">
        <f t="shared" si="16"/>
        <v>0</v>
      </c>
      <c r="P56" s="791">
        <f t="shared" si="13"/>
        <v>0</v>
      </c>
      <c r="Q56" s="796"/>
      <c r="R56" s="796"/>
      <c r="S56" s="796"/>
      <c r="T56" s="791">
        <f t="shared" si="4"/>
        <v>0</v>
      </c>
      <c r="U56" s="796"/>
      <c r="V56" s="796" t="e">
        <f t="shared" si="8"/>
        <v>#DIV/0!</v>
      </c>
      <c r="W56" s="799" t="e">
        <f t="shared" si="14"/>
        <v>#DIV/0!</v>
      </c>
      <c r="X56" s="799" t="e">
        <f t="shared" si="15"/>
        <v>#DIV/0!</v>
      </c>
      <c r="Y56" s="788"/>
    </row>
    <row r="57" spans="1:25" s="789" customFormat="1" hidden="1" x14ac:dyDescent="0.2">
      <c r="A57" s="793"/>
      <c r="B57" s="794" t="s">
        <v>35</v>
      </c>
      <c r="C57" s="796"/>
      <c r="D57" s="796"/>
      <c r="E57" s="796"/>
      <c r="F57" s="796"/>
      <c r="G57" s="791">
        <f t="shared" si="5"/>
        <v>0</v>
      </c>
      <c r="H57" s="796"/>
      <c r="I57" s="796"/>
      <c r="J57" s="796"/>
      <c r="K57" s="791">
        <f t="shared" si="6"/>
        <v>0</v>
      </c>
      <c r="L57" s="792" t="e">
        <f t="shared" si="7"/>
        <v>#DIV/0!</v>
      </c>
      <c r="M57" s="796">
        <f t="shared" si="16"/>
        <v>0</v>
      </c>
      <c r="N57" s="796">
        <f t="shared" si="16"/>
        <v>0</v>
      </c>
      <c r="O57" s="796">
        <f t="shared" si="16"/>
        <v>0</v>
      </c>
      <c r="P57" s="791">
        <f t="shared" si="13"/>
        <v>0</v>
      </c>
      <c r="Q57" s="796"/>
      <c r="R57" s="796"/>
      <c r="S57" s="796"/>
      <c r="T57" s="791">
        <f t="shared" si="4"/>
        <v>0</v>
      </c>
      <c r="U57" s="796"/>
      <c r="V57" s="796" t="e">
        <f t="shared" si="8"/>
        <v>#DIV/0!</v>
      </c>
      <c r="W57" s="799" t="e">
        <f t="shared" si="14"/>
        <v>#DIV/0!</v>
      </c>
      <c r="X57" s="799" t="e">
        <f t="shared" si="15"/>
        <v>#DIV/0!</v>
      </c>
      <c r="Y57" s="788"/>
    </row>
    <row r="58" spans="1:25" s="789" customFormat="1" hidden="1" x14ac:dyDescent="0.2">
      <c r="A58" s="793"/>
      <c r="B58" s="794" t="s">
        <v>36</v>
      </c>
      <c r="C58" s="796"/>
      <c r="D58" s="796"/>
      <c r="E58" s="796"/>
      <c r="F58" s="796"/>
      <c r="G58" s="791">
        <f t="shared" si="5"/>
        <v>0</v>
      </c>
      <c r="H58" s="796"/>
      <c r="I58" s="796"/>
      <c r="J58" s="796"/>
      <c r="K58" s="791">
        <f t="shared" si="6"/>
        <v>0</v>
      </c>
      <c r="L58" s="792" t="e">
        <f t="shared" si="7"/>
        <v>#DIV/0!</v>
      </c>
      <c r="M58" s="796">
        <f t="shared" si="16"/>
        <v>0</v>
      </c>
      <c r="N58" s="796">
        <f t="shared" si="16"/>
        <v>0</v>
      </c>
      <c r="O58" s="796">
        <f t="shared" si="16"/>
        <v>0</v>
      </c>
      <c r="P58" s="791">
        <f t="shared" si="13"/>
        <v>0</v>
      </c>
      <c r="Q58" s="796"/>
      <c r="R58" s="796"/>
      <c r="S58" s="796"/>
      <c r="T58" s="791">
        <f t="shared" si="4"/>
        <v>0</v>
      </c>
      <c r="U58" s="796"/>
      <c r="V58" s="796" t="e">
        <f t="shared" si="8"/>
        <v>#DIV/0!</v>
      </c>
      <c r="W58" s="799" t="e">
        <f t="shared" si="14"/>
        <v>#DIV/0!</v>
      </c>
      <c r="X58" s="799" t="e">
        <f t="shared" si="15"/>
        <v>#DIV/0!</v>
      </c>
      <c r="Y58" s="788"/>
    </row>
    <row r="59" spans="1:25" s="789" customFormat="1" hidden="1" x14ac:dyDescent="0.2">
      <c r="A59" s="793"/>
      <c r="B59" s="794" t="s">
        <v>776</v>
      </c>
      <c r="C59" s="796"/>
      <c r="D59" s="796"/>
      <c r="E59" s="796"/>
      <c r="F59" s="796"/>
      <c r="G59" s="791">
        <f t="shared" si="5"/>
        <v>0</v>
      </c>
      <c r="H59" s="796"/>
      <c r="I59" s="796"/>
      <c r="J59" s="796"/>
      <c r="K59" s="791">
        <f t="shared" si="6"/>
        <v>0</v>
      </c>
      <c r="L59" s="792" t="e">
        <f t="shared" si="7"/>
        <v>#DIV/0!</v>
      </c>
      <c r="M59" s="796">
        <f t="shared" si="16"/>
        <v>0</v>
      </c>
      <c r="N59" s="796">
        <f t="shared" si="16"/>
        <v>0</v>
      </c>
      <c r="O59" s="796">
        <f t="shared" si="16"/>
        <v>0</v>
      </c>
      <c r="P59" s="791">
        <f t="shared" si="13"/>
        <v>0</v>
      </c>
      <c r="Q59" s="796"/>
      <c r="R59" s="796"/>
      <c r="S59" s="796"/>
      <c r="T59" s="791">
        <f t="shared" si="4"/>
        <v>0</v>
      </c>
      <c r="U59" s="796"/>
      <c r="V59" s="796" t="e">
        <f t="shared" si="8"/>
        <v>#DIV/0!</v>
      </c>
      <c r="W59" s="799" t="e">
        <f t="shared" si="14"/>
        <v>#DIV/0!</v>
      </c>
      <c r="X59" s="799" t="e">
        <f t="shared" si="15"/>
        <v>#DIV/0!</v>
      </c>
      <c r="Y59" s="788"/>
    </row>
    <row r="60" spans="1:25" s="789" customFormat="1" hidden="1" x14ac:dyDescent="0.2">
      <c r="A60" s="793"/>
      <c r="B60" s="794" t="s">
        <v>37</v>
      </c>
      <c r="C60" s="796"/>
      <c r="D60" s="796"/>
      <c r="E60" s="796"/>
      <c r="F60" s="796"/>
      <c r="G60" s="791">
        <f t="shared" si="5"/>
        <v>0</v>
      </c>
      <c r="H60" s="796"/>
      <c r="I60" s="796"/>
      <c r="J60" s="796"/>
      <c r="K60" s="791">
        <f t="shared" si="6"/>
        <v>0</v>
      </c>
      <c r="L60" s="792" t="e">
        <f t="shared" si="7"/>
        <v>#DIV/0!</v>
      </c>
      <c r="M60" s="796">
        <f t="shared" si="16"/>
        <v>0</v>
      </c>
      <c r="N60" s="796">
        <f t="shared" si="16"/>
        <v>0</v>
      </c>
      <c r="O60" s="796">
        <f t="shared" si="16"/>
        <v>0</v>
      </c>
      <c r="P60" s="791">
        <f t="shared" si="13"/>
        <v>0</v>
      </c>
      <c r="Q60" s="796"/>
      <c r="R60" s="796"/>
      <c r="S60" s="796"/>
      <c r="T60" s="791">
        <f t="shared" si="4"/>
        <v>0</v>
      </c>
      <c r="U60" s="796"/>
      <c r="V60" s="796" t="e">
        <f t="shared" si="8"/>
        <v>#DIV/0!</v>
      </c>
      <c r="W60" s="799" t="e">
        <f t="shared" si="14"/>
        <v>#DIV/0!</v>
      </c>
      <c r="X60" s="799" t="e">
        <f t="shared" si="15"/>
        <v>#DIV/0!</v>
      </c>
      <c r="Y60" s="788"/>
    </row>
    <row r="61" spans="1:25" s="789" customFormat="1" hidden="1" x14ac:dyDescent="0.2">
      <c r="A61" s="793"/>
      <c r="B61" s="794" t="s">
        <v>777</v>
      </c>
      <c r="C61" s="796"/>
      <c r="D61" s="796"/>
      <c r="E61" s="796"/>
      <c r="F61" s="796"/>
      <c r="G61" s="791">
        <f t="shared" si="5"/>
        <v>0</v>
      </c>
      <c r="H61" s="796"/>
      <c r="I61" s="796"/>
      <c r="J61" s="796"/>
      <c r="K61" s="791">
        <f t="shared" si="6"/>
        <v>0</v>
      </c>
      <c r="L61" s="792" t="e">
        <f t="shared" si="7"/>
        <v>#DIV/0!</v>
      </c>
      <c r="M61" s="796">
        <f t="shared" si="16"/>
        <v>0</v>
      </c>
      <c r="N61" s="796">
        <f t="shared" si="16"/>
        <v>0</v>
      </c>
      <c r="O61" s="796">
        <f t="shared" si="16"/>
        <v>0</v>
      </c>
      <c r="P61" s="791">
        <f t="shared" si="13"/>
        <v>0</v>
      </c>
      <c r="Q61" s="796"/>
      <c r="R61" s="796"/>
      <c r="S61" s="796"/>
      <c r="T61" s="791">
        <f t="shared" si="4"/>
        <v>0</v>
      </c>
      <c r="U61" s="796"/>
      <c r="V61" s="796" t="e">
        <f t="shared" si="8"/>
        <v>#DIV/0!</v>
      </c>
      <c r="W61" s="799" t="e">
        <f t="shared" si="14"/>
        <v>#DIV/0!</v>
      </c>
      <c r="X61" s="799" t="e">
        <f t="shared" si="15"/>
        <v>#DIV/0!</v>
      </c>
      <c r="Y61" s="788"/>
    </row>
    <row r="62" spans="1:25" s="789" customFormat="1" hidden="1" x14ac:dyDescent="0.2">
      <c r="A62" s="793"/>
      <c r="B62" s="794"/>
      <c r="C62" s="796"/>
      <c r="D62" s="796"/>
      <c r="E62" s="796"/>
      <c r="F62" s="796"/>
      <c r="G62" s="791">
        <f t="shared" si="5"/>
        <v>0</v>
      </c>
      <c r="H62" s="796"/>
      <c r="I62" s="796"/>
      <c r="J62" s="796"/>
      <c r="K62" s="791">
        <f t="shared" si="6"/>
        <v>0</v>
      </c>
      <c r="L62" s="792" t="e">
        <f t="shared" si="7"/>
        <v>#DIV/0!</v>
      </c>
      <c r="M62" s="796"/>
      <c r="N62" s="796"/>
      <c r="O62" s="796"/>
      <c r="P62" s="791">
        <f t="shared" si="13"/>
        <v>0</v>
      </c>
      <c r="Q62" s="796"/>
      <c r="R62" s="796"/>
      <c r="S62" s="796"/>
      <c r="T62" s="791">
        <f t="shared" si="4"/>
        <v>0</v>
      </c>
      <c r="U62" s="796"/>
      <c r="V62" s="796" t="e">
        <f t="shared" si="8"/>
        <v>#DIV/0!</v>
      </c>
      <c r="W62" s="799" t="e">
        <f t="shared" si="14"/>
        <v>#DIV/0!</v>
      </c>
      <c r="X62" s="799" t="e">
        <f t="shared" si="15"/>
        <v>#DIV/0!</v>
      </c>
      <c r="Y62" s="788"/>
    </row>
    <row r="63" spans="1:25" s="789" customFormat="1" x14ac:dyDescent="0.2">
      <c r="A63" s="793"/>
      <c r="B63" s="794"/>
      <c r="C63" s="795"/>
      <c r="D63" s="795"/>
      <c r="E63" s="795"/>
      <c r="F63" s="795"/>
      <c r="G63" s="791"/>
      <c r="H63" s="795"/>
      <c r="I63" s="795"/>
      <c r="J63" s="795"/>
      <c r="K63" s="791">
        <f>SUM(H63:J63)</f>
        <v>0</v>
      </c>
      <c r="L63" s="792" t="e">
        <f t="shared" si="7"/>
        <v>#DIV/0!</v>
      </c>
      <c r="M63" s="795"/>
      <c r="N63" s="795"/>
      <c r="O63" s="795"/>
      <c r="P63" s="791">
        <f>SUM(M63:O63)</f>
        <v>0</v>
      </c>
      <c r="Q63" s="795"/>
      <c r="R63" s="795"/>
      <c r="S63" s="795"/>
      <c r="T63" s="791">
        <f>SUM(Q63:S63)</f>
        <v>0</v>
      </c>
      <c r="U63" s="796"/>
      <c r="V63" s="796"/>
      <c r="W63" s="799" t="e">
        <f>+S63/K63</f>
        <v>#DIV/0!</v>
      </c>
      <c r="X63" s="799" t="e">
        <f>+T63/L63</f>
        <v>#DIV/0!</v>
      </c>
      <c r="Y63" s="788"/>
    </row>
    <row r="64" spans="1:25" s="789" customFormat="1" x14ac:dyDescent="0.2">
      <c r="A64" s="783"/>
      <c r="B64" s="784" t="s">
        <v>521</v>
      </c>
      <c r="C64" s="786">
        <f>+C65+C66+C75+C88+C96+C97+C68+C67</f>
        <v>869080</v>
      </c>
      <c r="D64" s="786">
        <f>+D65+D66+D75+D88+D96+D97+D68+D67</f>
        <v>0</v>
      </c>
      <c r="E64" s="786">
        <f>+E65+E66+E75+E88+E96+E97+E68+E67</f>
        <v>869080</v>
      </c>
      <c r="F64" s="786">
        <f>+F65+F66+F75+F88+F96+F97+F68+F67</f>
        <v>0</v>
      </c>
      <c r="G64" s="786">
        <f>SUM(D64:F64)</f>
        <v>869080</v>
      </c>
      <c r="H64" s="786">
        <f>+H65+H66+H75+H88+H96+H97+H68+H67</f>
        <v>0</v>
      </c>
      <c r="I64" s="786">
        <f>+I65+I66+I75+I88+I96+I97+I68+I67</f>
        <v>813548.35</v>
      </c>
      <c r="J64" s="786">
        <f>+J65+J66+J75+J88+J96+J97+J68+J67</f>
        <v>0</v>
      </c>
      <c r="K64" s="786">
        <f>SUM(H64:J64)</f>
        <v>813548.35</v>
      </c>
      <c r="L64" s="802">
        <f t="shared" si="7"/>
        <v>0.9361029479449533</v>
      </c>
      <c r="M64" s="786">
        <f>+M65+M66+M75+M88+M96+M97+M68+M67</f>
        <v>0</v>
      </c>
      <c r="N64" s="786">
        <f>+N65+N66+N75+N88+N96+N97+N68+N67</f>
        <v>55531.650000000023</v>
      </c>
      <c r="O64" s="786">
        <f>+O65+O66+O75+O88+O96+O97+O68+O67</f>
        <v>0</v>
      </c>
      <c r="P64" s="786">
        <f>SUM(M64:O64)</f>
        <v>55531.650000000023</v>
      </c>
      <c r="Q64" s="786">
        <f>+Q65+Q66+Q75+Q88+Q96+Q97+Q68+Q67</f>
        <v>0</v>
      </c>
      <c r="R64" s="786">
        <f>+R65+R66+R75+R88+R96+R97+R68+R67</f>
        <v>813548.35</v>
      </c>
      <c r="S64" s="786">
        <f>+S65+S66+S75+S88+S96+S97+S68+S67</f>
        <v>0</v>
      </c>
      <c r="T64" s="786">
        <f>SUM(Q64:S64)</f>
        <v>813548.35</v>
      </c>
      <c r="U64" s="786">
        <f>+U65+U66+U75+U88+U96+U97+U68+U67</f>
        <v>0</v>
      </c>
      <c r="V64" s="786" t="e">
        <f>+T64/U64</f>
        <v>#DIV/0!</v>
      </c>
      <c r="W64" s="787">
        <f t="shared" ref="W64:W97" si="17">+T64/G64</f>
        <v>0.9361029479449533</v>
      </c>
      <c r="X64" s="787">
        <f t="shared" ref="X64:X97" si="18">+T64/K64</f>
        <v>1</v>
      </c>
      <c r="Y64" s="788"/>
    </row>
    <row r="65" spans="1:25" s="789" customFormat="1" x14ac:dyDescent="0.2">
      <c r="A65" s="793"/>
      <c r="B65" s="794" t="s">
        <v>39</v>
      </c>
      <c r="C65" s="795">
        <f>E65</f>
        <v>869080</v>
      </c>
      <c r="D65" s="796"/>
      <c r="E65" s="796">
        <v>869080</v>
      </c>
      <c r="F65" s="796"/>
      <c r="G65" s="791">
        <f>SUM(D65:F65)</f>
        <v>869080</v>
      </c>
      <c r="H65" s="796"/>
      <c r="I65" s="796">
        <f>+'detailed fund u'!AR168</f>
        <v>813548.35</v>
      </c>
      <c r="J65" s="796"/>
      <c r="K65" s="791">
        <f>SUM(H65:J65)</f>
        <v>813548.35</v>
      </c>
      <c r="L65" s="792">
        <f t="shared" si="7"/>
        <v>0.9361029479449533</v>
      </c>
      <c r="M65" s="796">
        <f t="shared" ref="M65:O67" si="19">+D65-H65</f>
        <v>0</v>
      </c>
      <c r="N65" s="796">
        <f t="shared" si="19"/>
        <v>55531.650000000023</v>
      </c>
      <c r="O65" s="796">
        <f t="shared" si="19"/>
        <v>0</v>
      </c>
      <c r="P65" s="791">
        <f>SUM(M65:O65)</f>
        <v>55531.650000000023</v>
      </c>
      <c r="Q65" s="796"/>
      <c r="R65" s="796">
        <f>+'detailed fund u'!BN168</f>
        <v>813548.35</v>
      </c>
      <c r="S65" s="796"/>
      <c r="T65" s="791">
        <f>SUM(Q65:S65)</f>
        <v>813548.35</v>
      </c>
      <c r="U65" s="796"/>
      <c r="V65" s="796" t="e">
        <f>+T65/U65</f>
        <v>#DIV/0!</v>
      </c>
      <c r="W65" s="799">
        <f t="shared" si="17"/>
        <v>0.9361029479449533</v>
      </c>
      <c r="X65" s="799">
        <f t="shared" si="18"/>
        <v>1</v>
      </c>
      <c r="Y65" s="788"/>
    </row>
    <row r="66" spans="1:25" s="789" customFormat="1" hidden="1" x14ac:dyDescent="0.2">
      <c r="A66" s="793"/>
      <c r="B66" s="794" t="s">
        <v>40</v>
      </c>
      <c r="C66" s="795">
        <f>+G66</f>
        <v>0</v>
      </c>
      <c r="D66" s="796"/>
      <c r="E66" s="796"/>
      <c r="F66" s="796"/>
      <c r="G66" s="791">
        <f t="shared" ref="G66:G101" si="20">SUM(D66:F66)</f>
        <v>0</v>
      </c>
      <c r="H66" s="796"/>
      <c r="I66" s="796"/>
      <c r="J66" s="796"/>
      <c r="K66" s="791">
        <f t="shared" ref="K66:K101" si="21">SUM(H66:J66)</f>
        <v>0</v>
      </c>
      <c r="L66" s="792" t="e">
        <f t="shared" si="7"/>
        <v>#DIV/0!</v>
      </c>
      <c r="M66" s="796">
        <f t="shared" si="19"/>
        <v>0</v>
      </c>
      <c r="N66" s="796">
        <f t="shared" si="19"/>
        <v>0</v>
      </c>
      <c r="O66" s="796">
        <f t="shared" si="19"/>
        <v>0</v>
      </c>
      <c r="P66" s="791">
        <f t="shared" ref="P66:P97" si="22">SUM(M66:O66)</f>
        <v>0</v>
      </c>
      <c r="Q66" s="796"/>
      <c r="R66" s="796"/>
      <c r="S66" s="796"/>
      <c r="T66" s="791">
        <f t="shared" ref="T66:T97" si="23">SUM(Q66:S66)</f>
        <v>0</v>
      </c>
      <c r="U66" s="796"/>
      <c r="V66" s="796" t="e">
        <f>+T66/U66</f>
        <v>#DIV/0!</v>
      </c>
      <c r="W66" s="799" t="e">
        <f t="shared" si="17"/>
        <v>#DIV/0!</v>
      </c>
      <c r="X66" s="799" t="e">
        <f t="shared" si="18"/>
        <v>#DIV/0!</v>
      </c>
      <c r="Y66" s="788"/>
    </row>
    <row r="67" spans="1:25" s="789" customFormat="1" hidden="1" x14ac:dyDescent="0.2">
      <c r="A67" s="793"/>
      <c r="B67" s="794" t="s">
        <v>778</v>
      </c>
      <c r="C67" s="795">
        <f>+G67</f>
        <v>0</v>
      </c>
      <c r="D67" s="796"/>
      <c r="E67" s="796"/>
      <c r="F67" s="796"/>
      <c r="G67" s="791">
        <f t="shared" si="20"/>
        <v>0</v>
      </c>
      <c r="H67" s="796"/>
      <c r="I67" s="796"/>
      <c r="J67" s="796"/>
      <c r="K67" s="791">
        <f t="shared" si="21"/>
        <v>0</v>
      </c>
      <c r="L67" s="792" t="e">
        <f t="shared" si="7"/>
        <v>#DIV/0!</v>
      </c>
      <c r="M67" s="796">
        <f t="shared" si="19"/>
        <v>0</v>
      </c>
      <c r="N67" s="796">
        <f t="shared" si="19"/>
        <v>0</v>
      </c>
      <c r="O67" s="796">
        <f t="shared" si="19"/>
        <v>0</v>
      </c>
      <c r="P67" s="791">
        <f t="shared" si="22"/>
        <v>0</v>
      </c>
      <c r="Q67" s="796"/>
      <c r="R67" s="796"/>
      <c r="S67" s="796"/>
      <c r="T67" s="791">
        <f t="shared" si="23"/>
        <v>0</v>
      </c>
      <c r="U67" s="796"/>
      <c r="V67" s="796" t="e">
        <f>+T67/U67</f>
        <v>#DIV/0!</v>
      </c>
      <c r="W67" s="799" t="e">
        <f t="shared" si="17"/>
        <v>#DIV/0!</v>
      </c>
      <c r="X67" s="799" t="e">
        <f t="shared" si="18"/>
        <v>#DIV/0!</v>
      </c>
      <c r="Y67" s="788"/>
    </row>
    <row r="68" spans="1:25" s="789" customFormat="1" hidden="1" x14ac:dyDescent="0.2">
      <c r="A68" s="783"/>
      <c r="B68" s="790" t="s">
        <v>28</v>
      </c>
      <c r="C68" s="803">
        <f>SUM(C69:C74)</f>
        <v>0</v>
      </c>
      <c r="D68" s="803">
        <f>SUM(D69:D74)</f>
        <v>0</v>
      </c>
      <c r="E68" s="803">
        <f>SUM(E69:E74)</f>
        <v>0</v>
      </c>
      <c r="F68" s="803">
        <f>SUM(F69:F74)</f>
        <v>0</v>
      </c>
      <c r="G68" s="803">
        <f t="shared" si="20"/>
        <v>0</v>
      </c>
      <c r="H68" s="803">
        <f>SUM(H69:H74)</f>
        <v>0</v>
      </c>
      <c r="I68" s="803">
        <f>SUM(I69:I74)</f>
        <v>0</v>
      </c>
      <c r="J68" s="803">
        <f>SUM(J69:J74)</f>
        <v>0</v>
      </c>
      <c r="K68" s="803">
        <f t="shared" si="21"/>
        <v>0</v>
      </c>
      <c r="L68" s="792" t="e">
        <f t="shared" si="7"/>
        <v>#DIV/0!</v>
      </c>
      <c r="M68" s="803">
        <f>SUM(M69:M74)</f>
        <v>0</v>
      </c>
      <c r="N68" s="803">
        <f>SUM(N69:N74)</f>
        <v>0</v>
      </c>
      <c r="O68" s="803">
        <f>SUM(O69:O74)</f>
        <v>0</v>
      </c>
      <c r="P68" s="803">
        <f t="shared" si="22"/>
        <v>0</v>
      </c>
      <c r="Q68" s="803">
        <f>SUM(Q69:Q74)</f>
        <v>0</v>
      </c>
      <c r="R68" s="803">
        <f>SUM(R69:R74)</f>
        <v>0</v>
      </c>
      <c r="S68" s="803">
        <f>SUM(S69:S74)</f>
        <v>0</v>
      </c>
      <c r="T68" s="803">
        <f t="shared" si="23"/>
        <v>0</v>
      </c>
      <c r="U68" s="803">
        <f>SUM(U69:U74)</f>
        <v>0</v>
      </c>
      <c r="V68" s="791" t="e">
        <f>+T68/U68</f>
        <v>#DIV/0!</v>
      </c>
      <c r="W68" s="792" t="e">
        <f t="shared" si="17"/>
        <v>#DIV/0!</v>
      </c>
      <c r="X68" s="792" t="e">
        <f t="shared" si="18"/>
        <v>#DIV/0!</v>
      </c>
      <c r="Y68" s="788"/>
    </row>
    <row r="69" spans="1:25" s="789" customFormat="1" hidden="1" x14ac:dyDescent="0.2">
      <c r="A69" s="793"/>
      <c r="B69" s="794" t="s">
        <v>779</v>
      </c>
      <c r="C69" s="795">
        <f t="shared" ref="C69:C74" si="24">+G69</f>
        <v>0</v>
      </c>
      <c r="D69" s="795"/>
      <c r="E69" s="795"/>
      <c r="F69" s="796"/>
      <c r="G69" s="791">
        <f t="shared" si="20"/>
        <v>0</v>
      </c>
      <c r="H69" s="796"/>
      <c r="I69" s="796"/>
      <c r="J69" s="796"/>
      <c r="K69" s="791">
        <f t="shared" si="21"/>
        <v>0</v>
      </c>
      <c r="L69" s="792" t="e">
        <f t="shared" si="7"/>
        <v>#DIV/0!</v>
      </c>
      <c r="M69" s="796">
        <f t="shared" ref="M69:O74" si="25">+D69-H69</f>
        <v>0</v>
      </c>
      <c r="N69" s="796">
        <f t="shared" si="25"/>
        <v>0</v>
      </c>
      <c r="O69" s="796">
        <f t="shared" si="25"/>
        <v>0</v>
      </c>
      <c r="P69" s="791">
        <f t="shared" si="22"/>
        <v>0</v>
      </c>
      <c r="Q69" s="796"/>
      <c r="R69" s="796"/>
      <c r="S69" s="796"/>
      <c r="T69" s="791">
        <f t="shared" si="23"/>
        <v>0</v>
      </c>
      <c r="U69" s="796"/>
      <c r="V69" s="796" t="e">
        <f t="shared" ref="V69:V97" si="26">+T69/U69</f>
        <v>#DIV/0!</v>
      </c>
      <c r="W69" s="799" t="e">
        <f t="shared" si="17"/>
        <v>#DIV/0!</v>
      </c>
      <c r="X69" s="799" t="e">
        <f t="shared" si="18"/>
        <v>#DIV/0!</v>
      </c>
      <c r="Y69" s="788"/>
    </row>
    <row r="70" spans="1:25" s="789" customFormat="1" hidden="1" x14ac:dyDescent="0.2">
      <c r="A70" s="793"/>
      <c r="B70" s="794" t="s">
        <v>780</v>
      </c>
      <c r="C70" s="795">
        <f t="shared" si="24"/>
        <v>0</v>
      </c>
      <c r="D70" s="795"/>
      <c r="E70" s="795"/>
      <c r="F70" s="795"/>
      <c r="G70" s="791">
        <f t="shared" si="20"/>
        <v>0</v>
      </c>
      <c r="H70" s="796"/>
      <c r="I70" s="796"/>
      <c r="J70" s="796"/>
      <c r="K70" s="791">
        <f t="shared" si="21"/>
        <v>0</v>
      </c>
      <c r="L70" s="792" t="e">
        <f t="shared" si="7"/>
        <v>#DIV/0!</v>
      </c>
      <c r="M70" s="796">
        <f t="shared" si="25"/>
        <v>0</v>
      </c>
      <c r="N70" s="796">
        <f t="shared" si="25"/>
        <v>0</v>
      </c>
      <c r="O70" s="796">
        <f t="shared" si="25"/>
        <v>0</v>
      </c>
      <c r="P70" s="791">
        <f t="shared" si="22"/>
        <v>0</v>
      </c>
      <c r="Q70" s="796"/>
      <c r="R70" s="796"/>
      <c r="S70" s="796"/>
      <c r="T70" s="791">
        <f t="shared" si="23"/>
        <v>0</v>
      </c>
      <c r="U70" s="796"/>
      <c r="V70" s="796" t="e">
        <f t="shared" si="26"/>
        <v>#DIV/0!</v>
      </c>
      <c r="W70" s="799" t="e">
        <f t="shared" si="17"/>
        <v>#DIV/0!</v>
      </c>
      <c r="X70" s="799" t="e">
        <f t="shared" si="18"/>
        <v>#DIV/0!</v>
      </c>
      <c r="Y70" s="788"/>
    </row>
    <row r="71" spans="1:25" s="789" customFormat="1" hidden="1" x14ac:dyDescent="0.2">
      <c r="A71" s="793"/>
      <c r="B71" s="794" t="s">
        <v>781</v>
      </c>
      <c r="C71" s="795">
        <f t="shared" si="24"/>
        <v>0</v>
      </c>
      <c r="D71" s="795"/>
      <c r="E71" s="795"/>
      <c r="F71" s="795"/>
      <c r="G71" s="791">
        <f t="shared" si="20"/>
        <v>0</v>
      </c>
      <c r="H71" s="796"/>
      <c r="I71" s="796"/>
      <c r="J71" s="796"/>
      <c r="K71" s="791">
        <f t="shared" si="21"/>
        <v>0</v>
      </c>
      <c r="L71" s="792" t="e">
        <f t="shared" si="7"/>
        <v>#DIV/0!</v>
      </c>
      <c r="M71" s="796">
        <f t="shared" si="25"/>
        <v>0</v>
      </c>
      <c r="N71" s="796">
        <f t="shared" si="25"/>
        <v>0</v>
      </c>
      <c r="O71" s="796">
        <f t="shared" si="25"/>
        <v>0</v>
      </c>
      <c r="P71" s="791">
        <f t="shared" si="22"/>
        <v>0</v>
      </c>
      <c r="Q71" s="796"/>
      <c r="R71" s="796"/>
      <c r="S71" s="796"/>
      <c r="T71" s="791">
        <f t="shared" si="23"/>
        <v>0</v>
      </c>
      <c r="U71" s="796"/>
      <c r="V71" s="796" t="e">
        <f t="shared" si="26"/>
        <v>#DIV/0!</v>
      </c>
      <c r="W71" s="799" t="e">
        <f t="shared" si="17"/>
        <v>#DIV/0!</v>
      </c>
      <c r="X71" s="799" t="e">
        <f t="shared" si="18"/>
        <v>#DIV/0!</v>
      </c>
      <c r="Y71" s="788"/>
    </row>
    <row r="72" spans="1:25" s="789" customFormat="1" hidden="1" x14ac:dyDescent="0.2">
      <c r="A72" s="793"/>
      <c r="B72" s="794" t="s">
        <v>782</v>
      </c>
      <c r="C72" s="795">
        <f t="shared" si="24"/>
        <v>0</v>
      </c>
      <c r="D72" s="795"/>
      <c r="E72" s="795"/>
      <c r="F72" s="795"/>
      <c r="G72" s="791">
        <f t="shared" si="20"/>
        <v>0</v>
      </c>
      <c r="H72" s="796"/>
      <c r="I72" s="796"/>
      <c r="J72" s="796"/>
      <c r="K72" s="791">
        <f t="shared" si="21"/>
        <v>0</v>
      </c>
      <c r="L72" s="792" t="e">
        <f t="shared" si="7"/>
        <v>#DIV/0!</v>
      </c>
      <c r="M72" s="796">
        <f t="shared" si="25"/>
        <v>0</v>
      </c>
      <c r="N72" s="796">
        <f t="shared" si="25"/>
        <v>0</v>
      </c>
      <c r="O72" s="796">
        <f t="shared" si="25"/>
        <v>0</v>
      </c>
      <c r="P72" s="791">
        <f t="shared" si="22"/>
        <v>0</v>
      </c>
      <c r="Q72" s="796"/>
      <c r="R72" s="796"/>
      <c r="S72" s="796"/>
      <c r="T72" s="791">
        <f t="shared" si="23"/>
        <v>0</v>
      </c>
      <c r="U72" s="796"/>
      <c r="V72" s="796" t="e">
        <f t="shared" si="26"/>
        <v>#DIV/0!</v>
      </c>
      <c r="W72" s="799" t="e">
        <f t="shared" si="17"/>
        <v>#DIV/0!</v>
      </c>
      <c r="X72" s="799" t="e">
        <f t="shared" si="18"/>
        <v>#DIV/0!</v>
      </c>
      <c r="Y72" s="788"/>
    </row>
    <row r="73" spans="1:25" s="789" customFormat="1" hidden="1" x14ac:dyDescent="0.2">
      <c r="A73" s="793"/>
      <c r="B73" s="794" t="s">
        <v>769</v>
      </c>
      <c r="C73" s="795">
        <f t="shared" si="24"/>
        <v>0</v>
      </c>
      <c r="D73" s="795"/>
      <c r="E73" s="795"/>
      <c r="F73" s="795"/>
      <c r="G73" s="791">
        <f t="shared" si="20"/>
        <v>0</v>
      </c>
      <c r="H73" s="796"/>
      <c r="I73" s="796"/>
      <c r="J73" s="796"/>
      <c r="K73" s="791">
        <f t="shared" si="21"/>
        <v>0</v>
      </c>
      <c r="L73" s="792" t="e">
        <f t="shared" si="7"/>
        <v>#DIV/0!</v>
      </c>
      <c r="M73" s="796">
        <f t="shared" si="25"/>
        <v>0</v>
      </c>
      <c r="N73" s="796">
        <f t="shared" si="25"/>
        <v>0</v>
      </c>
      <c r="O73" s="796">
        <f t="shared" si="25"/>
        <v>0</v>
      </c>
      <c r="P73" s="791">
        <f t="shared" si="22"/>
        <v>0</v>
      </c>
      <c r="Q73" s="796"/>
      <c r="R73" s="796"/>
      <c r="S73" s="796"/>
      <c r="T73" s="791">
        <f t="shared" si="23"/>
        <v>0</v>
      </c>
      <c r="U73" s="796"/>
      <c r="V73" s="796" t="e">
        <f t="shared" si="26"/>
        <v>#DIV/0!</v>
      </c>
      <c r="W73" s="799" t="e">
        <f t="shared" si="17"/>
        <v>#DIV/0!</v>
      </c>
      <c r="X73" s="799" t="e">
        <f t="shared" si="18"/>
        <v>#DIV/0!</v>
      </c>
      <c r="Y73" s="788"/>
    </row>
    <row r="74" spans="1:25" s="789" customFormat="1" hidden="1" x14ac:dyDescent="0.2">
      <c r="A74" s="793"/>
      <c r="B74" s="794" t="s">
        <v>769</v>
      </c>
      <c r="C74" s="795">
        <f t="shared" si="24"/>
        <v>0</v>
      </c>
      <c r="D74" s="795"/>
      <c r="E74" s="795"/>
      <c r="F74" s="795"/>
      <c r="G74" s="791">
        <f t="shared" si="20"/>
        <v>0</v>
      </c>
      <c r="H74" s="795"/>
      <c r="I74" s="795"/>
      <c r="J74" s="795"/>
      <c r="K74" s="791">
        <f t="shared" si="21"/>
        <v>0</v>
      </c>
      <c r="L74" s="792" t="e">
        <f t="shared" si="7"/>
        <v>#DIV/0!</v>
      </c>
      <c r="M74" s="796">
        <f t="shared" si="25"/>
        <v>0</v>
      </c>
      <c r="N74" s="796">
        <f t="shared" si="25"/>
        <v>0</v>
      </c>
      <c r="O74" s="796">
        <f t="shared" si="25"/>
        <v>0</v>
      </c>
      <c r="P74" s="791">
        <f t="shared" si="22"/>
        <v>0</v>
      </c>
      <c r="Q74" s="796"/>
      <c r="R74" s="796"/>
      <c r="S74" s="796"/>
      <c r="T74" s="791">
        <f t="shared" si="23"/>
        <v>0</v>
      </c>
      <c r="U74" s="796"/>
      <c r="V74" s="796" t="e">
        <f t="shared" si="26"/>
        <v>#DIV/0!</v>
      </c>
      <c r="W74" s="799" t="e">
        <f t="shared" si="17"/>
        <v>#DIV/0!</v>
      </c>
      <c r="X74" s="799" t="e">
        <f t="shared" si="18"/>
        <v>#DIV/0!</v>
      </c>
      <c r="Y74" s="788"/>
    </row>
    <row r="75" spans="1:25" s="789" customFormat="1" hidden="1" x14ac:dyDescent="0.2">
      <c r="A75" s="783"/>
      <c r="B75" s="790" t="s">
        <v>20</v>
      </c>
      <c r="C75" s="791">
        <f>+C76+C82</f>
        <v>0</v>
      </c>
      <c r="D75" s="791">
        <f>+D76+D82</f>
        <v>0</v>
      </c>
      <c r="E75" s="791">
        <f>+E76+E82</f>
        <v>0</v>
      </c>
      <c r="F75" s="791">
        <f>+F76+F82</f>
        <v>0</v>
      </c>
      <c r="G75" s="791">
        <f t="shared" si="20"/>
        <v>0</v>
      </c>
      <c r="H75" s="791">
        <f>+H76+H82</f>
        <v>0</v>
      </c>
      <c r="I75" s="791">
        <f>+I76+I82</f>
        <v>0</v>
      </c>
      <c r="J75" s="791">
        <f>+J76+J82</f>
        <v>0</v>
      </c>
      <c r="K75" s="791">
        <f t="shared" si="21"/>
        <v>0</v>
      </c>
      <c r="L75" s="792" t="e">
        <f t="shared" si="7"/>
        <v>#DIV/0!</v>
      </c>
      <c r="M75" s="791">
        <f>+M76+M82</f>
        <v>0</v>
      </c>
      <c r="N75" s="791">
        <f>+N76+N82</f>
        <v>0</v>
      </c>
      <c r="O75" s="791">
        <f>+O76+O82</f>
        <v>0</v>
      </c>
      <c r="P75" s="791">
        <f t="shared" si="22"/>
        <v>0</v>
      </c>
      <c r="Q75" s="791">
        <f>+Q76+Q82</f>
        <v>0</v>
      </c>
      <c r="R75" s="791">
        <f>+R76+R82</f>
        <v>0</v>
      </c>
      <c r="S75" s="791">
        <f>+S76+S82</f>
        <v>0</v>
      </c>
      <c r="T75" s="791">
        <f t="shared" si="23"/>
        <v>0</v>
      </c>
      <c r="U75" s="791">
        <f>+U76+U82</f>
        <v>0</v>
      </c>
      <c r="V75" s="791" t="e">
        <f t="shared" si="26"/>
        <v>#DIV/0!</v>
      </c>
      <c r="W75" s="792" t="e">
        <f t="shared" si="17"/>
        <v>#DIV/0!</v>
      </c>
      <c r="X75" s="792" t="e">
        <f t="shared" si="18"/>
        <v>#DIV/0!</v>
      </c>
      <c r="Y75" s="788"/>
    </row>
    <row r="76" spans="1:25" s="789" customFormat="1" hidden="1" x14ac:dyDescent="0.2">
      <c r="A76" s="783"/>
      <c r="B76" s="790" t="s">
        <v>21</v>
      </c>
      <c r="C76" s="791">
        <f>SUM(C77:C81)</f>
        <v>0</v>
      </c>
      <c r="D76" s="791">
        <f>SUM(D77:D81)</f>
        <v>0</v>
      </c>
      <c r="E76" s="791">
        <f>SUM(E77:E81)</f>
        <v>0</v>
      </c>
      <c r="F76" s="791">
        <f>SUM(F77:F81)</f>
        <v>0</v>
      </c>
      <c r="G76" s="791">
        <f t="shared" si="20"/>
        <v>0</v>
      </c>
      <c r="H76" s="791">
        <f>SUM(H77:H81)</f>
        <v>0</v>
      </c>
      <c r="I76" s="791">
        <f>SUM(I77:I81)</f>
        <v>0</v>
      </c>
      <c r="J76" s="791">
        <f>SUM(J77:J81)</f>
        <v>0</v>
      </c>
      <c r="K76" s="791">
        <f t="shared" si="21"/>
        <v>0</v>
      </c>
      <c r="L76" s="792" t="e">
        <f t="shared" si="7"/>
        <v>#DIV/0!</v>
      </c>
      <c r="M76" s="791">
        <f>SUM(M77:M81)</f>
        <v>0</v>
      </c>
      <c r="N76" s="791">
        <f>SUM(N77:N81)</f>
        <v>0</v>
      </c>
      <c r="O76" s="791">
        <f>SUM(O77:O81)</f>
        <v>0</v>
      </c>
      <c r="P76" s="791">
        <f t="shared" si="22"/>
        <v>0</v>
      </c>
      <c r="Q76" s="791">
        <f>SUM(Q77:Q81)</f>
        <v>0</v>
      </c>
      <c r="R76" s="791">
        <f>SUM(R77:R81)</f>
        <v>0</v>
      </c>
      <c r="S76" s="791">
        <f>SUM(S77:S81)</f>
        <v>0</v>
      </c>
      <c r="T76" s="791">
        <f t="shared" si="23"/>
        <v>0</v>
      </c>
      <c r="U76" s="791">
        <f>SUM(U77:U81)</f>
        <v>0</v>
      </c>
      <c r="V76" s="791" t="e">
        <f t="shared" si="26"/>
        <v>#DIV/0!</v>
      </c>
      <c r="W76" s="792" t="e">
        <f t="shared" si="17"/>
        <v>#DIV/0!</v>
      </c>
      <c r="X76" s="792" t="e">
        <f t="shared" si="18"/>
        <v>#DIV/0!</v>
      </c>
      <c r="Y76" s="788"/>
    </row>
    <row r="77" spans="1:25" s="789" customFormat="1" hidden="1" x14ac:dyDescent="0.2">
      <c r="A77" s="793"/>
      <c r="B77" s="794" t="s">
        <v>22</v>
      </c>
      <c r="C77" s="795"/>
      <c r="D77" s="796"/>
      <c r="E77" s="796"/>
      <c r="F77" s="796"/>
      <c r="G77" s="791">
        <f t="shared" si="20"/>
        <v>0</v>
      </c>
      <c r="H77" s="796"/>
      <c r="I77" s="796"/>
      <c r="J77" s="796"/>
      <c r="K77" s="791">
        <f t="shared" si="21"/>
        <v>0</v>
      </c>
      <c r="L77" s="792" t="e">
        <f t="shared" si="7"/>
        <v>#DIV/0!</v>
      </c>
      <c r="M77" s="796">
        <f t="shared" ref="M77:O81" si="27">+D77-H77</f>
        <v>0</v>
      </c>
      <c r="N77" s="796">
        <f t="shared" si="27"/>
        <v>0</v>
      </c>
      <c r="O77" s="796">
        <f t="shared" si="27"/>
        <v>0</v>
      </c>
      <c r="P77" s="791">
        <f t="shared" si="22"/>
        <v>0</v>
      </c>
      <c r="Q77" s="796"/>
      <c r="R77" s="796"/>
      <c r="S77" s="796"/>
      <c r="T77" s="791">
        <f t="shared" si="23"/>
        <v>0</v>
      </c>
      <c r="U77" s="796"/>
      <c r="V77" s="796" t="e">
        <f t="shared" si="26"/>
        <v>#DIV/0!</v>
      </c>
      <c r="W77" s="799" t="e">
        <f t="shared" si="17"/>
        <v>#DIV/0!</v>
      </c>
      <c r="X77" s="799" t="e">
        <f t="shared" si="18"/>
        <v>#DIV/0!</v>
      </c>
      <c r="Y77" s="788"/>
    </row>
    <row r="78" spans="1:25" s="789" customFormat="1" hidden="1" x14ac:dyDescent="0.2">
      <c r="A78" s="793"/>
      <c r="B78" s="794" t="s">
        <v>23</v>
      </c>
      <c r="C78" s="795"/>
      <c r="D78" s="796"/>
      <c r="E78" s="796"/>
      <c r="F78" s="796"/>
      <c r="G78" s="791">
        <f t="shared" si="20"/>
        <v>0</v>
      </c>
      <c r="H78" s="796"/>
      <c r="I78" s="796"/>
      <c r="J78" s="796"/>
      <c r="K78" s="791">
        <f t="shared" si="21"/>
        <v>0</v>
      </c>
      <c r="L78" s="792" t="e">
        <f t="shared" si="7"/>
        <v>#DIV/0!</v>
      </c>
      <c r="M78" s="796">
        <f t="shared" si="27"/>
        <v>0</v>
      </c>
      <c r="N78" s="796">
        <f t="shared" si="27"/>
        <v>0</v>
      </c>
      <c r="O78" s="796">
        <f t="shared" si="27"/>
        <v>0</v>
      </c>
      <c r="P78" s="791">
        <f t="shared" si="22"/>
        <v>0</v>
      </c>
      <c r="Q78" s="796"/>
      <c r="R78" s="796"/>
      <c r="S78" s="796"/>
      <c r="T78" s="791">
        <f t="shared" si="23"/>
        <v>0</v>
      </c>
      <c r="U78" s="796"/>
      <c r="V78" s="796" t="e">
        <f t="shared" si="26"/>
        <v>#DIV/0!</v>
      </c>
      <c r="W78" s="799" t="e">
        <f t="shared" si="17"/>
        <v>#DIV/0!</v>
      </c>
      <c r="X78" s="799" t="e">
        <f t="shared" si="18"/>
        <v>#DIV/0!</v>
      </c>
      <c r="Y78" s="788"/>
    </row>
    <row r="79" spans="1:25" s="789" customFormat="1" hidden="1" x14ac:dyDescent="0.2">
      <c r="A79" s="793"/>
      <c r="B79" s="794" t="s">
        <v>24</v>
      </c>
      <c r="C79" s="795"/>
      <c r="D79" s="796"/>
      <c r="E79" s="796"/>
      <c r="F79" s="796"/>
      <c r="G79" s="791">
        <f t="shared" si="20"/>
        <v>0</v>
      </c>
      <c r="H79" s="796"/>
      <c r="I79" s="796"/>
      <c r="J79" s="796"/>
      <c r="K79" s="791">
        <f t="shared" si="21"/>
        <v>0</v>
      </c>
      <c r="L79" s="792" t="e">
        <f t="shared" si="7"/>
        <v>#DIV/0!</v>
      </c>
      <c r="M79" s="796">
        <f t="shared" si="27"/>
        <v>0</v>
      </c>
      <c r="N79" s="796">
        <f t="shared" si="27"/>
        <v>0</v>
      </c>
      <c r="O79" s="796">
        <f t="shared" si="27"/>
        <v>0</v>
      </c>
      <c r="P79" s="791">
        <f t="shared" si="22"/>
        <v>0</v>
      </c>
      <c r="Q79" s="796"/>
      <c r="R79" s="796"/>
      <c r="S79" s="796"/>
      <c r="T79" s="791">
        <f t="shared" si="23"/>
        <v>0</v>
      </c>
      <c r="U79" s="796"/>
      <c r="V79" s="796" t="e">
        <f t="shared" si="26"/>
        <v>#DIV/0!</v>
      </c>
      <c r="W79" s="799" t="e">
        <f t="shared" si="17"/>
        <v>#DIV/0!</v>
      </c>
      <c r="X79" s="799" t="e">
        <f t="shared" si="18"/>
        <v>#DIV/0!</v>
      </c>
      <c r="Y79" s="788"/>
    </row>
    <row r="80" spans="1:25" s="789" customFormat="1" hidden="1" x14ac:dyDescent="0.2">
      <c r="A80" s="793"/>
      <c r="B80" s="794" t="s">
        <v>25</v>
      </c>
      <c r="C80" s="795"/>
      <c r="D80" s="796"/>
      <c r="E80" s="796"/>
      <c r="F80" s="796"/>
      <c r="G80" s="791">
        <f t="shared" si="20"/>
        <v>0</v>
      </c>
      <c r="H80" s="796"/>
      <c r="I80" s="796"/>
      <c r="J80" s="796"/>
      <c r="K80" s="791">
        <f t="shared" si="21"/>
        <v>0</v>
      </c>
      <c r="L80" s="792" t="e">
        <f t="shared" si="7"/>
        <v>#DIV/0!</v>
      </c>
      <c r="M80" s="796">
        <f t="shared" si="27"/>
        <v>0</v>
      </c>
      <c r="N80" s="796">
        <f t="shared" si="27"/>
        <v>0</v>
      </c>
      <c r="O80" s="796">
        <f t="shared" si="27"/>
        <v>0</v>
      </c>
      <c r="P80" s="791">
        <f t="shared" si="22"/>
        <v>0</v>
      </c>
      <c r="Q80" s="796"/>
      <c r="R80" s="796"/>
      <c r="S80" s="796"/>
      <c r="T80" s="791">
        <f t="shared" si="23"/>
        <v>0</v>
      </c>
      <c r="U80" s="796"/>
      <c r="V80" s="796" t="e">
        <f t="shared" si="26"/>
        <v>#DIV/0!</v>
      </c>
      <c r="W80" s="799" t="e">
        <f t="shared" si="17"/>
        <v>#DIV/0!</v>
      </c>
      <c r="X80" s="799" t="e">
        <f t="shared" si="18"/>
        <v>#DIV/0!</v>
      </c>
      <c r="Y80" s="788"/>
    </row>
    <row r="81" spans="1:25" s="789" customFormat="1" hidden="1" x14ac:dyDescent="0.2">
      <c r="A81" s="793"/>
      <c r="B81" s="794" t="s">
        <v>26</v>
      </c>
      <c r="C81" s="795"/>
      <c r="D81" s="796"/>
      <c r="E81" s="796"/>
      <c r="F81" s="796"/>
      <c r="G81" s="791">
        <f t="shared" si="20"/>
        <v>0</v>
      </c>
      <c r="H81" s="796"/>
      <c r="I81" s="796"/>
      <c r="J81" s="796"/>
      <c r="K81" s="791">
        <f t="shared" si="21"/>
        <v>0</v>
      </c>
      <c r="L81" s="792" t="e">
        <f t="shared" ref="L81:L101" si="28">+K81/G81</f>
        <v>#DIV/0!</v>
      </c>
      <c r="M81" s="796">
        <f t="shared" si="27"/>
        <v>0</v>
      </c>
      <c r="N81" s="796">
        <f t="shared" si="27"/>
        <v>0</v>
      </c>
      <c r="O81" s="796">
        <f t="shared" si="27"/>
        <v>0</v>
      </c>
      <c r="P81" s="791">
        <f t="shared" si="22"/>
        <v>0</v>
      </c>
      <c r="Q81" s="796"/>
      <c r="R81" s="796"/>
      <c r="S81" s="796"/>
      <c r="T81" s="791">
        <f t="shared" si="23"/>
        <v>0</v>
      </c>
      <c r="U81" s="796"/>
      <c r="V81" s="796" t="e">
        <f t="shared" si="26"/>
        <v>#DIV/0!</v>
      </c>
      <c r="W81" s="799" t="e">
        <f t="shared" si="17"/>
        <v>#DIV/0!</v>
      </c>
      <c r="X81" s="799" t="e">
        <f t="shared" si="18"/>
        <v>#DIV/0!</v>
      </c>
      <c r="Y81" s="788"/>
    </row>
    <row r="82" spans="1:25" s="789" customFormat="1" hidden="1" x14ac:dyDescent="0.2">
      <c r="A82" s="783"/>
      <c r="B82" s="790" t="s">
        <v>27</v>
      </c>
      <c r="C82" s="791">
        <f>SUM(C83:C87)</f>
        <v>0</v>
      </c>
      <c r="D82" s="791">
        <f>SUM(D83:D87)</f>
        <v>0</v>
      </c>
      <c r="E82" s="791">
        <f>SUM(E83:E87)</f>
        <v>0</v>
      </c>
      <c r="F82" s="791">
        <f>SUM(F83:F87)</f>
        <v>0</v>
      </c>
      <c r="G82" s="791">
        <f t="shared" si="20"/>
        <v>0</v>
      </c>
      <c r="H82" s="791">
        <f>SUM(H83:H87)</f>
        <v>0</v>
      </c>
      <c r="I82" s="791">
        <f>SUM(I83:I87)</f>
        <v>0</v>
      </c>
      <c r="J82" s="791">
        <f>SUM(J83:J87)</f>
        <v>0</v>
      </c>
      <c r="K82" s="791">
        <f t="shared" si="21"/>
        <v>0</v>
      </c>
      <c r="L82" s="792" t="e">
        <f t="shared" si="28"/>
        <v>#DIV/0!</v>
      </c>
      <c r="M82" s="791">
        <f>SUM(M83:M87)</f>
        <v>0</v>
      </c>
      <c r="N82" s="791">
        <f>SUM(N83:N87)</f>
        <v>0</v>
      </c>
      <c r="O82" s="791">
        <f>SUM(O83:O87)</f>
        <v>0</v>
      </c>
      <c r="P82" s="791">
        <f t="shared" si="22"/>
        <v>0</v>
      </c>
      <c r="Q82" s="791">
        <f>SUM(Q83:Q87)</f>
        <v>0</v>
      </c>
      <c r="R82" s="791">
        <f>SUM(R83:R87)</f>
        <v>0</v>
      </c>
      <c r="S82" s="791">
        <f>SUM(S83:S87)</f>
        <v>0</v>
      </c>
      <c r="T82" s="791">
        <f t="shared" si="23"/>
        <v>0</v>
      </c>
      <c r="U82" s="791">
        <f>SUM(U83:U87)</f>
        <v>0</v>
      </c>
      <c r="V82" s="791" t="e">
        <f t="shared" si="26"/>
        <v>#DIV/0!</v>
      </c>
      <c r="W82" s="792" t="e">
        <f t="shared" si="17"/>
        <v>#DIV/0!</v>
      </c>
      <c r="X82" s="792" t="e">
        <f t="shared" si="18"/>
        <v>#DIV/0!</v>
      </c>
      <c r="Y82" s="788"/>
    </row>
    <row r="83" spans="1:25" s="789" customFormat="1" hidden="1" x14ac:dyDescent="0.2">
      <c r="A83" s="793"/>
      <c r="B83" s="794" t="s">
        <v>22</v>
      </c>
      <c r="C83" s="796"/>
      <c r="D83" s="796"/>
      <c r="E83" s="796"/>
      <c r="F83" s="796"/>
      <c r="G83" s="791">
        <f t="shared" si="20"/>
        <v>0</v>
      </c>
      <c r="H83" s="796"/>
      <c r="I83" s="796"/>
      <c r="J83" s="796"/>
      <c r="K83" s="791">
        <f t="shared" si="21"/>
        <v>0</v>
      </c>
      <c r="L83" s="792" t="e">
        <f t="shared" si="28"/>
        <v>#DIV/0!</v>
      </c>
      <c r="M83" s="796">
        <f t="shared" ref="M83:O87" si="29">+D83-H83</f>
        <v>0</v>
      </c>
      <c r="N83" s="796">
        <f t="shared" si="29"/>
        <v>0</v>
      </c>
      <c r="O83" s="796">
        <f t="shared" si="29"/>
        <v>0</v>
      </c>
      <c r="P83" s="791">
        <f t="shared" si="22"/>
        <v>0</v>
      </c>
      <c r="Q83" s="796"/>
      <c r="R83" s="796"/>
      <c r="S83" s="796"/>
      <c r="T83" s="791">
        <f t="shared" si="23"/>
        <v>0</v>
      </c>
      <c r="U83" s="796"/>
      <c r="V83" s="796" t="e">
        <f t="shared" si="26"/>
        <v>#DIV/0!</v>
      </c>
      <c r="W83" s="799" t="e">
        <f t="shared" si="17"/>
        <v>#DIV/0!</v>
      </c>
      <c r="X83" s="799" t="e">
        <f t="shared" si="18"/>
        <v>#DIV/0!</v>
      </c>
      <c r="Y83" s="788"/>
    </row>
    <row r="84" spans="1:25" s="789" customFormat="1" hidden="1" x14ac:dyDescent="0.2">
      <c r="A84" s="793"/>
      <c r="B84" s="794" t="s">
        <v>23</v>
      </c>
      <c r="C84" s="796"/>
      <c r="D84" s="796"/>
      <c r="E84" s="796"/>
      <c r="F84" s="796"/>
      <c r="G84" s="791">
        <f t="shared" si="20"/>
        <v>0</v>
      </c>
      <c r="H84" s="796"/>
      <c r="I84" s="796"/>
      <c r="J84" s="796"/>
      <c r="K84" s="791">
        <f t="shared" si="21"/>
        <v>0</v>
      </c>
      <c r="L84" s="792" t="e">
        <f t="shared" si="28"/>
        <v>#DIV/0!</v>
      </c>
      <c r="M84" s="796">
        <f t="shared" si="29"/>
        <v>0</v>
      </c>
      <c r="N84" s="796">
        <f t="shared" si="29"/>
        <v>0</v>
      </c>
      <c r="O84" s="796">
        <f t="shared" si="29"/>
        <v>0</v>
      </c>
      <c r="P84" s="791">
        <f t="shared" si="22"/>
        <v>0</v>
      </c>
      <c r="Q84" s="796"/>
      <c r="R84" s="796"/>
      <c r="S84" s="796"/>
      <c r="T84" s="791">
        <f t="shared" si="23"/>
        <v>0</v>
      </c>
      <c r="U84" s="796"/>
      <c r="V84" s="796" t="e">
        <f t="shared" si="26"/>
        <v>#DIV/0!</v>
      </c>
      <c r="W84" s="799" t="e">
        <f t="shared" si="17"/>
        <v>#DIV/0!</v>
      </c>
      <c r="X84" s="799" t="e">
        <f t="shared" si="18"/>
        <v>#DIV/0!</v>
      </c>
      <c r="Y84" s="788"/>
    </row>
    <row r="85" spans="1:25" s="789" customFormat="1" hidden="1" x14ac:dyDescent="0.2">
      <c r="A85" s="793"/>
      <c r="B85" s="794" t="s">
        <v>24</v>
      </c>
      <c r="C85" s="796"/>
      <c r="D85" s="796"/>
      <c r="E85" s="796"/>
      <c r="F85" s="796"/>
      <c r="G85" s="791">
        <f t="shared" si="20"/>
        <v>0</v>
      </c>
      <c r="H85" s="796"/>
      <c r="I85" s="796"/>
      <c r="J85" s="796"/>
      <c r="K85" s="791">
        <f t="shared" si="21"/>
        <v>0</v>
      </c>
      <c r="L85" s="792" t="e">
        <f t="shared" si="28"/>
        <v>#DIV/0!</v>
      </c>
      <c r="M85" s="796">
        <f t="shared" si="29"/>
        <v>0</v>
      </c>
      <c r="N85" s="796">
        <f t="shared" si="29"/>
        <v>0</v>
      </c>
      <c r="O85" s="796">
        <f t="shared" si="29"/>
        <v>0</v>
      </c>
      <c r="P85" s="791">
        <f t="shared" si="22"/>
        <v>0</v>
      </c>
      <c r="Q85" s="796"/>
      <c r="R85" s="796"/>
      <c r="S85" s="796"/>
      <c r="T85" s="791">
        <f t="shared" si="23"/>
        <v>0</v>
      </c>
      <c r="U85" s="796"/>
      <c r="V85" s="796" t="e">
        <f t="shared" si="26"/>
        <v>#DIV/0!</v>
      </c>
      <c r="W85" s="799" t="e">
        <f t="shared" si="17"/>
        <v>#DIV/0!</v>
      </c>
      <c r="X85" s="799" t="e">
        <f t="shared" si="18"/>
        <v>#DIV/0!</v>
      </c>
      <c r="Y85" s="788"/>
    </row>
    <row r="86" spans="1:25" s="789" customFormat="1" hidden="1" x14ac:dyDescent="0.2">
      <c r="A86" s="793"/>
      <c r="B86" s="794" t="s">
        <v>25</v>
      </c>
      <c r="C86" s="796"/>
      <c r="D86" s="796"/>
      <c r="E86" s="796"/>
      <c r="F86" s="796"/>
      <c r="G86" s="791">
        <f t="shared" si="20"/>
        <v>0</v>
      </c>
      <c r="H86" s="796"/>
      <c r="I86" s="796"/>
      <c r="J86" s="796"/>
      <c r="K86" s="791">
        <f t="shared" si="21"/>
        <v>0</v>
      </c>
      <c r="L86" s="792" t="e">
        <f t="shared" si="28"/>
        <v>#DIV/0!</v>
      </c>
      <c r="M86" s="796">
        <f t="shared" si="29"/>
        <v>0</v>
      </c>
      <c r="N86" s="796">
        <f t="shared" si="29"/>
        <v>0</v>
      </c>
      <c r="O86" s="796">
        <f t="shared" si="29"/>
        <v>0</v>
      </c>
      <c r="P86" s="791">
        <f t="shared" si="22"/>
        <v>0</v>
      </c>
      <c r="Q86" s="796"/>
      <c r="R86" s="796"/>
      <c r="S86" s="796"/>
      <c r="T86" s="791">
        <f t="shared" si="23"/>
        <v>0</v>
      </c>
      <c r="U86" s="796"/>
      <c r="V86" s="796" t="e">
        <f t="shared" si="26"/>
        <v>#DIV/0!</v>
      </c>
      <c r="W86" s="799" t="e">
        <f t="shared" si="17"/>
        <v>#DIV/0!</v>
      </c>
      <c r="X86" s="799" t="e">
        <f t="shared" si="18"/>
        <v>#DIV/0!</v>
      </c>
      <c r="Y86" s="788"/>
    </row>
    <row r="87" spans="1:25" s="789" customFormat="1" hidden="1" x14ac:dyDescent="0.2">
      <c r="A87" s="793"/>
      <c r="B87" s="794" t="s">
        <v>26</v>
      </c>
      <c r="C87" s="796"/>
      <c r="D87" s="796"/>
      <c r="E87" s="796"/>
      <c r="F87" s="796"/>
      <c r="G87" s="791">
        <f t="shared" si="20"/>
        <v>0</v>
      </c>
      <c r="H87" s="796"/>
      <c r="I87" s="796"/>
      <c r="J87" s="796"/>
      <c r="K87" s="791">
        <f t="shared" si="21"/>
        <v>0</v>
      </c>
      <c r="L87" s="792" t="e">
        <f t="shared" si="28"/>
        <v>#DIV/0!</v>
      </c>
      <c r="M87" s="796">
        <f t="shared" si="29"/>
        <v>0</v>
      </c>
      <c r="N87" s="796">
        <f t="shared" si="29"/>
        <v>0</v>
      </c>
      <c r="O87" s="796">
        <f t="shared" si="29"/>
        <v>0</v>
      </c>
      <c r="P87" s="791">
        <f t="shared" si="22"/>
        <v>0</v>
      </c>
      <c r="Q87" s="796"/>
      <c r="R87" s="796"/>
      <c r="S87" s="796"/>
      <c r="T87" s="791">
        <f t="shared" si="23"/>
        <v>0</v>
      </c>
      <c r="U87" s="796"/>
      <c r="V87" s="796" t="e">
        <f t="shared" si="26"/>
        <v>#DIV/0!</v>
      </c>
      <c r="W87" s="799" t="e">
        <f t="shared" si="17"/>
        <v>#DIV/0!</v>
      </c>
      <c r="X87" s="799" t="e">
        <f t="shared" si="18"/>
        <v>#DIV/0!</v>
      </c>
      <c r="Y87" s="788"/>
    </row>
    <row r="88" spans="1:25" s="789" customFormat="1" hidden="1" x14ac:dyDescent="0.2">
      <c r="A88" s="783"/>
      <c r="B88" s="801" t="s">
        <v>31</v>
      </c>
      <c r="C88" s="791">
        <f>SUM(C89:C95)</f>
        <v>0</v>
      </c>
      <c r="D88" s="791">
        <f>SUM(D89:D95)</f>
        <v>0</v>
      </c>
      <c r="E88" s="791">
        <f>SUM(E89:E95)</f>
        <v>0</v>
      </c>
      <c r="F88" s="791">
        <f>SUM(F89:F95)</f>
        <v>0</v>
      </c>
      <c r="G88" s="791">
        <f t="shared" si="20"/>
        <v>0</v>
      </c>
      <c r="H88" s="791">
        <f>SUM(H89:H95)</f>
        <v>0</v>
      </c>
      <c r="I88" s="791">
        <f>SUM(I89:I95)</f>
        <v>0</v>
      </c>
      <c r="J88" s="791">
        <f>SUM(J89:J95)</f>
        <v>0</v>
      </c>
      <c r="K88" s="791">
        <f t="shared" si="21"/>
        <v>0</v>
      </c>
      <c r="L88" s="792" t="e">
        <f t="shared" si="28"/>
        <v>#DIV/0!</v>
      </c>
      <c r="M88" s="791">
        <f>SUM(M89:M95)</f>
        <v>0</v>
      </c>
      <c r="N88" s="791">
        <f>SUM(N89:N95)</f>
        <v>0</v>
      </c>
      <c r="O88" s="791">
        <f>SUM(O89:O95)</f>
        <v>0</v>
      </c>
      <c r="P88" s="791">
        <f t="shared" si="22"/>
        <v>0</v>
      </c>
      <c r="Q88" s="791">
        <f>SUM(Q89:Q95)</f>
        <v>0</v>
      </c>
      <c r="R88" s="791">
        <f>SUM(R89:R95)</f>
        <v>0</v>
      </c>
      <c r="S88" s="791">
        <f>SUM(S89:S95)</f>
        <v>0</v>
      </c>
      <c r="T88" s="791">
        <f t="shared" si="23"/>
        <v>0</v>
      </c>
      <c r="U88" s="791">
        <f>SUM(U89:U95)</f>
        <v>0</v>
      </c>
      <c r="V88" s="791" t="e">
        <f t="shared" si="26"/>
        <v>#DIV/0!</v>
      </c>
      <c r="W88" s="792" t="e">
        <f t="shared" si="17"/>
        <v>#DIV/0!</v>
      </c>
      <c r="X88" s="792" t="e">
        <f t="shared" si="18"/>
        <v>#DIV/0!</v>
      </c>
      <c r="Y88" s="788"/>
    </row>
    <row r="89" spans="1:25" s="789" customFormat="1" hidden="1" x14ac:dyDescent="0.2">
      <c r="A89" s="793"/>
      <c r="B89" s="794" t="s">
        <v>32</v>
      </c>
      <c r="C89" s="795"/>
      <c r="D89" s="795"/>
      <c r="E89" s="795"/>
      <c r="F89" s="795"/>
      <c r="G89" s="791">
        <f t="shared" si="20"/>
        <v>0</v>
      </c>
      <c r="H89" s="795"/>
      <c r="I89" s="795"/>
      <c r="J89" s="795"/>
      <c r="K89" s="791">
        <f t="shared" si="21"/>
        <v>0</v>
      </c>
      <c r="L89" s="792" t="e">
        <f t="shared" si="28"/>
        <v>#DIV/0!</v>
      </c>
      <c r="M89" s="796">
        <f t="shared" ref="M89:O97" si="30">+D89-H89</f>
        <v>0</v>
      </c>
      <c r="N89" s="796">
        <f t="shared" si="30"/>
        <v>0</v>
      </c>
      <c r="O89" s="796">
        <f t="shared" si="30"/>
        <v>0</v>
      </c>
      <c r="P89" s="791">
        <f t="shared" si="22"/>
        <v>0</v>
      </c>
      <c r="Q89" s="796"/>
      <c r="R89" s="796"/>
      <c r="S89" s="796"/>
      <c r="T89" s="791">
        <f t="shared" si="23"/>
        <v>0</v>
      </c>
      <c r="U89" s="796"/>
      <c r="V89" s="796" t="e">
        <f t="shared" si="26"/>
        <v>#DIV/0!</v>
      </c>
      <c r="W89" s="799" t="e">
        <f t="shared" si="17"/>
        <v>#DIV/0!</v>
      </c>
      <c r="X89" s="799" t="e">
        <f t="shared" si="18"/>
        <v>#DIV/0!</v>
      </c>
      <c r="Y89" s="788"/>
    </row>
    <row r="90" spans="1:25" s="789" customFormat="1" hidden="1" x14ac:dyDescent="0.2">
      <c r="A90" s="793"/>
      <c r="B90" s="794" t="s">
        <v>33</v>
      </c>
      <c r="C90" s="795"/>
      <c r="D90" s="795"/>
      <c r="E90" s="795"/>
      <c r="F90" s="795"/>
      <c r="G90" s="791">
        <f t="shared" si="20"/>
        <v>0</v>
      </c>
      <c r="H90" s="795"/>
      <c r="I90" s="795"/>
      <c r="J90" s="795"/>
      <c r="K90" s="791">
        <f t="shared" si="21"/>
        <v>0</v>
      </c>
      <c r="L90" s="792" t="e">
        <f t="shared" si="28"/>
        <v>#DIV/0!</v>
      </c>
      <c r="M90" s="796">
        <f t="shared" si="30"/>
        <v>0</v>
      </c>
      <c r="N90" s="796">
        <f t="shared" si="30"/>
        <v>0</v>
      </c>
      <c r="O90" s="796">
        <f t="shared" si="30"/>
        <v>0</v>
      </c>
      <c r="P90" s="791">
        <f t="shared" si="22"/>
        <v>0</v>
      </c>
      <c r="Q90" s="796"/>
      <c r="R90" s="796"/>
      <c r="S90" s="796"/>
      <c r="T90" s="791">
        <f t="shared" si="23"/>
        <v>0</v>
      </c>
      <c r="U90" s="796"/>
      <c r="V90" s="796" t="e">
        <f t="shared" si="26"/>
        <v>#DIV/0!</v>
      </c>
      <c r="W90" s="799" t="e">
        <f t="shared" si="17"/>
        <v>#DIV/0!</v>
      </c>
      <c r="X90" s="799" t="e">
        <f t="shared" si="18"/>
        <v>#DIV/0!</v>
      </c>
      <c r="Y90" s="788"/>
    </row>
    <row r="91" spans="1:25" s="789" customFormat="1" hidden="1" x14ac:dyDescent="0.2">
      <c r="A91" s="793"/>
      <c r="B91" s="794" t="s">
        <v>775</v>
      </c>
      <c r="C91" s="795"/>
      <c r="D91" s="795"/>
      <c r="E91" s="795"/>
      <c r="F91" s="795"/>
      <c r="G91" s="791">
        <f t="shared" si="20"/>
        <v>0</v>
      </c>
      <c r="H91" s="795"/>
      <c r="I91" s="795"/>
      <c r="J91" s="795"/>
      <c r="K91" s="791">
        <f t="shared" si="21"/>
        <v>0</v>
      </c>
      <c r="L91" s="792" t="e">
        <f t="shared" si="28"/>
        <v>#DIV/0!</v>
      </c>
      <c r="M91" s="796">
        <f t="shared" si="30"/>
        <v>0</v>
      </c>
      <c r="N91" s="796">
        <f t="shared" si="30"/>
        <v>0</v>
      </c>
      <c r="O91" s="796">
        <f t="shared" si="30"/>
        <v>0</v>
      </c>
      <c r="P91" s="791">
        <f t="shared" si="22"/>
        <v>0</v>
      </c>
      <c r="Q91" s="796"/>
      <c r="R91" s="796"/>
      <c r="S91" s="796"/>
      <c r="T91" s="791">
        <f t="shared" si="23"/>
        <v>0</v>
      </c>
      <c r="U91" s="796"/>
      <c r="V91" s="796" t="e">
        <f t="shared" si="26"/>
        <v>#DIV/0!</v>
      </c>
      <c r="W91" s="799" t="e">
        <f t="shared" si="17"/>
        <v>#DIV/0!</v>
      </c>
      <c r="X91" s="799" t="e">
        <f t="shared" si="18"/>
        <v>#DIV/0!</v>
      </c>
      <c r="Y91" s="788"/>
    </row>
    <row r="92" spans="1:25" s="789" customFormat="1" hidden="1" x14ac:dyDescent="0.2">
      <c r="A92" s="793"/>
      <c r="B92" s="794" t="s">
        <v>34</v>
      </c>
      <c r="C92" s="795"/>
      <c r="D92" s="795"/>
      <c r="E92" s="795"/>
      <c r="F92" s="795"/>
      <c r="G92" s="791">
        <f t="shared" si="20"/>
        <v>0</v>
      </c>
      <c r="H92" s="795"/>
      <c r="I92" s="795"/>
      <c r="J92" s="795"/>
      <c r="K92" s="791">
        <f t="shared" si="21"/>
        <v>0</v>
      </c>
      <c r="L92" s="792" t="e">
        <f t="shared" si="28"/>
        <v>#DIV/0!</v>
      </c>
      <c r="M92" s="796">
        <f t="shared" si="30"/>
        <v>0</v>
      </c>
      <c r="N92" s="796">
        <f t="shared" si="30"/>
        <v>0</v>
      </c>
      <c r="O92" s="796">
        <f t="shared" si="30"/>
        <v>0</v>
      </c>
      <c r="P92" s="791">
        <f t="shared" si="22"/>
        <v>0</v>
      </c>
      <c r="Q92" s="796"/>
      <c r="R92" s="796"/>
      <c r="S92" s="796"/>
      <c r="T92" s="791">
        <f t="shared" si="23"/>
        <v>0</v>
      </c>
      <c r="U92" s="796"/>
      <c r="V92" s="796" t="e">
        <f t="shared" si="26"/>
        <v>#DIV/0!</v>
      </c>
      <c r="W92" s="799" t="e">
        <f t="shared" si="17"/>
        <v>#DIV/0!</v>
      </c>
      <c r="X92" s="799" t="e">
        <f t="shared" si="18"/>
        <v>#DIV/0!</v>
      </c>
      <c r="Y92" s="788"/>
    </row>
    <row r="93" spans="1:25" s="789" customFormat="1" hidden="1" x14ac:dyDescent="0.2">
      <c r="A93" s="793"/>
      <c r="B93" s="794" t="s">
        <v>35</v>
      </c>
      <c r="C93" s="795"/>
      <c r="D93" s="795"/>
      <c r="E93" s="795"/>
      <c r="F93" s="795"/>
      <c r="G93" s="791">
        <f t="shared" si="20"/>
        <v>0</v>
      </c>
      <c r="H93" s="795"/>
      <c r="I93" s="795"/>
      <c r="J93" s="795"/>
      <c r="K93" s="791">
        <f t="shared" si="21"/>
        <v>0</v>
      </c>
      <c r="L93" s="792" t="e">
        <f t="shared" si="28"/>
        <v>#DIV/0!</v>
      </c>
      <c r="M93" s="796">
        <f t="shared" si="30"/>
        <v>0</v>
      </c>
      <c r="N93" s="796">
        <f t="shared" si="30"/>
        <v>0</v>
      </c>
      <c r="O93" s="796">
        <f t="shared" si="30"/>
        <v>0</v>
      </c>
      <c r="P93" s="791">
        <f t="shared" si="22"/>
        <v>0</v>
      </c>
      <c r="Q93" s="796"/>
      <c r="R93" s="796"/>
      <c r="S93" s="796"/>
      <c r="T93" s="791">
        <f t="shared" si="23"/>
        <v>0</v>
      </c>
      <c r="U93" s="796"/>
      <c r="V93" s="796" t="e">
        <f t="shared" si="26"/>
        <v>#DIV/0!</v>
      </c>
      <c r="W93" s="799" t="e">
        <f t="shared" si="17"/>
        <v>#DIV/0!</v>
      </c>
      <c r="X93" s="799" t="e">
        <f t="shared" si="18"/>
        <v>#DIV/0!</v>
      </c>
      <c r="Y93" s="788"/>
    </row>
    <row r="94" spans="1:25" s="789" customFormat="1" hidden="1" x14ac:dyDescent="0.2">
      <c r="A94" s="793"/>
      <c r="B94" s="794" t="s">
        <v>36</v>
      </c>
      <c r="C94" s="795"/>
      <c r="D94" s="795"/>
      <c r="E94" s="795"/>
      <c r="F94" s="795"/>
      <c r="G94" s="791">
        <f t="shared" si="20"/>
        <v>0</v>
      </c>
      <c r="H94" s="795"/>
      <c r="I94" s="795"/>
      <c r="J94" s="795"/>
      <c r="K94" s="791">
        <f t="shared" si="21"/>
        <v>0</v>
      </c>
      <c r="L94" s="792" t="e">
        <f t="shared" si="28"/>
        <v>#DIV/0!</v>
      </c>
      <c r="M94" s="796">
        <f t="shared" si="30"/>
        <v>0</v>
      </c>
      <c r="N94" s="796">
        <f t="shared" si="30"/>
        <v>0</v>
      </c>
      <c r="O94" s="796">
        <f t="shared" si="30"/>
        <v>0</v>
      </c>
      <c r="P94" s="791">
        <f t="shared" si="22"/>
        <v>0</v>
      </c>
      <c r="Q94" s="796"/>
      <c r="R94" s="796"/>
      <c r="S94" s="796"/>
      <c r="T94" s="791">
        <f t="shared" si="23"/>
        <v>0</v>
      </c>
      <c r="U94" s="796"/>
      <c r="V94" s="796" t="e">
        <f t="shared" si="26"/>
        <v>#DIV/0!</v>
      </c>
      <c r="W94" s="799" t="e">
        <f t="shared" si="17"/>
        <v>#DIV/0!</v>
      </c>
      <c r="X94" s="799" t="e">
        <f t="shared" si="18"/>
        <v>#DIV/0!</v>
      </c>
      <c r="Y94" s="788"/>
    </row>
    <row r="95" spans="1:25" s="789" customFormat="1" hidden="1" x14ac:dyDescent="0.2">
      <c r="A95" s="793"/>
      <c r="B95" s="794" t="s">
        <v>776</v>
      </c>
      <c r="C95" s="795"/>
      <c r="D95" s="795"/>
      <c r="E95" s="795"/>
      <c r="F95" s="795"/>
      <c r="G95" s="791">
        <f t="shared" si="20"/>
        <v>0</v>
      </c>
      <c r="H95" s="795"/>
      <c r="I95" s="795"/>
      <c r="J95" s="795"/>
      <c r="K95" s="791">
        <f t="shared" si="21"/>
        <v>0</v>
      </c>
      <c r="L95" s="792" t="e">
        <f t="shared" si="28"/>
        <v>#DIV/0!</v>
      </c>
      <c r="M95" s="796">
        <f t="shared" si="30"/>
        <v>0</v>
      </c>
      <c r="N95" s="796">
        <f t="shared" si="30"/>
        <v>0</v>
      </c>
      <c r="O95" s="796">
        <f t="shared" si="30"/>
        <v>0</v>
      </c>
      <c r="P95" s="791">
        <f t="shared" si="22"/>
        <v>0</v>
      </c>
      <c r="Q95" s="796"/>
      <c r="R95" s="796"/>
      <c r="S95" s="796"/>
      <c r="T95" s="791">
        <f t="shared" si="23"/>
        <v>0</v>
      </c>
      <c r="U95" s="796"/>
      <c r="V95" s="796" t="e">
        <f t="shared" si="26"/>
        <v>#DIV/0!</v>
      </c>
      <c r="W95" s="799" t="e">
        <f t="shared" si="17"/>
        <v>#DIV/0!</v>
      </c>
      <c r="X95" s="799" t="e">
        <f t="shared" si="18"/>
        <v>#DIV/0!</v>
      </c>
      <c r="Y95" s="788"/>
    </row>
    <row r="96" spans="1:25" s="789" customFormat="1" hidden="1" x14ac:dyDescent="0.2">
      <c r="A96" s="793"/>
      <c r="B96" s="794" t="s">
        <v>43</v>
      </c>
      <c r="C96" s="795">
        <f>+G96</f>
        <v>0</v>
      </c>
      <c r="D96" s="795"/>
      <c r="E96" s="796"/>
      <c r="F96" s="796"/>
      <c r="G96" s="791">
        <f t="shared" si="20"/>
        <v>0</v>
      </c>
      <c r="H96" s="795"/>
      <c r="I96" s="795"/>
      <c r="J96" s="795"/>
      <c r="K96" s="791">
        <f t="shared" si="21"/>
        <v>0</v>
      </c>
      <c r="L96" s="792" t="e">
        <f t="shared" si="28"/>
        <v>#DIV/0!</v>
      </c>
      <c r="M96" s="796">
        <f t="shared" si="30"/>
        <v>0</v>
      </c>
      <c r="N96" s="796">
        <f t="shared" si="30"/>
        <v>0</v>
      </c>
      <c r="O96" s="796">
        <f t="shared" si="30"/>
        <v>0</v>
      </c>
      <c r="P96" s="791">
        <f t="shared" si="22"/>
        <v>0</v>
      </c>
      <c r="Q96" s="796"/>
      <c r="R96" s="796"/>
      <c r="S96" s="796"/>
      <c r="T96" s="791">
        <f t="shared" si="23"/>
        <v>0</v>
      </c>
      <c r="U96" s="796"/>
      <c r="V96" s="796" t="e">
        <f t="shared" si="26"/>
        <v>#DIV/0!</v>
      </c>
      <c r="W96" s="799" t="e">
        <f t="shared" si="17"/>
        <v>#DIV/0!</v>
      </c>
      <c r="X96" s="799" t="e">
        <f t="shared" si="18"/>
        <v>#DIV/0!</v>
      </c>
      <c r="Y96" s="788"/>
    </row>
    <row r="97" spans="1:25" s="789" customFormat="1" hidden="1" x14ac:dyDescent="0.2">
      <c r="A97" s="793"/>
      <c r="B97" s="794" t="s">
        <v>783</v>
      </c>
      <c r="C97" s="795">
        <f>+G97</f>
        <v>0</v>
      </c>
      <c r="D97" s="795"/>
      <c r="E97" s="796"/>
      <c r="F97" s="796"/>
      <c r="G97" s="791">
        <f t="shared" si="20"/>
        <v>0</v>
      </c>
      <c r="H97" s="795"/>
      <c r="I97" s="795"/>
      <c r="J97" s="795"/>
      <c r="K97" s="791">
        <f t="shared" si="21"/>
        <v>0</v>
      </c>
      <c r="L97" s="792" t="e">
        <f t="shared" si="28"/>
        <v>#DIV/0!</v>
      </c>
      <c r="M97" s="796">
        <f t="shared" si="30"/>
        <v>0</v>
      </c>
      <c r="N97" s="796">
        <f t="shared" si="30"/>
        <v>0</v>
      </c>
      <c r="O97" s="796">
        <f t="shared" si="30"/>
        <v>0</v>
      </c>
      <c r="P97" s="791">
        <f t="shared" si="22"/>
        <v>0</v>
      </c>
      <c r="Q97" s="796"/>
      <c r="R97" s="796"/>
      <c r="S97" s="796"/>
      <c r="T97" s="791">
        <f t="shared" si="23"/>
        <v>0</v>
      </c>
      <c r="U97" s="796"/>
      <c r="V97" s="796" t="e">
        <f t="shared" si="26"/>
        <v>#DIV/0!</v>
      </c>
      <c r="W97" s="799" t="e">
        <f t="shared" si="17"/>
        <v>#DIV/0!</v>
      </c>
      <c r="X97" s="799" t="e">
        <f t="shared" si="18"/>
        <v>#DIV/0!</v>
      </c>
      <c r="Y97" s="788"/>
    </row>
    <row r="98" spans="1:25" s="789" customFormat="1" x14ac:dyDescent="0.2">
      <c r="A98" s="793"/>
      <c r="B98" s="794"/>
      <c r="C98" s="795"/>
      <c r="D98" s="795"/>
      <c r="E98" s="796"/>
      <c r="F98" s="796"/>
      <c r="G98" s="791"/>
      <c r="H98" s="795"/>
      <c r="I98" s="795"/>
      <c r="J98" s="795"/>
      <c r="K98" s="791"/>
      <c r="L98" s="792"/>
      <c r="M98" s="795"/>
      <c r="N98" s="795"/>
      <c r="O98" s="795"/>
      <c r="P98" s="791"/>
      <c r="Q98" s="796"/>
      <c r="R98" s="796"/>
      <c r="S98" s="796"/>
      <c r="T98" s="791"/>
      <c r="U98" s="796"/>
      <c r="V98" s="796"/>
      <c r="W98" s="799"/>
      <c r="X98" s="799"/>
      <c r="Y98" s="788"/>
    </row>
    <row r="99" spans="1:25" s="789" customFormat="1" x14ac:dyDescent="0.2">
      <c r="A99" s="871" t="s">
        <v>45</v>
      </c>
      <c r="B99" s="872"/>
      <c r="C99" s="804">
        <f>+C64+C14</f>
        <v>50116080</v>
      </c>
      <c r="D99" s="804">
        <f t="shared" ref="D99:U99" si="31">+D64+D14</f>
        <v>21675093.059999999</v>
      </c>
      <c r="E99" s="804">
        <f t="shared" si="31"/>
        <v>30698296</v>
      </c>
      <c r="F99" s="804">
        <f t="shared" si="31"/>
        <v>1590000</v>
      </c>
      <c r="G99" s="786">
        <f>SUM(D99:F99)</f>
        <v>53963389.060000002</v>
      </c>
      <c r="H99" s="804">
        <f t="shared" si="31"/>
        <v>22343730.059999999</v>
      </c>
      <c r="I99" s="804">
        <f t="shared" si="31"/>
        <v>25160200.340000004</v>
      </c>
      <c r="J99" s="804">
        <f t="shared" si="31"/>
        <v>1532049.84</v>
      </c>
      <c r="K99" s="786">
        <f>SUM(H99:J99)</f>
        <v>49035980.24000001</v>
      </c>
      <c r="L99" s="805">
        <f t="shared" si="28"/>
        <v>0.90868978198308892</v>
      </c>
      <c r="M99" s="804">
        <f>+M64+M14</f>
        <v>-668636.99999999837</v>
      </c>
      <c r="N99" s="804">
        <f>+N64+N14</f>
        <v>5538095.6599999974</v>
      </c>
      <c r="O99" s="804">
        <f>+O64+O14</f>
        <v>57950.159999999916</v>
      </c>
      <c r="P99" s="786">
        <f>SUM(M99:O99)</f>
        <v>4927408.8199999994</v>
      </c>
      <c r="Q99" s="804">
        <f t="shared" si="31"/>
        <v>22343729.059999999</v>
      </c>
      <c r="R99" s="804">
        <f t="shared" si="31"/>
        <v>22602634.889999997</v>
      </c>
      <c r="S99" s="804">
        <f t="shared" si="31"/>
        <v>1532049.84</v>
      </c>
      <c r="T99" s="786">
        <f>SUM(Q99:S99)</f>
        <v>46478413.789999999</v>
      </c>
      <c r="U99" s="806">
        <f t="shared" si="31"/>
        <v>44206940.060000002</v>
      </c>
      <c r="V99" s="807">
        <f>+T99/U99</f>
        <v>1.0513827405135265</v>
      </c>
      <c r="W99" s="808">
        <f>+T99/G99</f>
        <v>0.86129530779325736</v>
      </c>
      <c r="X99" s="808">
        <f>+T99/K99</f>
        <v>0.94784306467450341</v>
      </c>
      <c r="Y99" s="809"/>
    </row>
    <row r="100" spans="1:25" s="789" customFormat="1" x14ac:dyDescent="0.2">
      <c r="A100" s="793"/>
      <c r="B100" s="794"/>
      <c r="C100" s="795"/>
      <c r="D100" s="795"/>
      <c r="E100" s="796"/>
      <c r="F100" s="796"/>
      <c r="G100" s="796"/>
      <c r="H100" s="795"/>
      <c r="I100" s="795"/>
      <c r="J100" s="795"/>
      <c r="K100" s="796"/>
      <c r="L100" s="799"/>
      <c r="M100" s="795"/>
      <c r="N100" s="795"/>
      <c r="O100" s="795"/>
      <c r="P100" s="796"/>
      <c r="Q100" s="796"/>
      <c r="R100" s="796"/>
      <c r="S100" s="796"/>
      <c r="T100" s="796"/>
      <c r="U100" s="796"/>
      <c r="V100" s="796"/>
      <c r="W100" s="799"/>
      <c r="X100" s="799"/>
      <c r="Y100" s="788"/>
    </row>
    <row r="101" spans="1:25" s="811" customFormat="1" hidden="1" x14ac:dyDescent="0.2">
      <c r="A101" s="783"/>
      <c r="B101" s="784" t="s">
        <v>784</v>
      </c>
      <c r="C101" s="791"/>
      <c r="D101" s="791"/>
      <c r="E101" s="791"/>
      <c r="F101" s="791"/>
      <c r="G101" s="791">
        <f t="shared" si="20"/>
        <v>0</v>
      </c>
      <c r="H101" s="791"/>
      <c r="I101" s="791"/>
      <c r="J101" s="791"/>
      <c r="K101" s="791">
        <f t="shared" si="21"/>
        <v>0</v>
      </c>
      <c r="L101" s="792" t="e">
        <f t="shared" si="28"/>
        <v>#DIV/0!</v>
      </c>
      <c r="M101" s="791"/>
      <c r="N101" s="791"/>
      <c r="O101" s="791"/>
      <c r="P101" s="791">
        <f>SUM(M101:O101)</f>
        <v>0</v>
      </c>
      <c r="Q101" s="791"/>
      <c r="R101" s="791"/>
      <c r="S101" s="791"/>
      <c r="T101" s="791">
        <f>SUM(Q101:S101)</f>
        <v>0</v>
      </c>
      <c r="U101" s="791"/>
      <c r="V101" s="791" t="e">
        <f>+T101/U101</f>
        <v>#DIV/0!</v>
      </c>
      <c r="W101" s="792" t="e">
        <f>+T101/G101</f>
        <v>#DIV/0!</v>
      </c>
      <c r="X101" s="792" t="e">
        <f>+T101/K101</f>
        <v>#DIV/0!</v>
      </c>
      <c r="Y101" s="810"/>
    </row>
    <row r="102" spans="1:25" s="789" customFormat="1" hidden="1" x14ac:dyDescent="0.2">
      <c r="A102" s="793"/>
      <c r="B102" s="794"/>
      <c r="C102" s="795"/>
      <c r="D102" s="795"/>
      <c r="E102" s="796"/>
      <c r="F102" s="796"/>
      <c r="G102" s="791"/>
      <c r="H102" s="795"/>
      <c r="I102" s="795"/>
      <c r="J102" s="795"/>
      <c r="K102" s="791"/>
      <c r="L102" s="792"/>
      <c r="M102" s="795"/>
      <c r="N102" s="795"/>
      <c r="O102" s="795"/>
      <c r="P102" s="791"/>
      <c r="Q102" s="796"/>
      <c r="R102" s="796"/>
      <c r="S102" s="796"/>
      <c r="T102" s="791"/>
      <c r="U102" s="791"/>
      <c r="V102" s="791"/>
      <c r="W102" s="792"/>
      <c r="X102" s="792"/>
      <c r="Y102" s="788"/>
    </row>
    <row r="103" spans="1:25" s="789" customFormat="1" hidden="1" x14ac:dyDescent="0.2">
      <c r="A103" s="793"/>
      <c r="B103" s="794"/>
      <c r="C103" s="795"/>
      <c r="D103" s="795"/>
      <c r="E103" s="796"/>
      <c r="F103" s="796"/>
      <c r="G103" s="791"/>
      <c r="H103" s="795"/>
      <c r="I103" s="795"/>
      <c r="J103" s="795"/>
      <c r="K103" s="791"/>
      <c r="L103" s="792"/>
      <c r="M103" s="795"/>
      <c r="N103" s="795"/>
      <c r="O103" s="795"/>
      <c r="P103" s="791"/>
      <c r="Q103" s="796"/>
      <c r="R103" s="796"/>
      <c r="S103" s="796"/>
      <c r="T103" s="791"/>
      <c r="U103" s="791"/>
      <c r="V103" s="791"/>
      <c r="W103" s="792"/>
      <c r="X103" s="792"/>
      <c r="Y103" s="788"/>
    </row>
    <row r="104" spans="1:25" s="789" customFormat="1" hidden="1" x14ac:dyDescent="0.2">
      <c r="A104" s="793"/>
      <c r="B104" s="794"/>
      <c r="C104" s="795"/>
      <c r="D104" s="795"/>
      <c r="E104" s="796"/>
      <c r="F104" s="796"/>
      <c r="G104" s="791"/>
      <c r="H104" s="795"/>
      <c r="I104" s="795"/>
      <c r="J104" s="795"/>
      <c r="K104" s="791"/>
      <c r="L104" s="792"/>
      <c r="M104" s="795"/>
      <c r="N104" s="795"/>
      <c r="O104" s="795"/>
      <c r="P104" s="791"/>
      <c r="Q104" s="796"/>
      <c r="R104" s="796"/>
      <c r="S104" s="796"/>
      <c r="T104" s="791"/>
      <c r="U104" s="791"/>
      <c r="V104" s="791"/>
      <c r="W104" s="792"/>
      <c r="X104" s="792"/>
      <c r="Y104" s="788"/>
    </row>
    <row r="105" spans="1:25" s="789" customFormat="1" x14ac:dyDescent="0.2">
      <c r="A105" s="812"/>
      <c r="B105" s="813"/>
      <c r="C105" s="814"/>
      <c r="D105" s="814"/>
      <c r="E105" s="814"/>
      <c r="F105" s="814"/>
      <c r="G105" s="815"/>
      <c r="H105" s="814"/>
      <c r="I105" s="814"/>
      <c r="J105" s="814"/>
      <c r="K105" s="815"/>
      <c r="L105" s="816"/>
      <c r="M105" s="814"/>
      <c r="N105" s="814"/>
      <c r="O105" s="814"/>
      <c r="P105" s="815"/>
      <c r="Q105" s="814"/>
      <c r="R105" s="814"/>
      <c r="S105" s="814"/>
      <c r="T105" s="815"/>
      <c r="U105" s="815"/>
      <c r="V105" s="815"/>
      <c r="W105" s="816"/>
      <c r="X105" s="816"/>
      <c r="Y105" s="817"/>
    </row>
    <row r="106" spans="1:25" s="789" customFormat="1" x14ac:dyDescent="0.2">
      <c r="A106" s="871" t="s">
        <v>785</v>
      </c>
      <c r="B106" s="873"/>
      <c r="C106" s="786">
        <f>+C14+C64</f>
        <v>50116080</v>
      </c>
      <c r="D106" s="786">
        <f>+D99+D101</f>
        <v>21675093.059999999</v>
      </c>
      <c r="E106" s="786">
        <f t="shared" ref="E106:U106" si="32">+E99+E101</f>
        <v>30698296</v>
      </c>
      <c r="F106" s="786">
        <f t="shared" si="32"/>
        <v>1590000</v>
      </c>
      <c r="G106" s="786">
        <f>SUM(D106:F106)</f>
        <v>53963389.060000002</v>
      </c>
      <c r="H106" s="786">
        <f t="shared" si="32"/>
        <v>22343730.059999999</v>
      </c>
      <c r="I106" s="786">
        <f>+I99+I101</f>
        <v>25160200.340000004</v>
      </c>
      <c r="J106" s="786">
        <f t="shared" si="32"/>
        <v>1532049.84</v>
      </c>
      <c r="K106" s="786">
        <f>SUM(H106:J106)</f>
        <v>49035980.24000001</v>
      </c>
      <c r="L106" s="802">
        <f>+K106/G106</f>
        <v>0.90868978198308892</v>
      </c>
      <c r="M106" s="786">
        <f>+M99+M101</f>
        <v>-668636.99999999837</v>
      </c>
      <c r="N106" s="786">
        <f>+N99+N101</f>
        <v>5538095.6599999974</v>
      </c>
      <c r="O106" s="786">
        <f>+O99+O101</f>
        <v>57950.159999999916</v>
      </c>
      <c r="P106" s="786">
        <f>SUM(M106:O106)</f>
        <v>4927408.8199999994</v>
      </c>
      <c r="Q106" s="786">
        <f t="shared" si="32"/>
        <v>22343729.059999999</v>
      </c>
      <c r="R106" s="786">
        <f t="shared" si="32"/>
        <v>22602634.889999997</v>
      </c>
      <c r="S106" s="786">
        <f t="shared" si="32"/>
        <v>1532049.84</v>
      </c>
      <c r="T106" s="786">
        <f>SUM(Q106:S106)</f>
        <v>46478413.789999999</v>
      </c>
      <c r="U106" s="786">
        <f t="shared" si="32"/>
        <v>44206940.060000002</v>
      </c>
      <c r="V106" s="786">
        <f>+T106/U106</f>
        <v>1.0513827405135265</v>
      </c>
      <c r="W106" s="787">
        <f>+T106/G106</f>
        <v>0.86129530779325736</v>
      </c>
      <c r="X106" s="787">
        <f>+T106/K106</f>
        <v>0.94784306467450341</v>
      </c>
      <c r="Y106" s="809" t="s">
        <v>786</v>
      </c>
    </row>
    <row r="107" spans="1:25" s="789" customFormat="1" x14ac:dyDescent="0.2">
      <c r="A107" s="874" t="s">
        <v>46</v>
      </c>
      <c r="B107" s="875"/>
      <c r="C107" s="818"/>
      <c r="D107" s="818"/>
      <c r="E107" s="818"/>
      <c r="F107" s="818"/>
      <c r="G107" s="819"/>
      <c r="H107" s="818"/>
      <c r="I107" s="818"/>
      <c r="J107" s="818"/>
      <c r="K107" s="818"/>
      <c r="L107" s="820"/>
      <c r="M107" s="821"/>
      <c r="N107" s="821"/>
      <c r="O107" s="821"/>
      <c r="P107" s="821"/>
      <c r="Q107" s="818"/>
      <c r="R107" s="818"/>
      <c r="S107" s="818"/>
      <c r="T107" s="818"/>
      <c r="U107" s="818"/>
      <c r="V107" s="818"/>
      <c r="W107" s="820"/>
      <c r="X107" s="820"/>
      <c r="Y107" s="822"/>
    </row>
    <row r="108" spans="1:25" s="789" customFormat="1" x14ac:dyDescent="0.2">
      <c r="A108" s="823" t="s">
        <v>787</v>
      </c>
      <c r="B108" s="823"/>
      <c r="C108" s="809"/>
      <c r="D108" s="809"/>
      <c r="E108" s="824"/>
      <c r="F108" s="809"/>
      <c r="G108" s="809"/>
      <c r="H108" s="809"/>
      <c r="I108" s="809"/>
      <c r="J108" s="825"/>
      <c r="K108" s="824"/>
      <c r="L108" s="826"/>
      <c r="M108" s="826"/>
      <c r="N108" s="826"/>
      <c r="O108" s="826"/>
      <c r="P108" s="826"/>
      <c r="Q108" s="809"/>
      <c r="R108" s="809"/>
      <c r="S108" s="825"/>
      <c r="T108" s="824"/>
      <c r="U108" s="824"/>
      <c r="V108" s="824"/>
      <c r="W108" s="826"/>
      <c r="X108" s="826"/>
      <c r="Y108" s="809"/>
    </row>
    <row r="109" spans="1:25" s="789" customFormat="1" x14ac:dyDescent="0.2">
      <c r="A109" s="827"/>
      <c r="B109" s="828" t="s">
        <v>48</v>
      </c>
      <c r="C109" s="829">
        <f>SUM(C114:C131)+C111</f>
        <v>20106100.640000001</v>
      </c>
      <c r="D109" s="829">
        <f>SUM(D114:D131)+D111</f>
        <v>2560000</v>
      </c>
      <c r="E109" s="829">
        <f>SUM(E114:E131)+E111</f>
        <v>17342945.460000001</v>
      </c>
      <c r="F109" s="829">
        <f t="shared" ref="F109:J109" si="33">SUM(F114:F133)+F111</f>
        <v>0</v>
      </c>
      <c r="G109" s="829">
        <f>SUM(D109:F109)</f>
        <v>19902945.460000001</v>
      </c>
      <c r="H109" s="829">
        <f t="shared" si="33"/>
        <v>2557000</v>
      </c>
      <c r="I109" s="829">
        <f t="shared" si="33"/>
        <v>15118243.460000001</v>
      </c>
      <c r="J109" s="829">
        <f t="shared" si="33"/>
        <v>0</v>
      </c>
      <c r="K109" s="829">
        <f>SUM(H109:J109)</f>
        <v>17675243.460000001</v>
      </c>
      <c r="L109" s="802">
        <f>+K109/G109</f>
        <v>0.88807174272385314</v>
      </c>
      <c r="M109" s="829">
        <f>SUM(M114:M133)+M111</f>
        <v>3000</v>
      </c>
      <c r="N109" s="829">
        <f>SUM(N114:N133)+N111</f>
        <v>2224702</v>
      </c>
      <c r="O109" s="829">
        <f>SUM(O114:O133)+O111</f>
        <v>0</v>
      </c>
      <c r="P109" s="829">
        <f>SUM(M109:O109)</f>
        <v>2227702</v>
      </c>
      <c r="Q109" s="829">
        <f>SUM(Q114:Q133)+Q111</f>
        <v>3417491</v>
      </c>
      <c r="R109" s="829">
        <f>SUM(R114:R133)+R111</f>
        <v>14638452.120000001</v>
      </c>
      <c r="S109" s="829">
        <f>SUM(S114:S133)+S111</f>
        <v>0</v>
      </c>
      <c r="T109" s="829">
        <f>SUM(Q109:S109)</f>
        <v>18055943.120000001</v>
      </c>
      <c r="U109" s="829">
        <f>SUM(U114:U133)+U111</f>
        <v>0</v>
      </c>
      <c r="V109" s="786" t="e">
        <f>+T109/U109</f>
        <v>#DIV/0!</v>
      </c>
      <c r="W109" s="787">
        <f>+T109/G109</f>
        <v>0.90719954773970424</v>
      </c>
      <c r="X109" s="787">
        <f>+T109/K109</f>
        <v>1.0215385808326511</v>
      </c>
      <c r="Y109" s="809"/>
    </row>
    <row r="110" spans="1:25" s="789" customFormat="1" x14ac:dyDescent="0.2">
      <c r="A110" s="830"/>
      <c r="B110" s="831"/>
      <c r="C110" s="788"/>
      <c r="D110" s="788"/>
      <c r="E110" s="788"/>
      <c r="F110" s="788"/>
      <c r="G110" s="795"/>
      <c r="H110" s="788"/>
      <c r="I110" s="788"/>
      <c r="J110" s="788"/>
      <c r="K110" s="795"/>
      <c r="L110" s="832"/>
      <c r="M110" s="832"/>
      <c r="N110" s="832"/>
      <c r="O110" s="832"/>
      <c r="P110" s="832"/>
      <c r="Q110" s="788"/>
      <c r="R110" s="788"/>
      <c r="S110" s="788"/>
      <c r="T110" s="795"/>
      <c r="U110" s="795"/>
      <c r="V110" s="795"/>
      <c r="W110" s="832"/>
      <c r="X110" s="832"/>
      <c r="Y110" s="794"/>
    </row>
    <row r="111" spans="1:25" s="789" customFormat="1" hidden="1" x14ac:dyDescent="0.2">
      <c r="A111" s="833" t="s">
        <v>801</v>
      </c>
      <c r="B111" s="834" t="s">
        <v>788</v>
      </c>
      <c r="C111" s="835">
        <f>SUM(C112:C113)</f>
        <v>0</v>
      </c>
      <c r="D111" s="835">
        <f>SUM(D112:D113)</f>
        <v>0</v>
      </c>
      <c r="E111" s="835">
        <f>SUM(E112:E113)</f>
        <v>0</v>
      </c>
      <c r="F111" s="835">
        <f>SUM(F112:F113)</f>
        <v>0</v>
      </c>
      <c r="G111" s="791">
        <f>SUM(D111:F111)</f>
        <v>0</v>
      </c>
      <c r="H111" s="835">
        <f>SUM(H112:H113)</f>
        <v>0</v>
      </c>
      <c r="I111" s="835">
        <f>SUM(I112:I113)</f>
        <v>0</v>
      </c>
      <c r="J111" s="835">
        <f>SUM(J112:J113)</f>
        <v>0</v>
      </c>
      <c r="K111" s="791">
        <f>SUM(H111:J111)</f>
        <v>0</v>
      </c>
      <c r="L111" s="792" t="e">
        <f>+K111/G111</f>
        <v>#DIV/0!</v>
      </c>
      <c r="M111" s="835">
        <f>SUM(M112:M113)</f>
        <v>0</v>
      </c>
      <c r="N111" s="835">
        <f>SUM(N112:N113)</f>
        <v>0</v>
      </c>
      <c r="O111" s="835">
        <f>SUM(O112:O113)</f>
        <v>0</v>
      </c>
      <c r="P111" s="791">
        <f>SUM(M111:O111)</f>
        <v>0</v>
      </c>
      <c r="Q111" s="835">
        <f>SUM(Q112:Q113)</f>
        <v>0</v>
      </c>
      <c r="R111" s="835">
        <f>SUM(R112:R113)</f>
        <v>0</v>
      </c>
      <c r="S111" s="835">
        <f>SUM(S112:S113)</f>
        <v>0</v>
      </c>
      <c r="T111" s="791">
        <f>SUM(Q111:S111)</f>
        <v>0</v>
      </c>
      <c r="U111" s="835">
        <f>SUM(U112:U113)</f>
        <v>0</v>
      </c>
      <c r="V111" s="791" t="e">
        <f t="shared" ref="V111:V132" si="34">+T111/U111</f>
        <v>#DIV/0!</v>
      </c>
      <c r="W111" s="792" t="e">
        <f t="shared" ref="W111:W132" si="35">+T111/G111</f>
        <v>#DIV/0!</v>
      </c>
      <c r="X111" s="792" t="e">
        <f t="shared" ref="X111:X132" si="36">+T111/K111</f>
        <v>#DIV/0!</v>
      </c>
      <c r="Y111" s="794"/>
    </row>
    <row r="112" spans="1:25" s="789" customFormat="1" hidden="1" x14ac:dyDescent="0.2">
      <c r="A112" s="833"/>
      <c r="B112" s="834" t="s">
        <v>789</v>
      </c>
      <c r="C112" s="835">
        <f t="shared" ref="C112:F127" si="37">+C137+C162</f>
        <v>0</v>
      </c>
      <c r="D112" s="835">
        <f t="shared" si="37"/>
        <v>0</v>
      </c>
      <c r="E112" s="835">
        <f t="shared" si="37"/>
        <v>0</v>
      </c>
      <c r="F112" s="835">
        <f t="shared" si="37"/>
        <v>0</v>
      </c>
      <c r="G112" s="791">
        <f t="shared" ref="G112:G132" si="38">SUM(D112:F112)</f>
        <v>0</v>
      </c>
      <c r="H112" s="835">
        <f t="shared" ref="H112:J127" si="39">+H137+H162</f>
        <v>0</v>
      </c>
      <c r="I112" s="835">
        <f t="shared" si="39"/>
        <v>0</v>
      </c>
      <c r="J112" s="835">
        <f t="shared" si="39"/>
        <v>0</v>
      </c>
      <c r="K112" s="791">
        <f t="shared" ref="K112:K132" si="40">SUM(H112:J112)</f>
        <v>0</v>
      </c>
      <c r="L112" s="792"/>
      <c r="M112" s="835">
        <f t="shared" ref="M112:O127" si="41">+M137+M162</f>
        <v>0</v>
      </c>
      <c r="N112" s="835">
        <f t="shared" si="41"/>
        <v>0</v>
      </c>
      <c r="O112" s="835">
        <f t="shared" si="41"/>
        <v>0</v>
      </c>
      <c r="P112" s="791">
        <f t="shared" ref="P112:P132" si="42">SUM(M112:O112)</f>
        <v>0</v>
      </c>
      <c r="Q112" s="835">
        <f t="shared" ref="Q112:S127" si="43">+Q137+Q162</f>
        <v>0</v>
      </c>
      <c r="R112" s="835">
        <f t="shared" si="43"/>
        <v>0</v>
      </c>
      <c r="S112" s="835">
        <f t="shared" si="43"/>
        <v>0</v>
      </c>
      <c r="T112" s="791">
        <f t="shared" ref="T112:T132" si="44">SUM(Q112:S112)</f>
        <v>0</v>
      </c>
      <c r="U112" s="835">
        <f>+U137+U162</f>
        <v>0</v>
      </c>
      <c r="V112" s="791" t="e">
        <f t="shared" si="34"/>
        <v>#DIV/0!</v>
      </c>
      <c r="W112" s="792" t="e">
        <f t="shared" si="35"/>
        <v>#DIV/0!</v>
      </c>
      <c r="X112" s="792" t="e">
        <f t="shared" si="36"/>
        <v>#DIV/0!</v>
      </c>
      <c r="Y112" s="794"/>
    </row>
    <row r="113" spans="1:25" s="789" customFormat="1" hidden="1" x14ac:dyDescent="0.2">
      <c r="A113" s="833"/>
      <c r="B113" s="834" t="s">
        <v>790</v>
      </c>
      <c r="C113" s="835">
        <f t="shared" si="37"/>
        <v>0</v>
      </c>
      <c r="D113" s="835">
        <f t="shared" si="37"/>
        <v>0</v>
      </c>
      <c r="E113" s="835">
        <f t="shared" si="37"/>
        <v>0</v>
      </c>
      <c r="F113" s="835">
        <f t="shared" si="37"/>
        <v>0</v>
      </c>
      <c r="G113" s="791">
        <f t="shared" si="38"/>
        <v>0</v>
      </c>
      <c r="H113" s="835">
        <f t="shared" si="39"/>
        <v>0</v>
      </c>
      <c r="I113" s="835">
        <f t="shared" si="39"/>
        <v>0</v>
      </c>
      <c r="J113" s="835">
        <f t="shared" si="39"/>
        <v>0</v>
      </c>
      <c r="K113" s="791">
        <f t="shared" si="40"/>
        <v>0</v>
      </c>
      <c r="L113" s="792" t="e">
        <f t="shared" ref="L113:L132" si="45">+K113/G113</f>
        <v>#DIV/0!</v>
      </c>
      <c r="M113" s="835">
        <f t="shared" si="41"/>
        <v>0</v>
      </c>
      <c r="N113" s="835">
        <f t="shared" si="41"/>
        <v>0</v>
      </c>
      <c r="O113" s="835">
        <f t="shared" si="41"/>
        <v>0</v>
      </c>
      <c r="P113" s="791">
        <f t="shared" si="42"/>
        <v>0</v>
      </c>
      <c r="Q113" s="835">
        <f t="shared" si="43"/>
        <v>0</v>
      </c>
      <c r="R113" s="835">
        <f t="shared" si="43"/>
        <v>0</v>
      </c>
      <c r="S113" s="835">
        <f t="shared" si="43"/>
        <v>0</v>
      </c>
      <c r="T113" s="791">
        <f t="shared" si="44"/>
        <v>0</v>
      </c>
      <c r="U113" s="835">
        <f>+U138+U163</f>
        <v>0</v>
      </c>
      <c r="V113" s="791" t="e">
        <f t="shared" si="34"/>
        <v>#DIV/0!</v>
      </c>
      <c r="W113" s="792" t="e">
        <f t="shared" si="35"/>
        <v>#DIV/0!</v>
      </c>
      <c r="X113" s="792" t="e">
        <f t="shared" si="36"/>
        <v>#DIV/0!</v>
      </c>
      <c r="Y113" s="794"/>
    </row>
    <row r="114" spans="1:25" s="789" customFormat="1" hidden="1" x14ac:dyDescent="0.2">
      <c r="A114" s="833" t="s">
        <v>801</v>
      </c>
      <c r="B114" s="834" t="s">
        <v>791</v>
      </c>
      <c r="C114" s="835">
        <f t="shared" si="37"/>
        <v>0</v>
      </c>
      <c r="D114" s="835">
        <f t="shared" si="37"/>
        <v>0</v>
      </c>
      <c r="E114" s="835">
        <f t="shared" si="37"/>
        <v>0</v>
      </c>
      <c r="F114" s="835">
        <f t="shared" si="37"/>
        <v>0</v>
      </c>
      <c r="G114" s="791">
        <f t="shared" si="38"/>
        <v>0</v>
      </c>
      <c r="H114" s="835">
        <f t="shared" si="39"/>
        <v>0</v>
      </c>
      <c r="I114" s="835">
        <f t="shared" si="39"/>
        <v>0</v>
      </c>
      <c r="J114" s="835">
        <f t="shared" si="39"/>
        <v>0</v>
      </c>
      <c r="K114" s="791">
        <f t="shared" si="40"/>
        <v>0</v>
      </c>
      <c r="L114" s="792" t="e">
        <f t="shared" si="45"/>
        <v>#DIV/0!</v>
      </c>
      <c r="M114" s="835">
        <f t="shared" si="41"/>
        <v>0</v>
      </c>
      <c r="N114" s="835">
        <f t="shared" si="41"/>
        <v>0</v>
      </c>
      <c r="O114" s="835">
        <f t="shared" si="41"/>
        <v>0</v>
      </c>
      <c r="P114" s="791">
        <f t="shared" si="42"/>
        <v>0</v>
      </c>
      <c r="Q114" s="835">
        <f t="shared" si="43"/>
        <v>0</v>
      </c>
      <c r="R114" s="835">
        <f t="shared" si="43"/>
        <v>0</v>
      </c>
      <c r="S114" s="835">
        <f t="shared" si="43"/>
        <v>0</v>
      </c>
      <c r="T114" s="791">
        <f t="shared" si="44"/>
        <v>0</v>
      </c>
      <c r="U114" s="835">
        <f>+U139+U164</f>
        <v>0</v>
      </c>
      <c r="V114" s="791" t="e">
        <f t="shared" si="34"/>
        <v>#DIV/0!</v>
      </c>
      <c r="W114" s="792" t="e">
        <f t="shared" si="35"/>
        <v>#DIV/0!</v>
      </c>
      <c r="X114" s="792" t="e">
        <f t="shared" si="36"/>
        <v>#DIV/0!</v>
      </c>
      <c r="Y114" s="794"/>
    </row>
    <row r="115" spans="1:25" s="789" customFormat="1" hidden="1" x14ac:dyDescent="0.2">
      <c r="A115" s="833" t="s">
        <v>801</v>
      </c>
      <c r="B115" s="834" t="s">
        <v>792</v>
      </c>
      <c r="C115" s="835">
        <f t="shared" si="37"/>
        <v>0</v>
      </c>
      <c r="D115" s="835">
        <f t="shared" si="37"/>
        <v>0</v>
      </c>
      <c r="E115" s="835">
        <f t="shared" si="37"/>
        <v>0</v>
      </c>
      <c r="F115" s="835">
        <f t="shared" si="37"/>
        <v>0</v>
      </c>
      <c r="G115" s="791">
        <f t="shared" si="38"/>
        <v>0</v>
      </c>
      <c r="H115" s="835">
        <f t="shared" si="39"/>
        <v>0</v>
      </c>
      <c r="I115" s="835">
        <f t="shared" si="39"/>
        <v>0</v>
      </c>
      <c r="J115" s="835">
        <f t="shared" si="39"/>
        <v>0</v>
      </c>
      <c r="K115" s="791">
        <f t="shared" si="40"/>
        <v>0</v>
      </c>
      <c r="L115" s="792" t="e">
        <f t="shared" si="45"/>
        <v>#DIV/0!</v>
      </c>
      <c r="M115" s="835">
        <f t="shared" si="41"/>
        <v>0</v>
      </c>
      <c r="N115" s="835">
        <f t="shared" si="41"/>
        <v>0</v>
      </c>
      <c r="O115" s="835">
        <f t="shared" si="41"/>
        <v>0</v>
      </c>
      <c r="P115" s="791">
        <f t="shared" si="42"/>
        <v>0</v>
      </c>
      <c r="Q115" s="835">
        <f t="shared" si="43"/>
        <v>0</v>
      </c>
      <c r="R115" s="835">
        <f t="shared" si="43"/>
        <v>0</v>
      </c>
      <c r="S115" s="835">
        <f t="shared" si="43"/>
        <v>0</v>
      </c>
      <c r="T115" s="791">
        <f t="shared" si="44"/>
        <v>0</v>
      </c>
      <c r="U115" s="835">
        <f t="shared" ref="U115:U132" si="46">+U140+U165</f>
        <v>0</v>
      </c>
      <c r="V115" s="791" t="e">
        <f t="shared" si="34"/>
        <v>#DIV/0!</v>
      </c>
      <c r="W115" s="792" t="e">
        <f t="shared" si="35"/>
        <v>#DIV/0!</v>
      </c>
      <c r="X115" s="792" t="e">
        <f t="shared" si="36"/>
        <v>#DIV/0!</v>
      </c>
      <c r="Y115" s="794"/>
    </row>
    <row r="116" spans="1:25" s="789" customFormat="1" hidden="1" x14ac:dyDescent="0.2">
      <c r="A116" s="833" t="s">
        <v>801</v>
      </c>
      <c r="B116" s="834" t="s">
        <v>793</v>
      </c>
      <c r="C116" s="835">
        <f t="shared" si="37"/>
        <v>0</v>
      </c>
      <c r="D116" s="835">
        <f t="shared" si="37"/>
        <v>0</v>
      </c>
      <c r="E116" s="835">
        <f t="shared" si="37"/>
        <v>0</v>
      </c>
      <c r="F116" s="835">
        <f t="shared" si="37"/>
        <v>0</v>
      </c>
      <c r="G116" s="791">
        <f t="shared" si="38"/>
        <v>0</v>
      </c>
      <c r="H116" s="835">
        <f t="shared" si="39"/>
        <v>0</v>
      </c>
      <c r="I116" s="835">
        <f t="shared" si="39"/>
        <v>0</v>
      </c>
      <c r="J116" s="835">
        <f t="shared" si="39"/>
        <v>0</v>
      </c>
      <c r="K116" s="791">
        <f t="shared" si="40"/>
        <v>0</v>
      </c>
      <c r="L116" s="792" t="e">
        <f t="shared" si="45"/>
        <v>#DIV/0!</v>
      </c>
      <c r="M116" s="835">
        <f t="shared" si="41"/>
        <v>0</v>
      </c>
      <c r="N116" s="835">
        <f t="shared" si="41"/>
        <v>0</v>
      </c>
      <c r="O116" s="835">
        <f t="shared" si="41"/>
        <v>0</v>
      </c>
      <c r="P116" s="791">
        <f t="shared" si="42"/>
        <v>0</v>
      </c>
      <c r="Q116" s="835">
        <f t="shared" si="43"/>
        <v>0</v>
      </c>
      <c r="R116" s="835">
        <f t="shared" si="43"/>
        <v>0</v>
      </c>
      <c r="S116" s="835">
        <f t="shared" si="43"/>
        <v>0</v>
      </c>
      <c r="T116" s="791">
        <f t="shared" si="44"/>
        <v>0</v>
      </c>
      <c r="U116" s="835">
        <f t="shared" si="46"/>
        <v>0</v>
      </c>
      <c r="V116" s="791" t="e">
        <f t="shared" si="34"/>
        <v>#DIV/0!</v>
      </c>
      <c r="W116" s="792" t="e">
        <f t="shared" si="35"/>
        <v>#DIV/0!</v>
      </c>
      <c r="X116" s="792" t="e">
        <f t="shared" si="36"/>
        <v>#DIV/0!</v>
      </c>
      <c r="Y116" s="794"/>
    </row>
    <row r="117" spans="1:25" s="789" customFormat="1" hidden="1" x14ac:dyDescent="0.2">
      <c r="A117" s="833" t="s">
        <v>801</v>
      </c>
      <c r="B117" s="834" t="s">
        <v>53</v>
      </c>
      <c r="C117" s="835">
        <f t="shared" si="37"/>
        <v>0</v>
      </c>
      <c r="D117" s="835">
        <f t="shared" si="37"/>
        <v>0</v>
      </c>
      <c r="E117" s="835">
        <f t="shared" si="37"/>
        <v>0</v>
      </c>
      <c r="F117" s="835">
        <f t="shared" si="37"/>
        <v>0</v>
      </c>
      <c r="G117" s="791">
        <f t="shared" si="38"/>
        <v>0</v>
      </c>
      <c r="H117" s="835">
        <f t="shared" si="39"/>
        <v>0</v>
      </c>
      <c r="I117" s="835">
        <f t="shared" si="39"/>
        <v>0</v>
      </c>
      <c r="J117" s="835">
        <f t="shared" si="39"/>
        <v>0</v>
      </c>
      <c r="K117" s="791">
        <f t="shared" si="40"/>
        <v>0</v>
      </c>
      <c r="L117" s="792" t="e">
        <f t="shared" si="45"/>
        <v>#DIV/0!</v>
      </c>
      <c r="M117" s="835">
        <f t="shared" si="41"/>
        <v>0</v>
      </c>
      <c r="N117" s="835">
        <f t="shared" si="41"/>
        <v>0</v>
      </c>
      <c r="O117" s="835">
        <f t="shared" si="41"/>
        <v>0</v>
      </c>
      <c r="P117" s="791">
        <f t="shared" si="42"/>
        <v>0</v>
      </c>
      <c r="Q117" s="835">
        <f t="shared" si="43"/>
        <v>0</v>
      </c>
      <c r="R117" s="835">
        <f t="shared" si="43"/>
        <v>0</v>
      </c>
      <c r="S117" s="835">
        <f t="shared" si="43"/>
        <v>0</v>
      </c>
      <c r="T117" s="791">
        <f t="shared" si="44"/>
        <v>0</v>
      </c>
      <c r="U117" s="835">
        <f t="shared" si="46"/>
        <v>0</v>
      </c>
      <c r="V117" s="791" t="e">
        <f t="shared" si="34"/>
        <v>#DIV/0!</v>
      </c>
      <c r="W117" s="792" t="e">
        <f t="shared" si="35"/>
        <v>#DIV/0!</v>
      </c>
      <c r="X117" s="792" t="e">
        <f t="shared" si="36"/>
        <v>#DIV/0!</v>
      </c>
      <c r="Y117" s="794"/>
    </row>
    <row r="118" spans="1:25" s="789" customFormat="1" hidden="1" x14ac:dyDescent="0.2">
      <c r="A118" s="833" t="s">
        <v>801</v>
      </c>
      <c r="B118" s="834" t="s">
        <v>52</v>
      </c>
      <c r="C118" s="835">
        <f t="shared" si="37"/>
        <v>0</v>
      </c>
      <c r="D118" s="835">
        <f t="shared" si="37"/>
        <v>0</v>
      </c>
      <c r="E118" s="835">
        <f t="shared" si="37"/>
        <v>0</v>
      </c>
      <c r="F118" s="835">
        <f t="shared" si="37"/>
        <v>0</v>
      </c>
      <c r="G118" s="791">
        <f t="shared" si="38"/>
        <v>0</v>
      </c>
      <c r="H118" s="835">
        <f t="shared" si="39"/>
        <v>0</v>
      </c>
      <c r="I118" s="835">
        <f t="shared" si="39"/>
        <v>0</v>
      </c>
      <c r="J118" s="835">
        <f t="shared" si="39"/>
        <v>0</v>
      </c>
      <c r="K118" s="791">
        <f t="shared" si="40"/>
        <v>0</v>
      </c>
      <c r="L118" s="792" t="e">
        <f t="shared" si="45"/>
        <v>#DIV/0!</v>
      </c>
      <c r="M118" s="835">
        <f t="shared" si="41"/>
        <v>0</v>
      </c>
      <c r="N118" s="835">
        <f t="shared" si="41"/>
        <v>0</v>
      </c>
      <c r="O118" s="835">
        <f t="shared" si="41"/>
        <v>0</v>
      </c>
      <c r="P118" s="791">
        <f t="shared" si="42"/>
        <v>0</v>
      </c>
      <c r="Q118" s="835">
        <f t="shared" si="43"/>
        <v>0</v>
      </c>
      <c r="R118" s="835">
        <f t="shared" si="43"/>
        <v>0</v>
      </c>
      <c r="S118" s="835">
        <f t="shared" si="43"/>
        <v>0</v>
      </c>
      <c r="T118" s="791">
        <f t="shared" si="44"/>
        <v>0</v>
      </c>
      <c r="U118" s="835">
        <f t="shared" si="46"/>
        <v>0</v>
      </c>
      <c r="V118" s="791" t="e">
        <f t="shared" si="34"/>
        <v>#DIV/0!</v>
      </c>
      <c r="W118" s="792" t="e">
        <f t="shared" si="35"/>
        <v>#DIV/0!</v>
      </c>
      <c r="X118" s="792" t="e">
        <f t="shared" si="36"/>
        <v>#DIV/0!</v>
      </c>
      <c r="Y118" s="794"/>
    </row>
    <row r="119" spans="1:25" s="789" customFormat="1" hidden="1" x14ac:dyDescent="0.2">
      <c r="A119" s="833" t="s">
        <v>801</v>
      </c>
      <c r="B119" s="834" t="s">
        <v>55</v>
      </c>
      <c r="C119" s="835">
        <f t="shared" si="37"/>
        <v>0</v>
      </c>
      <c r="D119" s="835">
        <f t="shared" si="37"/>
        <v>0</v>
      </c>
      <c r="E119" s="835">
        <f t="shared" si="37"/>
        <v>0</v>
      </c>
      <c r="F119" s="835">
        <f t="shared" si="37"/>
        <v>0</v>
      </c>
      <c r="G119" s="791">
        <f t="shared" si="38"/>
        <v>0</v>
      </c>
      <c r="H119" s="835">
        <f t="shared" si="39"/>
        <v>0</v>
      </c>
      <c r="I119" s="835">
        <f t="shared" si="39"/>
        <v>0</v>
      </c>
      <c r="J119" s="835">
        <f t="shared" si="39"/>
        <v>0</v>
      </c>
      <c r="K119" s="791">
        <f t="shared" si="40"/>
        <v>0</v>
      </c>
      <c r="L119" s="792" t="e">
        <f t="shared" si="45"/>
        <v>#DIV/0!</v>
      </c>
      <c r="M119" s="835">
        <f t="shared" si="41"/>
        <v>0</v>
      </c>
      <c r="N119" s="835">
        <f t="shared" si="41"/>
        <v>0</v>
      </c>
      <c r="O119" s="835">
        <f t="shared" si="41"/>
        <v>0</v>
      </c>
      <c r="P119" s="791">
        <f t="shared" si="42"/>
        <v>0</v>
      </c>
      <c r="Q119" s="835">
        <f t="shared" si="43"/>
        <v>0</v>
      </c>
      <c r="R119" s="835">
        <f t="shared" si="43"/>
        <v>0</v>
      </c>
      <c r="S119" s="835">
        <f t="shared" si="43"/>
        <v>0</v>
      </c>
      <c r="T119" s="791">
        <f t="shared" si="44"/>
        <v>0</v>
      </c>
      <c r="U119" s="835">
        <f t="shared" si="46"/>
        <v>0</v>
      </c>
      <c r="V119" s="791" t="e">
        <f t="shared" si="34"/>
        <v>#DIV/0!</v>
      </c>
      <c r="W119" s="792" t="e">
        <f t="shared" si="35"/>
        <v>#DIV/0!</v>
      </c>
      <c r="X119" s="792" t="e">
        <f t="shared" si="36"/>
        <v>#DIV/0!</v>
      </c>
      <c r="Y119" s="794"/>
    </row>
    <row r="120" spans="1:25" s="789" customFormat="1" hidden="1" x14ac:dyDescent="0.2">
      <c r="A120" s="833" t="s">
        <v>801</v>
      </c>
      <c r="B120" s="834" t="s">
        <v>794</v>
      </c>
      <c r="C120" s="835">
        <f t="shared" si="37"/>
        <v>0</v>
      </c>
      <c r="D120" s="835">
        <f t="shared" si="37"/>
        <v>0</v>
      </c>
      <c r="E120" s="835">
        <f t="shared" si="37"/>
        <v>0</v>
      </c>
      <c r="F120" s="835">
        <f t="shared" si="37"/>
        <v>0</v>
      </c>
      <c r="G120" s="791">
        <f t="shared" si="38"/>
        <v>0</v>
      </c>
      <c r="H120" s="835">
        <f t="shared" si="39"/>
        <v>0</v>
      </c>
      <c r="I120" s="835">
        <f t="shared" si="39"/>
        <v>0</v>
      </c>
      <c r="J120" s="835">
        <f t="shared" si="39"/>
        <v>0</v>
      </c>
      <c r="K120" s="791">
        <f t="shared" si="40"/>
        <v>0</v>
      </c>
      <c r="L120" s="792" t="e">
        <f t="shared" si="45"/>
        <v>#DIV/0!</v>
      </c>
      <c r="M120" s="835">
        <f t="shared" si="41"/>
        <v>0</v>
      </c>
      <c r="N120" s="835">
        <f t="shared" si="41"/>
        <v>0</v>
      </c>
      <c r="O120" s="835">
        <f t="shared" si="41"/>
        <v>0</v>
      </c>
      <c r="P120" s="791">
        <f t="shared" si="42"/>
        <v>0</v>
      </c>
      <c r="Q120" s="835">
        <f t="shared" si="43"/>
        <v>0</v>
      </c>
      <c r="R120" s="835">
        <f t="shared" si="43"/>
        <v>0</v>
      </c>
      <c r="S120" s="835">
        <f t="shared" si="43"/>
        <v>0</v>
      </c>
      <c r="T120" s="791">
        <f t="shared" si="44"/>
        <v>0</v>
      </c>
      <c r="U120" s="835">
        <f t="shared" si="46"/>
        <v>0</v>
      </c>
      <c r="V120" s="791" t="e">
        <f t="shared" si="34"/>
        <v>#DIV/0!</v>
      </c>
      <c r="W120" s="792" t="e">
        <f t="shared" si="35"/>
        <v>#DIV/0!</v>
      </c>
      <c r="X120" s="792" t="e">
        <f t="shared" si="36"/>
        <v>#DIV/0!</v>
      </c>
      <c r="Y120" s="794"/>
    </row>
    <row r="121" spans="1:25" s="789" customFormat="1" hidden="1" x14ac:dyDescent="0.2">
      <c r="A121" s="833" t="s">
        <v>801</v>
      </c>
      <c r="B121" s="834" t="s">
        <v>795</v>
      </c>
      <c r="C121" s="835">
        <f t="shared" si="37"/>
        <v>0</v>
      </c>
      <c r="D121" s="835">
        <f t="shared" si="37"/>
        <v>0</v>
      </c>
      <c r="E121" s="835">
        <f t="shared" si="37"/>
        <v>0</v>
      </c>
      <c r="F121" s="835">
        <f t="shared" si="37"/>
        <v>0</v>
      </c>
      <c r="G121" s="791">
        <f t="shared" si="38"/>
        <v>0</v>
      </c>
      <c r="H121" s="835">
        <f t="shared" si="39"/>
        <v>0</v>
      </c>
      <c r="I121" s="835">
        <f t="shared" si="39"/>
        <v>0</v>
      </c>
      <c r="J121" s="835">
        <f t="shared" si="39"/>
        <v>0</v>
      </c>
      <c r="K121" s="791">
        <f t="shared" si="40"/>
        <v>0</v>
      </c>
      <c r="L121" s="792" t="e">
        <f t="shared" si="45"/>
        <v>#DIV/0!</v>
      </c>
      <c r="M121" s="835">
        <f t="shared" si="41"/>
        <v>0</v>
      </c>
      <c r="N121" s="835">
        <f t="shared" si="41"/>
        <v>0</v>
      </c>
      <c r="O121" s="835">
        <f t="shared" si="41"/>
        <v>0</v>
      </c>
      <c r="P121" s="791">
        <f t="shared" si="42"/>
        <v>0</v>
      </c>
      <c r="Q121" s="835">
        <f t="shared" si="43"/>
        <v>0</v>
      </c>
      <c r="R121" s="835">
        <f t="shared" si="43"/>
        <v>0</v>
      </c>
      <c r="S121" s="835">
        <f t="shared" si="43"/>
        <v>0</v>
      </c>
      <c r="T121" s="791">
        <f t="shared" si="44"/>
        <v>0</v>
      </c>
      <c r="U121" s="835">
        <f t="shared" si="46"/>
        <v>0</v>
      </c>
      <c r="V121" s="791" t="e">
        <f t="shared" si="34"/>
        <v>#DIV/0!</v>
      </c>
      <c r="W121" s="792" t="e">
        <f t="shared" si="35"/>
        <v>#DIV/0!</v>
      </c>
      <c r="X121" s="792" t="e">
        <f t="shared" si="36"/>
        <v>#DIV/0!</v>
      </c>
      <c r="Y121" s="794"/>
    </row>
    <row r="122" spans="1:25" s="789" customFormat="1" hidden="1" x14ac:dyDescent="0.2">
      <c r="A122" s="833" t="s">
        <v>801</v>
      </c>
      <c r="B122" s="834" t="s">
        <v>796</v>
      </c>
      <c r="C122" s="835">
        <f t="shared" si="37"/>
        <v>0</v>
      </c>
      <c r="D122" s="835">
        <f t="shared" si="37"/>
        <v>0</v>
      </c>
      <c r="E122" s="835">
        <f t="shared" si="37"/>
        <v>0</v>
      </c>
      <c r="F122" s="835">
        <f t="shared" si="37"/>
        <v>0</v>
      </c>
      <c r="G122" s="791">
        <f t="shared" si="38"/>
        <v>0</v>
      </c>
      <c r="H122" s="835">
        <f t="shared" si="39"/>
        <v>0</v>
      </c>
      <c r="I122" s="835">
        <f t="shared" si="39"/>
        <v>0</v>
      </c>
      <c r="J122" s="835">
        <f t="shared" si="39"/>
        <v>0</v>
      </c>
      <c r="K122" s="791">
        <f t="shared" si="40"/>
        <v>0</v>
      </c>
      <c r="L122" s="792" t="e">
        <f t="shared" si="45"/>
        <v>#DIV/0!</v>
      </c>
      <c r="M122" s="835">
        <f t="shared" si="41"/>
        <v>0</v>
      </c>
      <c r="N122" s="835">
        <f t="shared" si="41"/>
        <v>0</v>
      </c>
      <c r="O122" s="835">
        <f t="shared" si="41"/>
        <v>0</v>
      </c>
      <c r="P122" s="791">
        <f t="shared" si="42"/>
        <v>0</v>
      </c>
      <c r="Q122" s="835">
        <f t="shared" si="43"/>
        <v>0</v>
      </c>
      <c r="R122" s="835">
        <f t="shared" si="43"/>
        <v>0</v>
      </c>
      <c r="S122" s="835">
        <f t="shared" si="43"/>
        <v>0</v>
      </c>
      <c r="T122" s="791">
        <f t="shared" si="44"/>
        <v>0</v>
      </c>
      <c r="U122" s="835">
        <f t="shared" si="46"/>
        <v>0</v>
      </c>
      <c r="V122" s="791" t="e">
        <f t="shared" si="34"/>
        <v>#DIV/0!</v>
      </c>
      <c r="W122" s="792" t="e">
        <f t="shared" si="35"/>
        <v>#DIV/0!</v>
      </c>
      <c r="X122" s="792" t="e">
        <f t="shared" si="36"/>
        <v>#DIV/0!</v>
      </c>
      <c r="Y122" s="794"/>
    </row>
    <row r="123" spans="1:25" s="789" customFormat="1" hidden="1" x14ac:dyDescent="0.2">
      <c r="A123" s="833" t="s">
        <v>801</v>
      </c>
      <c r="B123" s="834" t="s">
        <v>59</v>
      </c>
      <c r="C123" s="835">
        <f t="shared" si="37"/>
        <v>0</v>
      </c>
      <c r="D123" s="835">
        <f t="shared" si="37"/>
        <v>0</v>
      </c>
      <c r="E123" s="835">
        <f t="shared" si="37"/>
        <v>0</v>
      </c>
      <c r="F123" s="835">
        <f t="shared" si="37"/>
        <v>0</v>
      </c>
      <c r="G123" s="791">
        <f t="shared" si="38"/>
        <v>0</v>
      </c>
      <c r="H123" s="835">
        <f t="shared" si="39"/>
        <v>0</v>
      </c>
      <c r="I123" s="835">
        <f t="shared" si="39"/>
        <v>0</v>
      </c>
      <c r="J123" s="835">
        <f t="shared" si="39"/>
        <v>0</v>
      </c>
      <c r="K123" s="791">
        <f t="shared" si="40"/>
        <v>0</v>
      </c>
      <c r="L123" s="792" t="e">
        <f t="shared" si="45"/>
        <v>#DIV/0!</v>
      </c>
      <c r="M123" s="835">
        <f t="shared" si="41"/>
        <v>0</v>
      </c>
      <c r="N123" s="835">
        <f t="shared" si="41"/>
        <v>0</v>
      </c>
      <c r="O123" s="835">
        <f t="shared" si="41"/>
        <v>0</v>
      </c>
      <c r="P123" s="791">
        <f t="shared" si="42"/>
        <v>0</v>
      </c>
      <c r="Q123" s="835">
        <f t="shared" si="43"/>
        <v>0</v>
      </c>
      <c r="R123" s="835">
        <f t="shared" si="43"/>
        <v>0</v>
      </c>
      <c r="S123" s="835">
        <f t="shared" si="43"/>
        <v>0</v>
      </c>
      <c r="T123" s="791">
        <f t="shared" si="44"/>
        <v>0</v>
      </c>
      <c r="U123" s="835">
        <f t="shared" si="46"/>
        <v>0</v>
      </c>
      <c r="V123" s="791" t="e">
        <f t="shared" si="34"/>
        <v>#DIV/0!</v>
      </c>
      <c r="W123" s="792" t="e">
        <f t="shared" si="35"/>
        <v>#DIV/0!</v>
      </c>
      <c r="X123" s="792" t="e">
        <f t="shared" si="36"/>
        <v>#DIV/0!</v>
      </c>
      <c r="Y123" s="794"/>
    </row>
    <row r="124" spans="1:25" s="789" customFormat="1" hidden="1" x14ac:dyDescent="0.2">
      <c r="A124" s="833" t="s">
        <v>801</v>
      </c>
      <c r="B124" s="834" t="s">
        <v>54</v>
      </c>
      <c r="C124" s="835">
        <f t="shared" si="37"/>
        <v>0</v>
      </c>
      <c r="D124" s="835">
        <f t="shared" si="37"/>
        <v>0</v>
      </c>
      <c r="E124" s="835">
        <f t="shared" si="37"/>
        <v>0</v>
      </c>
      <c r="F124" s="835">
        <f t="shared" si="37"/>
        <v>0</v>
      </c>
      <c r="G124" s="791">
        <f t="shared" si="38"/>
        <v>0</v>
      </c>
      <c r="H124" s="835">
        <f t="shared" si="39"/>
        <v>0</v>
      </c>
      <c r="I124" s="835">
        <f t="shared" si="39"/>
        <v>0</v>
      </c>
      <c r="J124" s="835">
        <f t="shared" si="39"/>
        <v>0</v>
      </c>
      <c r="K124" s="791">
        <f t="shared" si="40"/>
        <v>0</v>
      </c>
      <c r="L124" s="792" t="e">
        <f t="shared" si="45"/>
        <v>#DIV/0!</v>
      </c>
      <c r="M124" s="835">
        <f t="shared" si="41"/>
        <v>0</v>
      </c>
      <c r="N124" s="835">
        <f t="shared" si="41"/>
        <v>0</v>
      </c>
      <c r="O124" s="835">
        <f t="shared" si="41"/>
        <v>0</v>
      </c>
      <c r="P124" s="791">
        <f t="shared" si="42"/>
        <v>0</v>
      </c>
      <c r="Q124" s="835">
        <f t="shared" si="43"/>
        <v>0</v>
      </c>
      <c r="R124" s="835">
        <f t="shared" si="43"/>
        <v>0</v>
      </c>
      <c r="S124" s="835">
        <f t="shared" si="43"/>
        <v>0</v>
      </c>
      <c r="T124" s="791">
        <f t="shared" si="44"/>
        <v>0</v>
      </c>
      <c r="U124" s="835">
        <f t="shared" si="46"/>
        <v>0</v>
      </c>
      <c r="V124" s="791" t="e">
        <f t="shared" si="34"/>
        <v>#DIV/0!</v>
      </c>
      <c r="W124" s="792" t="e">
        <f t="shared" si="35"/>
        <v>#DIV/0!</v>
      </c>
      <c r="X124" s="792" t="e">
        <f t="shared" si="36"/>
        <v>#DIV/0!</v>
      </c>
      <c r="Y124" s="794"/>
    </row>
    <row r="125" spans="1:25" s="789" customFormat="1" ht="25.5" hidden="1" x14ac:dyDescent="0.2">
      <c r="A125" s="833" t="s">
        <v>801</v>
      </c>
      <c r="B125" s="836" t="s">
        <v>58</v>
      </c>
      <c r="C125" s="835">
        <f t="shared" si="37"/>
        <v>0</v>
      </c>
      <c r="D125" s="835">
        <f t="shared" si="37"/>
        <v>0</v>
      </c>
      <c r="E125" s="835">
        <f t="shared" si="37"/>
        <v>0</v>
      </c>
      <c r="F125" s="835">
        <f t="shared" si="37"/>
        <v>0</v>
      </c>
      <c r="G125" s="791">
        <f t="shared" si="38"/>
        <v>0</v>
      </c>
      <c r="H125" s="835">
        <f t="shared" si="39"/>
        <v>0</v>
      </c>
      <c r="I125" s="835">
        <f t="shared" si="39"/>
        <v>0</v>
      </c>
      <c r="J125" s="835">
        <f t="shared" si="39"/>
        <v>0</v>
      </c>
      <c r="K125" s="791">
        <f t="shared" si="40"/>
        <v>0</v>
      </c>
      <c r="L125" s="792" t="e">
        <f t="shared" si="45"/>
        <v>#DIV/0!</v>
      </c>
      <c r="M125" s="835">
        <f t="shared" si="41"/>
        <v>0</v>
      </c>
      <c r="N125" s="835">
        <f t="shared" si="41"/>
        <v>0</v>
      </c>
      <c r="O125" s="835">
        <f t="shared" si="41"/>
        <v>0</v>
      </c>
      <c r="P125" s="791">
        <f t="shared" si="42"/>
        <v>0</v>
      </c>
      <c r="Q125" s="835">
        <f t="shared" si="43"/>
        <v>0</v>
      </c>
      <c r="R125" s="835">
        <f t="shared" si="43"/>
        <v>0</v>
      </c>
      <c r="S125" s="835">
        <f t="shared" si="43"/>
        <v>0</v>
      </c>
      <c r="T125" s="791">
        <f t="shared" si="44"/>
        <v>0</v>
      </c>
      <c r="U125" s="835">
        <f t="shared" si="46"/>
        <v>0</v>
      </c>
      <c r="V125" s="791" t="e">
        <f t="shared" si="34"/>
        <v>#DIV/0!</v>
      </c>
      <c r="W125" s="792" t="e">
        <f t="shared" si="35"/>
        <v>#DIV/0!</v>
      </c>
      <c r="X125" s="792" t="e">
        <f t="shared" si="36"/>
        <v>#DIV/0!</v>
      </c>
      <c r="Y125" s="794"/>
    </row>
    <row r="126" spans="1:25" s="789" customFormat="1" hidden="1" x14ac:dyDescent="0.2">
      <c r="A126" s="833" t="s">
        <v>801</v>
      </c>
      <c r="B126" s="834" t="s">
        <v>797</v>
      </c>
      <c r="C126" s="835">
        <f t="shared" si="37"/>
        <v>0</v>
      </c>
      <c r="D126" s="835">
        <f t="shared" si="37"/>
        <v>0</v>
      </c>
      <c r="E126" s="835">
        <f t="shared" si="37"/>
        <v>0</v>
      </c>
      <c r="F126" s="835">
        <f t="shared" si="37"/>
        <v>0</v>
      </c>
      <c r="G126" s="791">
        <f t="shared" si="38"/>
        <v>0</v>
      </c>
      <c r="H126" s="835">
        <f t="shared" si="39"/>
        <v>0</v>
      </c>
      <c r="I126" s="835">
        <f t="shared" si="39"/>
        <v>0</v>
      </c>
      <c r="J126" s="835">
        <f t="shared" si="39"/>
        <v>0</v>
      </c>
      <c r="K126" s="791">
        <f t="shared" si="40"/>
        <v>0</v>
      </c>
      <c r="L126" s="792" t="e">
        <f t="shared" si="45"/>
        <v>#DIV/0!</v>
      </c>
      <c r="M126" s="835">
        <f t="shared" si="41"/>
        <v>0</v>
      </c>
      <c r="N126" s="835">
        <f t="shared" si="41"/>
        <v>0</v>
      </c>
      <c r="O126" s="835">
        <f t="shared" si="41"/>
        <v>0</v>
      </c>
      <c r="P126" s="791">
        <f t="shared" si="42"/>
        <v>0</v>
      </c>
      <c r="Q126" s="835">
        <f t="shared" si="43"/>
        <v>0</v>
      </c>
      <c r="R126" s="835">
        <f t="shared" si="43"/>
        <v>0</v>
      </c>
      <c r="S126" s="835">
        <f t="shared" si="43"/>
        <v>0</v>
      </c>
      <c r="T126" s="791">
        <f t="shared" si="44"/>
        <v>0</v>
      </c>
      <c r="U126" s="835">
        <f t="shared" si="46"/>
        <v>0</v>
      </c>
      <c r="V126" s="791" t="e">
        <f t="shared" si="34"/>
        <v>#DIV/0!</v>
      </c>
      <c r="W126" s="792" t="e">
        <f t="shared" si="35"/>
        <v>#DIV/0!</v>
      </c>
      <c r="X126" s="792" t="e">
        <f t="shared" si="36"/>
        <v>#DIV/0!</v>
      </c>
      <c r="Y126" s="794"/>
    </row>
    <row r="127" spans="1:25" s="789" customFormat="1" hidden="1" x14ac:dyDescent="0.2">
      <c r="A127" s="833" t="s">
        <v>801</v>
      </c>
      <c r="B127" s="837" t="s">
        <v>60</v>
      </c>
      <c r="C127" s="835">
        <f t="shared" si="37"/>
        <v>0</v>
      </c>
      <c r="D127" s="835">
        <f t="shared" si="37"/>
        <v>0</v>
      </c>
      <c r="E127" s="835">
        <f t="shared" si="37"/>
        <v>0</v>
      </c>
      <c r="F127" s="835">
        <f t="shared" si="37"/>
        <v>0</v>
      </c>
      <c r="G127" s="791">
        <f t="shared" si="38"/>
        <v>0</v>
      </c>
      <c r="H127" s="835">
        <f t="shared" si="39"/>
        <v>0</v>
      </c>
      <c r="I127" s="835">
        <f t="shared" si="39"/>
        <v>0</v>
      </c>
      <c r="J127" s="835">
        <f t="shared" si="39"/>
        <v>0</v>
      </c>
      <c r="K127" s="791">
        <f t="shared" si="40"/>
        <v>0</v>
      </c>
      <c r="L127" s="792" t="e">
        <f t="shared" si="45"/>
        <v>#DIV/0!</v>
      </c>
      <c r="M127" s="835">
        <f t="shared" si="41"/>
        <v>0</v>
      </c>
      <c r="N127" s="835">
        <f t="shared" si="41"/>
        <v>0</v>
      </c>
      <c r="O127" s="835">
        <f t="shared" si="41"/>
        <v>0</v>
      </c>
      <c r="P127" s="791">
        <f t="shared" si="42"/>
        <v>0</v>
      </c>
      <c r="Q127" s="835">
        <f t="shared" si="43"/>
        <v>0</v>
      </c>
      <c r="R127" s="835">
        <f t="shared" si="43"/>
        <v>0</v>
      </c>
      <c r="S127" s="835">
        <f t="shared" si="43"/>
        <v>0</v>
      </c>
      <c r="T127" s="791">
        <f t="shared" si="44"/>
        <v>0</v>
      </c>
      <c r="U127" s="835">
        <f t="shared" si="46"/>
        <v>0</v>
      </c>
      <c r="V127" s="791" t="e">
        <f t="shared" si="34"/>
        <v>#DIV/0!</v>
      </c>
      <c r="W127" s="792" t="e">
        <f t="shared" si="35"/>
        <v>#DIV/0!</v>
      </c>
      <c r="X127" s="792" t="e">
        <f t="shared" si="36"/>
        <v>#DIV/0!</v>
      </c>
      <c r="Y127" s="794"/>
    </row>
    <row r="128" spans="1:25" s="789" customFormat="1" hidden="1" x14ac:dyDescent="0.2">
      <c r="A128" s="833" t="s">
        <v>801</v>
      </c>
      <c r="B128" s="834" t="s">
        <v>61</v>
      </c>
      <c r="C128" s="835">
        <f t="shared" ref="C128:F132" si="47">+C153+C178</f>
        <v>0</v>
      </c>
      <c r="D128" s="835">
        <f t="shared" si="47"/>
        <v>0</v>
      </c>
      <c r="E128" s="835">
        <f t="shared" si="47"/>
        <v>0</v>
      </c>
      <c r="F128" s="835">
        <f t="shared" si="47"/>
        <v>0</v>
      </c>
      <c r="G128" s="791">
        <f t="shared" si="38"/>
        <v>0</v>
      </c>
      <c r="H128" s="835">
        <f t="shared" ref="H128:J132" si="48">+H153+H178</f>
        <v>0</v>
      </c>
      <c r="I128" s="835">
        <f t="shared" si="48"/>
        <v>0</v>
      </c>
      <c r="J128" s="835">
        <f t="shared" si="48"/>
        <v>0</v>
      </c>
      <c r="K128" s="791">
        <f t="shared" si="40"/>
        <v>0</v>
      </c>
      <c r="L128" s="792" t="e">
        <f t="shared" si="45"/>
        <v>#DIV/0!</v>
      </c>
      <c r="M128" s="835">
        <f t="shared" ref="M128:O132" si="49">+M153+M178</f>
        <v>0</v>
      </c>
      <c r="N128" s="835">
        <f t="shared" si="49"/>
        <v>0</v>
      </c>
      <c r="O128" s="835">
        <f t="shared" si="49"/>
        <v>0</v>
      </c>
      <c r="P128" s="791">
        <f t="shared" si="42"/>
        <v>0</v>
      </c>
      <c r="Q128" s="835">
        <f t="shared" ref="Q128:S132" si="50">+Q153+Q178</f>
        <v>0</v>
      </c>
      <c r="R128" s="835">
        <f t="shared" si="50"/>
        <v>0</v>
      </c>
      <c r="S128" s="835">
        <f t="shared" si="50"/>
        <v>0</v>
      </c>
      <c r="T128" s="791">
        <f t="shared" si="44"/>
        <v>0</v>
      </c>
      <c r="U128" s="835">
        <f t="shared" si="46"/>
        <v>0</v>
      </c>
      <c r="V128" s="791" t="e">
        <f t="shared" si="34"/>
        <v>#DIV/0!</v>
      </c>
      <c r="W128" s="792" t="e">
        <f t="shared" si="35"/>
        <v>#DIV/0!</v>
      </c>
      <c r="X128" s="792" t="e">
        <f t="shared" si="36"/>
        <v>#DIV/0!</v>
      </c>
      <c r="Y128" s="794"/>
    </row>
    <row r="129" spans="1:25" s="789" customFormat="1" hidden="1" x14ac:dyDescent="0.2">
      <c r="A129" s="833" t="s">
        <v>801</v>
      </c>
      <c r="B129" s="834" t="s">
        <v>62</v>
      </c>
      <c r="C129" s="835">
        <f t="shared" si="47"/>
        <v>0</v>
      </c>
      <c r="D129" s="835">
        <f t="shared" si="47"/>
        <v>0</v>
      </c>
      <c r="E129" s="835">
        <f t="shared" si="47"/>
        <v>0</v>
      </c>
      <c r="F129" s="835">
        <f t="shared" si="47"/>
        <v>0</v>
      </c>
      <c r="G129" s="791">
        <f t="shared" si="38"/>
        <v>0</v>
      </c>
      <c r="H129" s="835">
        <f t="shared" si="48"/>
        <v>0</v>
      </c>
      <c r="I129" s="835">
        <f t="shared" si="48"/>
        <v>0</v>
      </c>
      <c r="J129" s="835">
        <f t="shared" si="48"/>
        <v>0</v>
      </c>
      <c r="K129" s="791">
        <f t="shared" si="40"/>
        <v>0</v>
      </c>
      <c r="L129" s="792" t="e">
        <f t="shared" si="45"/>
        <v>#DIV/0!</v>
      </c>
      <c r="M129" s="835">
        <f t="shared" si="49"/>
        <v>0</v>
      </c>
      <c r="N129" s="835">
        <f t="shared" si="49"/>
        <v>0</v>
      </c>
      <c r="O129" s="835">
        <f t="shared" si="49"/>
        <v>0</v>
      </c>
      <c r="P129" s="791">
        <f t="shared" si="42"/>
        <v>0</v>
      </c>
      <c r="Q129" s="835">
        <f t="shared" si="50"/>
        <v>0</v>
      </c>
      <c r="R129" s="835">
        <f t="shared" si="50"/>
        <v>0</v>
      </c>
      <c r="S129" s="835">
        <f t="shared" si="50"/>
        <v>0</v>
      </c>
      <c r="T129" s="791">
        <f t="shared" si="44"/>
        <v>0</v>
      </c>
      <c r="U129" s="835">
        <f t="shared" si="46"/>
        <v>0</v>
      </c>
      <c r="V129" s="791" t="e">
        <f t="shared" si="34"/>
        <v>#DIV/0!</v>
      </c>
      <c r="W129" s="792" t="e">
        <f t="shared" si="35"/>
        <v>#DIV/0!</v>
      </c>
      <c r="X129" s="792" t="e">
        <f t="shared" si="36"/>
        <v>#DIV/0!</v>
      </c>
      <c r="Y129" s="794"/>
    </row>
    <row r="130" spans="1:25" s="789" customFormat="1" x14ac:dyDescent="0.2">
      <c r="A130" s="833" t="s">
        <v>801</v>
      </c>
      <c r="B130" s="834" t="s">
        <v>798</v>
      </c>
      <c r="C130" s="835">
        <f>+C155+C180</f>
        <v>20106100.640000001</v>
      </c>
      <c r="D130" s="835">
        <f t="shared" si="47"/>
        <v>2560000</v>
      </c>
      <c r="E130" s="835">
        <f t="shared" si="47"/>
        <v>17342945.460000001</v>
      </c>
      <c r="F130" s="835">
        <f t="shared" si="47"/>
        <v>0</v>
      </c>
      <c r="G130" s="791">
        <f t="shared" si="38"/>
        <v>19902945.460000001</v>
      </c>
      <c r="H130" s="835">
        <f t="shared" si="48"/>
        <v>2557000</v>
      </c>
      <c r="I130" s="835">
        <f t="shared" si="48"/>
        <v>15118243.460000001</v>
      </c>
      <c r="J130" s="835">
        <f t="shared" si="48"/>
        <v>0</v>
      </c>
      <c r="K130" s="791">
        <f t="shared" si="40"/>
        <v>17675243.460000001</v>
      </c>
      <c r="L130" s="792">
        <f t="shared" si="45"/>
        <v>0.88807174272385314</v>
      </c>
      <c r="M130" s="835">
        <f t="shared" si="49"/>
        <v>3000</v>
      </c>
      <c r="N130" s="835">
        <f t="shared" si="49"/>
        <v>2224702</v>
      </c>
      <c r="O130" s="835">
        <f t="shared" si="49"/>
        <v>0</v>
      </c>
      <c r="P130" s="791">
        <f t="shared" si="42"/>
        <v>2227702</v>
      </c>
      <c r="Q130" s="835">
        <f t="shared" si="50"/>
        <v>2557000</v>
      </c>
      <c r="R130" s="835">
        <f t="shared" si="50"/>
        <v>13802580.23</v>
      </c>
      <c r="S130" s="835">
        <f t="shared" si="50"/>
        <v>0</v>
      </c>
      <c r="T130" s="791">
        <f t="shared" si="44"/>
        <v>16359580.23</v>
      </c>
      <c r="U130" s="835">
        <f t="shared" si="46"/>
        <v>0</v>
      </c>
      <c r="V130" s="791" t="e">
        <f t="shared" si="34"/>
        <v>#DIV/0!</v>
      </c>
      <c r="W130" s="792">
        <f t="shared" si="35"/>
        <v>0.8219677968207626</v>
      </c>
      <c r="X130" s="792">
        <f t="shared" si="36"/>
        <v>0.92556463321269578</v>
      </c>
      <c r="Y130" s="794"/>
    </row>
    <row r="131" spans="1:25" s="789" customFormat="1" x14ac:dyDescent="0.2">
      <c r="A131" s="833" t="s">
        <v>801</v>
      </c>
      <c r="B131" s="834" t="s">
        <v>799</v>
      </c>
      <c r="C131" s="835">
        <f t="shared" si="47"/>
        <v>0</v>
      </c>
      <c r="D131" s="835">
        <f t="shared" si="47"/>
        <v>0</v>
      </c>
      <c r="E131" s="835">
        <f t="shared" si="47"/>
        <v>0</v>
      </c>
      <c r="F131" s="835">
        <f t="shared" si="47"/>
        <v>0</v>
      </c>
      <c r="G131" s="791">
        <f t="shared" si="38"/>
        <v>0</v>
      </c>
      <c r="H131" s="835">
        <f t="shared" si="48"/>
        <v>0</v>
      </c>
      <c r="I131" s="835">
        <f t="shared" si="48"/>
        <v>0</v>
      </c>
      <c r="J131" s="835">
        <f t="shared" si="48"/>
        <v>0</v>
      </c>
      <c r="K131" s="791">
        <f t="shared" si="40"/>
        <v>0</v>
      </c>
      <c r="L131" s="792" t="e">
        <f t="shared" si="45"/>
        <v>#DIV/0!</v>
      </c>
      <c r="M131" s="835">
        <f t="shared" si="49"/>
        <v>0</v>
      </c>
      <c r="N131" s="835">
        <f t="shared" si="49"/>
        <v>0</v>
      </c>
      <c r="O131" s="835">
        <f t="shared" si="49"/>
        <v>0</v>
      </c>
      <c r="P131" s="791">
        <f t="shared" si="42"/>
        <v>0</v>
      </c>
      <c r="Q131" s="835">
        <f t="shared" si="50"/>
        <v>0</v>
      </c>
      <c r="R131" s="835">
        <f t="shared" si="50"/>
        <v>0</v>
      </c>
      <c r="S131" s="835">
        <f t="shared" si="50"/>
        <v>0</v>
      </c>
      <c r="T131" s="791">
        <f t="shared" si="44"/>
        <v>0</v>
      </c>
      <c r="U131" s="835">
        <f t="shared" si="46"/>
        <v>0</v>
      </c>
      <c r="V131" s="791" t="e">
        <f t="shared" si="34"/>
        <v>#DIV/0!</v>
      </c>
      <c r="W131" s="792" t="e">
        <f t="shared" si="35"/>
        <v>#DIV/0!</v>
      </c>
      <c r="X131" s="792" t="e">
        <f t="shared" si="36"/>
        <v>#DIV/0!</v>
      </c>
      <c r="Y131" s="794"/>
    </row>
    <row r="132" spans="1:25" s="789" customFormat="1" hidden="1" x14ac:dyDescent="0.2">
      <c r="A132" s="833" t="s">
        <v>801</v>
      </c>
      <c r="B132" s="834" t="s">
        <v>800</v>
      </c>
      <c r="C132" s="835">
        <f t="shared" si="47"/>
        <v>0</v>
      </c>
      <c r="D132" s="835">
        <f t="shared" si="47"/>
        <v>0</v>
      </c>
      <c r="E132" s="835">
        <f t="shared" si="47"/>
        <v>0</v>
      </c>
      <c r="F132" s="835">
        <f t="shared" si="47"/>
        <v>0</v>
      </c>
      <c r="G132" s="791">
        <f t="shared" si="38"/>
        <v>0</v>
      </c>
      <c r="H132" s="835">
        <f t="shared" si="48"/>
        <v>0</v>
      </c>
      <c r="I132" s="835">
        <f t="shared" si="48"/>
        <v>0</v>
      </c>
      <c r="J132" s="835">
        <f t="shared" si="48"/>
        <v>0</v>
      </c>
      <c r="K132" s="791">
        <f t="shared" si="40"/>
        <v>0</v>
      </c>
      <c r="L132" s="792" t="e">
        <f t="shared" si="45"/>
        <v>#DIV/0!</v>
      </c>
      <c r="M132" s="835">
        <f t="shared" si="49"/>
        <v>0</v>
      </c>
      <c r="N132" s="835">
        <f t="shared" si="49"/>
        <v>0</v>
      </c>
      <c r="O132" s="835">
        <f t="shared" si="49"/>
        <v>0</v>
      </c>
      <c r="P132" s="791">
        <f t="shared" si="42"/>
        <v>0</v>
      </c>
      <c r="Q132" s="835">
        <f t="shared" si="50"/>
        <v>0</v>
      </c>
      <c r="R132" s="835">
        <f t="shared" si="50"/>
        <v>0</v>
      </c>
      <c r="S132" s="835">
        <f t="shared" si="50"/>
        <v>0</v>
      </c>
      <c r="T132" s="791">
        <f t="shared" si="44"/>
        <v>0</v>
      </c>
      <c r="U132" s="835">
        <f t="shared" si="46"/>
        <v>0</v>
      </c>
      <c r="V132" s="791" t="e">
        <f t="shared" si="34"/>
        <v>#DIV/0!</v>
      </c>
      <c r="W132" s="792" t="e">
        <f t="shared" si="35"/>
        <v>#DIV/0!</v>
      </c>
      <c r="X132" s="792" t="e">
        <f t="shared" si="36"/>
        <v>#DIV/0!</v>
      </c>
      <c r="Y132" s="794"/>
    </row>
    <row r="133" spans="1:25" s="789" customFormat="1" x14ac:dyDescent="0.2">
      <c r="A133" s="812"/>
      <c r="B133" s="813"/>
      <c r="C133" s="838">
        <f>D133+E133</f>
        <v>19986600</v>
      </c>
      <c r="D133" s="795">
        <v>1585000</v>
      </c>
      <c r="E133" s="795">
        <v>18401600</v>
      </c>
      <c r="F133" s="795"/>
      <c r="G133" s="795"/>
      <c r="H133" s="795"/>
      <c r="I133" s="795"/>
      <c r="J133" s="839"/>
      <c r="K133" s="795"/>
      <c r="L133" s="832"/>
      <c r="M133" s="795"/>
      <c r="N133" s="795"/>
      <c r="O133" s="839"/>
      <c r="P133" s="795"/>
      <c r="Q133" s="795">
        <v>860491</v>
      </c>
      <c r="R133" s="795">
        <v>835871.8899999999</v>
      </c>
      <c r="S133" s="839"/>
      <c r="T133" s="795"/>
      <c r="U133" s="795"/>
      <c r="V133" s="795"/>
      <c r="W133" s="832"/>
      <c r="X133" s="832"/>
      <c r="Y133" s="794"/>
    </row>
    <row r="134" spans="1:25" s="789" customFormat="1" x14ac:dyDescent="0.2">
      <c r="A134" s="840"/>
      <c r="B134" s="828" t="s">
        <v>670</v>
      </c>
      <c r="C134" s="829">
        <f>SUM(C139:C157)+C136</f>
        <v>19723000</v>
      </c>
      <c r="D134" s="829">
        <f t="shared" ref="D134:J134" si="51">SUM(D139:D157)+D136</f>
        <v>2560000</v>
      </c>
      <c r="E134" s="829">
        <f t="shared" si="51"/>
        <v>16959844.82</v>
      </c>
      <c r="F134" s="829">
        <f t="shared" si="51"/>
        <v>0</v>
      </c>
      <c r="G134" s="829">
        <f>SUM(D134:F134)</f>
        <v>19519844.82</v>
      </c>
      <c r="H134" s="829">
        <f t="shared" si="51"/>
        <v>2557000</v>
      </c>
      <c r="I134" s="829">
        <f t="shared" si="51"/>
        <v>14735142.82</v>
      </c>
      <c r="J134" s="829">
        <f t="shared" si="51"/>
        <v>0</v>
      </c>
      <c r="K134" s="829">
        <f>SUM(H134:J134)</f>
        <v>17292142.82</v>
      </c>
      <c r="L134" s="802">
        <f>+K134/G134</f>
        <v>0.88587501486090192</v>
      </c>
      <c r="M134" s="829">
        <f>SUM(M139:M157)+M136</f>
        <v>3000</v>
      </c>
      <c r="N134" s="829">
        <f>SUM(N139:N157)+N136</f>
        <v>2224702</v>
      </c>
      <c r="O134" s="829">
        <f>SUM(O139:O157)+O136</f>
        <v>0</v>
      </c>
      <c r="P134" s="829">
        <f>SUM(M134:O134)</f>
        <v>2227702</v>
      </c>
      <c r="Q134" s="829">
        <f>SUM(Q139:Q157)+Q136</f>
        <v>2557000</v>
      </c>
      <c r="R134" s="829">
        <f>SUM(R139:R157)+R136</f>
        <v>13403816.27</v>
      </c>
      <c r="S134" s="829">
        <f>SUM(S139:S157)+S136</f>
        <v>0</v>
      </c>
      <c r="T134" s="829">
        <f>SUM(Q134:S134)</f>
        <v>15960816.27</v>
      </c>
      <c r="U134" s="829">
        <f>SUM(U139:U157)+U136</f>
        <v>0</v>
      </c>
      <c r="V134" s="786" t="e">
        <f>+T134/U134</f>
        <v>#DIV/0!</v>
      </c>
      <c r="W134" s="787">
        <f>+T134/G134</f>
        <v>0.81767126824935488</v>
      </c>
      <c r="X134" s="787">
        <f>+T134/K134</f>
        <v>0.92300974125310853</v>
      </c>
      <c r="Y134" s="809"/>
    </row>
    <row r="135" spans="1:25" s="789" customFormat="1" x14ac:dyDescent="0.2">
      <c r="A135" s="830"/>
      <c r="B135" s="831"/>
      <c r="C135" s="795"/>
      <c r="D135" s="795"/>
      <c r="E135" s="795"/>
      <c r="F135" s="795"/>
      <c r="G135" s="795"/>
      <c r="H135" s="795"/>
      <c r="I135" s="795"/>
      <c r="J135" s="839"/>
      <c r="K135" s="795"/>
      <c r="L135" s="832"/>
      <c r="M135" s="795"/>
      <c r="N135" s="795"/>
      <c r="O135" s="839"/>
      <c r="P135" s="795"/>
      <c r="Q135" s="795"/>
      <c r="R135" s="795"/>
      <c r="S135" s="839"/>
      <c r="T135" s="795"/>
      <c r="U135" s="795"/>
      <c r="V135" s="795"/>
      <c r="W135" s="832"/>
      <c r="X135" s="832"/>
      <c r="Y135" s="794"/>
    </row>
    <row r="136" spans="1:25" s="789" customFormat="1" hidden="1" x14ac:dyDescent="0.2">
      <c r="A136" s="841" t="s">
        <v>672</v>
      </c>
      <c r="B136" s="842" t="s">
        <v>788</v>
      </c>
      <c r="C136" s="795">
        <f>SUM(C137:C138)</f>
        <v>0</v>
      </c>
      <c r="D136" s="795">
        <f>SUM(D137:D138)</f>
        <v>0</v>
      </c>
      <c r="E136" s="795">
        <f>SUM(E137:E138)</f>
        <v>0</v>
      </c>
      <c r="F136" s="795">
        <f>SUM(F137:F138)</f>
        <v>0</v>
      </c>
      <c r="G136" s="791">
        <f>SUM(D136:F136)</f>
        <v>0</v>
      </c>
      <c r="H136" s="795">
        <f>SUM(H137:H138)</f>
        <v>0</v>
      </c>
      <c r="I136" s="795">
        <f>SUM(I137:I138)</f>
        <v>0</v>
      </c>
      <c r="J136" s="795">
        <f>SUM(J137:J138)</f>
        <v>0</v>
      </c>
      <c r="K136" s="791">
        <f>SUM(H136:J136)</f>
        <v>0</v>
      </c>
      <c r="L136" s="792" t="e">
        <f>+K136/G136</f>
        <v>#DIV/0!</v>
      </c>
      <c r="M136" s="795">
        <f>SUM(M137:M138)</f>
        <v>0</v>
      </c>
      <c r="N136" s="795">
        <f>SUM(N137:N138)</f>
        <v>0</v>
      </c>
      <c r="O136" s="795">
        <f>SUM(O137:O138)</f>
        <v>0</v>
      </c>
      <c r="P136" s="791">
        <f>SUM(M136:O136)</f>
        <v>0</v>
      </c>
      <c r="Q136" s="795">
        <f>SUM(Q137:Q138)</f>
        <v>0</v>
      </c>
      <c r="R136" s="795">
        <f>SUM(R137:R138)</f>
        <v>0</v>
      </c>
      <c r="S136" s="795">
        <f>SUM(S137:S138)</f>
        <v>0</v>
      </c>
      <c r="T136" s="791">
        <f>SUM(Q136:S136)</f>
        <v>0</v>
      </c>
      <c r="U136" s="795">
        <f>SUM(U137:U138)</f>
        <v>0</v>
      </c>
      <c r="V136" s="796" t="e">
        <f t="shared" ref="V136:V157" si="52">+T136/U136</f>
        <v>#DIV/0!</v>
      </c>
      <c r="W136" s="799" t="e">
        <f t="shared" ref="W136:W157" si="53">+T136/G136</f>
        <v>#DIV/0!</v>
      </c>
      <c r="X136" s="799" t="e">
        <f t="shared" ref="X136:X157" si="54">+T136/K136</f>
        <v>#DIV/0!</v>
      </c>
      <c r="Y136" s="794"/>
    </row>
    <row r="137" spans="1:25" s="789" customFormat="1" hidden="1" x14ac:dyDescent="0.2">
      <c r="A137" s="841"/>
      <c r="B137" s="842" t="s">
        <v>789</v>
      </c>
      <c r="C137" s="796"/>
      <c r="D137" s="796"/>
      <c r="E137" s="796"/>
      <c r="F137" s="796"/>
      <c r="G137" s="791">
        <f t="shared" ref="G137:G157" si="55">SUM(D137:F137)</f>
        <v>0</v>
      </c>
      <c r="H137" s="796"/>
      <c r="I137" s="796"/>
      <c r="J137" s="796"/>
      <c r="K137" s="791">
        <f t="shared" ref="K137:K157" si="56">SUM(H137:J137)</f>
        <v>0</v>
      </c>
      <c r="L137" s="792" t="e">
        <f>+K137/G137</f>
        <v>#DIV/0!</v>
      </c>
      <c r="M137" s="796">
        <f t="shared" ref="M137:O157" si="57">+D137-H137</f>
        <v>0</v>
      </c>
      <c r="N137" s="796">
        <f t="shared" si="57"/>
        <v>0</v>
      </c>
      <c r="O137" s="796">
        <f t="shared" si="57"/>
        <v>0</v>
      </c>
      <c r="P137" s="791">
        <f t="shared" ref="P137:P157" si="58">SUM(M137:O137)</f>
        <v>0</v>
      </c>
      <c r="Q137" s="796"/>
      <c r="R137" s="796"/>
      <c r="S137" s="796"/>
      <c r="T137" s="791">
        <f t="shared" ref="T137:T157" si="59">SUM(Q137:S137)</f>
        <v>0</v>
      </c>
      <c r="U137" s="796"/>
      <c r="V137" s="796" t="e">
        <f t="shared" si="52"/>
        <v>#DIV/0!</v>
      </c>
      <c r="W137" s="799" t="e">
        <f t="shared" si="53"/>
        <v>#DIV/0!</v>
      </c>
      <c r="X137" s="799" t="e">
        <f t="shared" si="54"/>
        <v>#DIV/0!</v>
      </c>
      <c r="Y137" s="794"/>
    </row>
    <row r="138" spans="1:25" s="789" customFormat="1" hidden="1" x14ac:dyDescent="0.2">
      <c r="A138" s="841"/>
      <c r="B138" s="842" t="s">
        <v>790</v>
      </c>
      <c r="C138" s="796"/>
      <c r="D138" s="796"/>
      <c r="E138" s="796"/>
      <c r="F138" s="796"/>
      <c r="G138" s="791">
        <f t="shared" si="55"/>
        <v>0</v>
      </c>
      <c r="H138" s="796"/>
      <c r="I138" s="796"/>
      <c r="J138" s="796"/>
      <c r="K138" s="791">
        <f t="shared" si="56"/>
        <v>0</v>
      </c>
      <c r="L138" s="792" t="e">
        <f>+K138/G138</f>
        <v>#DIV/0!</v>
      </c>
      <c r="M138" s="796">
        <f t="shared" si="57"/>
        <v>0</v>
      </c>
      <c r="N138" s="796">
        <f t="shared" si="57"/>
        <v>0</v>
      </c>
      <c r="O138" s="796">
        <f t="shared" si="57"/>
        <v>0</v>
      </c>
      <c r="P138" s="791">
        <f t="shared" si="58"/>
        <v>0</v>
      </c>
      <c r="Q138" s="796"/>
      <c r="R138" s="796"/>
      <c r="S138" s="796"/>
      <c r="T138" s="791">
        <f t="shared" si="59"/>
        <v>0</v>
      </c>
      <c r="U138" s="796"/>
      <c r="V138" s="796" t="e">
        <f t="shared" si="52"/>
        <v>#DIV/0!</v>
      </c>
      <c r="W138" s="799" t="e">
        <f t="shared" si="53"/>
        <v>#DIV/0!</v>
      </c>
      <c r="X138" s="799" t="e">
        <f t="shared" si="54"/>
        <v>#DIV/0!</v>
      </c>
      <c r="Y138" s="794"/>
    </row>
    <row r="139" spans="1:25" s="789" customFormat="1" hidden="1" x14ac:dyDescent="0.2">
      <c r="A139" s="841" t="s">
        <v>801</v>
      </c>
      <c r="B139" s="842" t="s">
        <v>791</v>
      </c>
      <c r="C139" s="796"/>
      <c r="D139" s="796"/>
      <c r="E139" s="796"/>
      <c r="F139" s="796"/>
      <c r="G139" s="791">
        <f t="shared" si="55"/>
        <v>0</v>
      </c>
      <c r="H139" s="796"/>
      <c r="I139" s="796"/>
      <c r="J139" s="796"/>
      <c r="K139" s="791">
        <f t="shared" si="56"/>
        <v>0</v>
      </c>
      <c r="L139" s="792" t="e">
        <f t="shared" ref="L139:L157" si="60">+K139/G139</f>
        <v>#DIV/0!</v>
      </c>
      <c r="M139" s="796">
        <f t="shared" si="57"/>
        <v>0</v>
      </c>
      <c r="N139" s="796">
        <f t="shared" si="57"/>
        <v>0</v>
      </c>
      <c r="O139" s="796">
        <f t="shared" si="57"/>
        <v>0</v>
      </c>
      <c r="P139" s="791">
        <f t="shared" si="58"/>
        <v>0</v>
      </c>
      <c r="Q139" s="796"/>
      <c r="R139" s="796"/>
      <c r="S139" s="796"/>
      <c r="T139" s="791">
        <f t="shared" si="59"/>
        <v>0</v>
      </c>
      <c r="U139" s="796"/>
      <c r="V139" s="796" t="e">
        <f t="shared" si="52"/>
        <v>#DIV/0!</v>
      </c>
      <c r="W139" s="799" t="e">
        <f t="shared" si="53"/>
        <v>#DIV/0!</v>
      </c>
      <c r="X139" s="799" t="e">
        <f t="shared" si="54"/>
        <v>#DIV/0!</v>
      </c>
      <c r="Y139" s="794"/>
    </row>
    <row r="140" spans="1:25" s="789" customFormat="1" hidden="1" x14ac:dyDescent="0.2">
      <c r="A140" s="841" t="s">
        <v>801</v>
      </c>
      <c r="B140" s="842" t="s">
        <v>792</v>
      </c>
      <c r="C140" s="796"/>
      <c r="D140" s="796"/>
      <c r="E140" s="796"/>
      <c r="F140" s="796"/>
      <c r="G140" s="791">
        <f t="shared" si="55"/>
        <v>0</v>
      </c>
      <c r="H140" s="796"/>
      <c r="I140" s="796"/>
      <c r="J140" s="796"/>
      <c r="K140" s="791">
        <f t="shared" si="56"/>
        <v>0</v>
      </c>
      <c r="L140" s="792" t="e">
        <f t="shared" si="60"/>
        <v>#DIV/0!</v>
      </c>
      <c r="M140" s="796">
        <f t="shared" si="57"/>
        <v>0</v>
      </c>
      <c r="N140" s="796">
        <f t="shared" si="57"/>
        <v>0</v>
      </c>
      <c r="O140" s="796">
        <f t="shared" si="57"/>
        <v>0</v>
      </c>
      <c r="P140" s="791">
        <f t="shared" si="58"/>
        <v>0</v>
      </c>
      <c r="Q140" s="796"/>
      <c r="R140" s="796"/>
      <c r="S140" s="796"/>
      <c r="T140" s="791">
        <f t="shared" si="59"/>
        <v>0</v>
      </c>
      <c r="U140" s="796"/>
      <c r="V140" s="796" t="e">
        <f t="shared" si="52"/>
        <v>#DIV/0!</v>
      </c>
      <c r="W140" s="799" t="e">
        <f t="shared" si="53"/>
        <v>#DIV/0!</v>
      </c>
      <c r="X140" s="799" t="e">
        <f t="shared" si="54"/>
        <v>#DIV/0!</v>
      </c>
      <c r="Y140" s="794"/>
    </row>
    <row r="141" spans="1:25" s="789" customFormat="1" hidden="1" x14ac:dyDescent="0.2">
      <c r="A141" s="841" t="s">
        <v>801</v>
      </c>
      <c r="B141" s="842" t="s">
        <v>793</v>
      </c>
      <c r="C141" s="796"/>
      <c r="D141" s="796"/>
      <c r="E141" s="796"/>
      <c r="F141" s="796"/>
      <c r="G141" s="791">
        <f t="shared" si="55"/>
        <v>0</v>
      </c>
      <c r="H141" s="796"/>
      <c r="I141" s="796"/>
      <c r="J141" s="796"/>
      <c r="K141" s="791">
        <f t="shared" si="56"/>
        <v>0</v>
      </c>
      <c r="L141" s="792" t="e">
        <f t="shared" si="60"/>
        <v>#DIV/0!</v>
      </c>
      <c r="M141" s="796">
        <f t="shared" si="57"/>
        <v>0</v>
      </c>
      <c r="N141" s="796">
        <f t="shared" si="57"/>
        <v>0</v>
      </c>
      <c r="O141" s="796">
        <f t="shared" si="57"/>
        <v>0</v>
      </c>
      <c r="P141" s="791">
        <f t="shared" si="58"/>
        <v>0</v>
      </c>
      <c r="Q141" s="796"/>
      <c r="R141" s="796"/>
      <c r="S141" s="796"/>
      <c r="T141" s="791">
        <f t="shared" si="59"/>
        <v>0</v>
      </c>
      <c r="U141" s="796"/>
      <c r="V141" s="796" t="e">
        <f t="shared" si="52"/>
        <v>#DIV/0!</v>
      </c>
      <c r="W141" s="799" t="e">
        <f t="shared" si="53"/>
        <v>#DIV/0!</v>
      </c>
      <c r="X141" s="799" t="e">
        <f t="shared" si="54"/>
        <v>#DIV/0!</v>
      </c>
      <c r="Y141" s="794"/>
    </row>
    <row r="142" spans="1:25" s="789" customFormat="1" hidden="1" x14ac:dyDescent="0.2">
      <c r="A142" s="841" t="s">
        <v>801</v>
      </c>
      <c r="B142" s="842" t="s">
        <v>53</v>
      </c>
      <c r="C142" s="796"/>
      <c r="D142" s="796"/>
      <c r="E142" s="796"/>
      <c r="F142" s="796"/>
      <c r="G142" s="791">
        <f t="shared" si="55"/>
        <v>0</v>
      </c>
      <c r="H142" s="796"/>
      <c r="I142" s="796"/>
      <c r="J142" s="796"/>
      <c r="K142" s="791">
        <f t="shared" si="56"/>
        <v>0</v>
      </c>
      <c r="L142" s="792" t="e">
        <f t="shared" si="60"/>
        <v>#DIV/0!</v>
      </c>
      <c r="M142" s="796">
        <f t="shared" si="57"/>
        <v>0</v>
      </c>
      <c r="N142" s="796">
        <f t="shared" si="57"/>
        <v>0</v>
      </c>
      <c r="O142" s="796">
        <f t="shared" si="57"/>
        <v>0</v>
      </c>
      <c r="P142" s="791">
        <f t="shared" si="58"/>
        <v>0</v>
      </c>
      <c r="Q142" s="796"/>
      <c r="R142" s="796"/>
      <c r="S142" s="796"/>
      <c r="T142" s="791">
        <f t="shared" si="59"/>
        <v>0</v>
      </c>
      <c r="U142" s="796"/>
      <c r="V142" s="796" t="e">
        <f t="shared" si="52"/>
        <v>#DIV/0!</v>
      </c>
      <c r="W142" s="799" t="e">
        <f t="shared" si="53"/>
        <v>#DIV/0!</v>
      </c>
      <c r="X142" s="799" t="e">
        <f t="shared" si="54"/>
        <v>#DIV/0!</v>
      </c>
      <c r="Y142" s="794"/>
    </row>
    <row r="143" spans="1:25" s="789" customFormat="1" hidden="1" x14ac:dyDescent="0.2">
      <c r="A143" s="841" t="s">
        <v>801</v>
      </c>
      <c r="B143" s="842" t="s">
        <v>52</v>
      </c>
      <c r="C143" s="796"/>
      <c r="D143" s="796"/>
      <c r="E143" s="796"/>
      <c r="F143" s="796"/>
      <c r="G143" s="791">
        <f t="shared" si="55"/>
        <v>0</v>
      </c>
      <c r="H143" s="796"/>
      <c r="I143" s="796"/>
      <c r="J143" s="796"/>
      <c r="K143" s="791">
        <f t="shared" si="56"/>
        <v>0</v>
      </c>
      <c r="L143" s="792" t="e">
        <f t="shared" si="60"/>
        <v>#DIV/0!</v>
      </c>
      <c r="M143" s="796">
        <f t="shared" si="57"/>
        <v>0</v>
      </c>
      <c r="N143" s="796">
        <f t="shared" si="57"/>
        <v>0</v>
      </c>
      <c r="O143" s="796">
        <f t="shared" si="57"/>
        <v>0</v>
      </c>
      <c r="P143" s="791">
        <f t="shared" si="58"/>
        <v>0</v>
      </c>
      <c r="Q143" s="796"/>
      <c r="R143" s="796"/>
      <c r="S143" s="796"/>
      <c r="T143" s="791">
        <f t="shared" si="59"/>
        <v>0</v>
      </c>
      <c r="U143" s="796"/>
      <c r="V143" s="796" t="e">
        <f t="shared" si="52"/>
        <v>#DIV/0!</v>
      </c>
      <c r="W143" s="799" t="e">
        <f t="shared" si="53"/>
        <v>#DIV/0!</v>
      </c>
      <c r="X143" s="799" t="e">
        <f t="shared" si="54"/>
        <v>#DIV/0!</v>
      </c>
      <c r="Y143" s="794"/>
    </row>
    <row r="144" spans="1:25" s="789" customFormat="1" hidden="1" x14ac:dyDescent="0.2">
      <c r="A144" s="841" t="s">
        <v>801</v>
      </c>
      <c r="B144" s="842" t="s">
        <v>55</v>
      </c>
      <c r="C144" s="796"/>
      <c r="D144" s="796"/>
      <c r="E144" s="796"/>
      <c r="F144" s="796"/>
      <c r="G144" s="791">
        <f t="shared" si="55"/>
        <v>0</v>
      </c>
      <c r="H144" s="796"/>
      <c r="I144" s="796"/>
      <c r="J144" s="796"/>
      <c r="K144" s="791">
        <f t="shared" si="56"/>
        <v>0</v>
      </c>
      <c r="L144" s="792" t="e">
        <f t="shared" si="60"/>
        <v>#DIV/0!</v>
      </c>
      <c r="M144" s="796">
        <f t="shared" si="57"/>
        <v>0</v>
      </c>
      <c r="N144" s="796">
        <f t="shared" si="57"/>
        <v>0</v>
      </c>
      <c r="O144" s="796">
        <f t="shared" si="57"/>
        <v>0</v>
      </c>
      <c r="P144" s="791">
        <f t="shared" si="58"/>
        <v>0</v>
      </c>
      <c r="Q144" s="796"/>
      <c r="R144" s="796"/>
      <c r="S144" s="796"/>
      <c r="T144" s="791">
        <f t="shared" si="59"/>
        <v>0</v>
      </c>
      <c r="U144" s="796"/>
      <c r="V144" s="796" t="e">
        <f t="shared" si="52"/>
        <v>#DIV/0!</v>
      </c>
      <c r="W144" s="799" t="e">
        <f t="shared" si="53"/>
        <v>#DIV/0!</v>
      </c>
      <c r="X144" s="799" t="e">
        <f t="shared" si="54"/>
        <v>#DIV/0!</v>
      </c>
      <c r="Y144" s="794"/>
    </row>
    <row r="145" spans="1:25" s="789" customFormat="1" hidden="1" x14ac:dyDescent="0.2">
      <c r="A145" s="841" t="s">
        <v>801</v>
      </c>
      <c r="B145" s="842" t="s">
        <v>794</v>
      </c>
      <c r="C145" s="796"/>
      <c r="D145" s="796"/>
      <c r="E145" s="796"/>
      <c r="F145" s="796"/>
      <c r="G145" s="791">
        <f t="shared" si="55"/>
        <v>0</v>
      </c>
      <c r="H145" s="796"/>
      <c r="I145" s="796"/>
      <c r="J145" s="796"/>
      <c r="K145" s="791">
        <f t="shared" si="56"/>
        <v>0</v>
      </c>
      <c r="L145" s="792" t="e">
        <f t="shared" si="60"/>
        <v>#DIV/0!</v>
      </c>
      <c r="M145" s="796">
        <f t="shared" si="57"/>
        <v>0</v>
      </c>
      <c r="N145" s="796">
        <f t="shared" si="57"/>
        <v>0</v>
      </c>
      <c r="O145" s="796">
        <f t="shared" si="57"/>
        <v>0</v>
      </c>
      <c r="P145" s="791">
        <f t="shared" si="58"/>
        <v>0</v>
      </c>
      <c r="Q145" s="796"/>
      <c r="R145" s="796"/>
      <c r="S145" s="796"/>
      <c r="T145" s="791">
        <f t="shared" si="59"/>
        <v>0</v>
      </c>
      <c r="U145" s="796"/>
      <c r="V145" s="796" t="e">
        <f t="shared" si="52"/>
        <v>#DIV/0!</v>
      </c>
      <c r="W145" s="799" t="e">
        <f t="shared" si="53"/>
        <v>#DIV/0!</v>
      </c>
      <c r="X145" s="799" t="e">
        <f t="shared" si="54"/>
        <v>#DIV/0!</v>
      </c>
      <c r="Y145" s="794"/>
    </row>
    <row r="146" spans="1:25" s="789" customFormat="1" hidden="1" x14ac:dyDescent="0.2">
      <c r="A146" s="841" t="s">
        <v>801</v>
      </c>
      <c r="B146" s="842" t="s">
        <v>795</v>
      </c>
      <c r="C146" s="796"/>
      <c r="D146" s="796"/>
      <c r="E146" s="796"/>
      <c r="F146" s="796"/>
      <c r="G146" s="791">
        <f t="shared" si="55"/>
        <v>0</v>
      </c>
      <c r="H146" s="796"/>
      <c r="I146" s="796"/>
      <c r="J146" s="796"/>
      <c r="K146" s="791">
        <f t="shared" si="56"/>
        <v>0</v>
      </c>
      <c r="L146" s="792" t="e">
        <f t="shared" si="60"/>
        <v>#DIV/0!</v>
      </c>
      <c r="M146" s="796">
        <f t="shared" si="57"/>
        <v>0</v>
      </c>
      <c r="N146" s="796">
        <f t="shared" si="57"/>
        <v>0</v>
      </c>
      <c r="O146" s="796">
        <f t="shared" si="57"/>
        <v>0</v>
      </c>
      <c r="P146" s="791">
        <f t="shared" si="58"/>
        <v>0</v>
      </c>
      <c r="Q146" s="796"/>
      <c r="R146" s="796"/>
      <c r="S146" s="796"/>
      <c r="T146" s="791">
        <f t="shared" si="59"/>
        <v>0</v>
      </c>
      <c r="U146" s="796"/>
      <c r="V146" s="796" t="e">
        <f t="shared" si="52"/>
        <v>#DIV/0!</v>
      </c>
      <c r="W146" s="799" t="e">
        <f t="shared" si="53"/>
        <v>#DIV/0!</v>
      </c>
      <c r="X146" s="799" t="e">
        <f t="shared" si="54"/>
        <v>#DIV/0!</v>
      </c>
      <c r="Y146" s="794"/>
    </row>
    <row r="147" spans="1:25" s="789" customFormat="1" hidden="1" x14ac:dyDescent="0.2">
      <c r="A147" s="841" t="s">
        <v>801</v>
      </c>
      <c r="B147" s="842" t="s">
        <v>796</v>
      </c>
      <c r="C147" s="796"/>
      <c r="D147" s="796"/>
      <c r="E147" s="796"/>
      <c r="F147" s="796"/>
      <c r="G147" s="791">
        <f t="shared" si="55"/>
        <v>0</v>
      </c>
      <c r="H147" s="796"/>
      <c r="I147" s="796"/>
      <c r="J147" s="796"/>
      <c r="K147" s="791">
        <f t="shared" si="56"/>
        <v>0</v>
      </c>
      <c r="L147" s="792" t="e">
        <f t="shared" si="60"/>
        <v>#DIV/0!</v>
      </c>
      <c r="M147" s="796">
        <f t="shared" si="57"/>
        <v>0</v>
      </c>
      <c r="N147" s="796">
        <f t="shared" si="57"/>
        <v>0</v>
      </c>
      <c r="O147" s="796">
        <f t="shared" si="57"/>
        <v>0</v>
      </c>
      <c r="P147" s="791">
        <f t="shared" si="58"/>
        <v>0</v>
      </c>
      <c r="Q147" s="796"/>
      <c r="R147" s="796"/>
      <c r="S147" s="796"/>
      <c r="T147" s="791">
        <f t="shared" si="59"/>
        <v>0</v>
      </c>
      <c r="U147" s="796"/>
      <c r="V147" s="796" t="e">
        <f t="shared" si="52"/>
        <v>#DIV/0!</v>
      </c>
      <c r="W147" s="799" t="e">
        <f t="shared" si="53"/>
        <v>#DIV/0!</v>
      </c>
      <c r="X147" s="799" t="e">
        <f t="shared" si="54"/>
        <v>#DIV/0!</v>
      </c>
      <c r="Y147" s="794"/>
    </row>
    <row r="148" spans="1:25" s="789" customFormat="1" hidden="1" x14ac:dyDescent="0.2">
      <c r="A148" s="841" t="s">
        <v>801</v>
      </c>
      <c r="B148" s="842" t="s">
        <v>59</v>
      </c>
      <c r="C148" s="796"/>
      <c r="D148" s="796"/>
      <c r="E148" s="796"/>
      <c r="F148" s="796"/>
      <c r="G148" s="791">
        <f t="shared" si="55"/>
        <v>0</v>
      </c>
      <c r="H148" s="796"/>
      <c r="I148" s="796"/>
      <c r="J148" s="796"/>
      <c r="K148" s="791">
        <f t="shared" si="56"/>
        <v>0</v>
      </c>
      <c r="L148" s="792" t="e">
        <f t="shared" si="60"/>
        <v>#DIV/0!</v>
      </c>
      <c r="M148" s="796">
        <f t="shared" si="57"/>
        <v>0</v>
      </c>
      <c r="N148" s="796">
        <f t="shared" si="57"/>
        <v>0</v>
      </c>
      <c r="O148" s="796">
        <f t="shared" si="57"/>
        <v>0</v>
      </c>
      <c r="P148" s="791">
        <f t="shared" si="58"/>
        <v>0</v>
      </c>
      <c r="Q148" s="796"/>
      <c r="R148" s="796"/>
      <c r="S148" s="796"/>
      <c r="T148" s="791">
        <f t="shared" si="59"/>
        <v>0</v>
      </c>
      <c r="U148" s="796"/>
      <c r="V148" s="796" t="e">
        <f t="shared" si="52"/>
        <v>#DIV/0!</v>
      </c>
      <c r="W148" s="799" t="e">
        <f t="shared" si="53"/>
        <v>#DIV/0!</v>
      </c>
      <c r="X148" s="799" t="e">
        <f t="shared" si="54"/>
        <v>#DIV/0!</v>
      </c>
      <c r="Y148" s="794"/>
    </row>
    <row r="149" spans="1:25" s="789" customFormat="1" hidden="1" x14ac:dyDescent="0.2">
      <c r="A149" s="841" t="s">
        <v>801</v>
      </c>
      <c r="B149" s="842" t="s">
        <v>54</v>
      </c>
      <c r="C149" s="796"/>
      <c r="D149" s="796"/>
      <c r="E149" s="796"/>
      <c r="F149" s="796"/>
      <c r="G149" s="791">
        <f t="shared" si="55"/>
        <v>0</v>
      </c>
      <c r="H149" s="796"/>
      <c r="I149" s="796"/>
      <c r="J149" s="796"/>
      <c r="K149" s="791">
        <f t="shared" si="56"/>
        <v>0</v>
      </c>
      <c r="L149" s="792" t="e">
        <f t="shared" si="60"/>
        <v>#DIV/0!</v>
      </c>
      <c r="M149" s="796">
        <f t="shared" si="57"/>
        <v>0</v>
      </c>
      <c r="N149" s="796">
        <f t="shared" si="57"/>
        <v>0</v>
      </c>
      <c r="O149" s="796">
        <f t="shared" si="57"/>
        <v>0</v>
      </c>
      <c r="P149" s="791">
        <f t="shared" si="58"/>
        <v>0</v>
      </c>
      <c r="Q149" s="796"/>
      <c r="R149" s="796"/>
      <c r="S149" s="796"/>
      <c r="T149" s="791">
        <f t="shared" si="59"/>
        <v>0</v>
      </c>
      <c r="U149" s="796"/>
      <c r="V149" s="796" t="e">
        <f t="shared" si="52"/>
        <v>#DIV/0!</v>
      </c>
      <c r="W149" s="799" t="e">
        <f t="shared" si="53"/>
        <v>#DIV/0!</v>
      </c>
      <c r="X149" s="799" t="e">
        <f t="shared" si="54"/>
        <v>#DIV/0!</v>
      </c>
      <c r="Y149" s="794"/>
    </row>
    <row r="150" spans="1:25" s="789" customFormat="1" ht="25.5" hidden="1" x14ac:dyDescent="0.2">
      <c r="A150" s="841" t="s">
        <v>801</v>
      </c>
      <c r="B150" s="843" t="s">
        <v>58</v>
      </c>
      <c r="C150" s="796"/>
      <c r="D150" s="796"/>
      <c r="E150" s="796"/>
      <c r="F150" s="796"/>
      <c r="G150" s="791">
        <f t="shared" si="55"/>
        <v>0</v>
      </c>
      <c r="H150" s="796"/>
      <c r="I150" s="796"/>
      <c r="J150" s="796"/>
      <c r="K150" s="791">
        <f t="shared" si="56"/>
        <v>0</v>
      </c>
      <c r="L150" s="792" t="e">
        <f t="shared" si="60"/>
        <v>#DIV/0!</v>
      </c>
      <c r="M150" s="796">
        <f t="shared" si="57"/>
        <v>0</v>
      </c>
      <c r="N150" s="796">
        <f t="shared" si="57"/>
        <v>0</v>
      </c>
      <c r="O150" s="796">
        <f t="shared" si="57"/>
        <v>0</v>
      </c>
      <c r="P150" s="791">
        <f t="shared" si="58"/>
        <v>0</v>
      </c>
      <c r="Q150" s="796"/>
      <c r="R150" s="796"/>
      <c r="S150" s="796"/>
      <c r="T150" s="791">
        <f t="shared" si="59"/>
        <v>0</v>
      </c>
      <c r="U150" s="796"/>
      <c r="V150" s="796" t="e">
        <f t="shared" si="52"/>
        <v>#DIV/0!</v>
      </c>
      <c r="W150" s="799" t="e">
        <f t="shared" si="53"/>
        <v>#DIV/0!</v>
      </c>
      <c r="X150" s="799" t="e">
        <f t="shared" si="54"/>
        <v>#DIV/0!</v>
      </c>
      <c r="Y150" s="794"/>
    </row>
    <row r="151" spans="1:25" s="789" customFormat="1" hidden="1" x14ac:dyDescent="0.2">
      <c r="A151" s="841" t="s">
        <v>801</v>
      </c>
      <c r="B151" s="842" t="s">
        <v>797</v>
      </c>
      <c r="C151" s="796"/>
      <c r="D151" s="796"/>
      <c r="E151" s="796"/>
      <c r="F151" s="796"/>
      <c r="G151" s="791">
        <f t="shared" si="55"/>
        <v>0</v>
      </c>
      <c r="H151" s="796"/>
      <c r="I151" s="796"/>
      <c r="J151" s="796"/>
      <c r="K151" s="791">
        <f t="shared" si="56"/>
        <v>0</v>
      </c>
      <c r="L151" s="792" t="e">
        <f t="shared" si="60"/>
        <v>#DIV/0!</v>
      </c>
      <c r="M151" s="796">
        <f t="shared" si="57"/>
        <v>0</v>
      </c>
      <c r="N151" s="796">
        <f t="shared" si="57"/>
        <v>0</v>
      </c>
      <c r="O151" s="796">
        <f t="shared" si="57"/>
        <v>0</v>
      </c>
      <c r="P151" s="791">
        <f t="shared" si="58"/>
        <v>0</v>
      </c>
      <c r="Q151" s="796"/>
      <c r="R151" s="796"/>
      <c r="S151" s="796"/>
      <c r="T151" s="791">
        <f t="shared" si="59"/>
        <v>0</v>
      </c>
      <c r="U151" s="796"/>
      <c r="V151" s="796" t="e">
        <f t="shared" si="52"/>
        <v>#DIV/0!</v>
      </c>
      <c r="W151" s="799" t="e">
        <f t="shared" si="53"/>
        <v>#DIV/0!</v>
      </c>
      <c r="X151" s="799" t="e">
        <f t="shared" si="54"/>
        <v>#DIV/0!</v>
      </c>
      <c r="Y151" s="794"/>
    </row>
    <row r="152" spans="1:25" s="789" customFormat="1" hidden="1" x14ac:dyDescent="0.2">
      <c r="A152" s="841" t="s">
        <v>801</v>
      </c>
      <c r="B152" s="844" t="s">
        <v>60</v>
      </c>
      <c r="C152" s="796"/>
      <c r="D152" s="796"/>
      <c r="E152" s="796"/>
      <c r="F152" s="796"/>
      <c r="G152" s="791">
        <f t="shared" si="55"/>
        <v>0</v>
      </c>
      <c r="H152" s="796"/>
      <c r="I152" s="796"/>
      <c r="J152" s="796"/>
      <c r="K152" s="791">
        <f t="shared" si="56"/>
        <v>0</v>
      </c>
      <c r="L152" s="792" t="e">
        <f t="shared" si="60"/>
        <v>#DIV/0!</v>
      </c>
      <c r="M152" s="796">
        <f t="shared" si="57"/>
        <v>0</v>
      </c>
      <c r="N152" s="796">
        <f t="shared" si="57"/>
        <v>0</v>
      </c>
      <c r="O152" s="796">
        <f t="shared" si="57"/>
        <v>0</v>
      </c>
      <c r="P152" s="791">
        <f t="shared" si="58"/>
        <v>0</v>
      </c>
      <c r="Q152" s="796"/>
      <c r="R152" s="796"/>
      <c r="S152" s="796"/>
      <c r="T152" s="791">
        <f t="shared" si="59"/>
        <v>0</v>
      </c>
      <c r="U152" s="796"/>
      <c r="V152" s="796" t="e">
        <f t="shared" si="52"/>
        <v>#DIV/0!</v>
      </c>
      <c r="W152" s="799" t="e">
        <f t="shared" si="53"/>
        <v>#DIV/0!</v>
      </c>
      <c r="X152" s="799" t="e">
        <f t="shared" si="54"/>
        <v>#DIV/0!</v>
      </c>
      <c r="Y152" s="794"/>
    </row>
    <row r="153" spans="1:25" s="789" customFormat="1" hidden="1" x14ac:dyDescent="0.2">
      <c r="A153" s="841" t="s">
        <v>801</v>
      </c>
      <c r="B153" s="842" t="s">
        <v>61</v>
      </c>
      <c r="C153" s="796"/>
      <c r="D153" s="796"/>
      <c r="E153" s="796"/>
      <c r="F153" s="796"/>
      <c r="G153" s="791">
        <f t="shared" si="55"/>
        <v>0</v>
      </c>
      <c r="H153" s="796"/>
      <c r="I153" s="796"/>
      <c r="J153" s="796"/>
      <c r="K153" s="791">
        <f t="shared" si="56"/>
        <v>0</v>
      </c>
      <c r="L153" s="792" t="e">
        <f t="shared" si="60"/>
        <v>#DIV/0!</v>
      </c>
      <c r="M153" s="796">
        <f t="shared" si="57"/>
        <v>0</v>
      </c>
      <c r="N153" s="796">
        <f t="shared" si="57"/>
        <v>0</v>
      </c>
      <c r="O153" s="796">
        <f t="shared" si="57"/>
        <v>0</v>
      </c>
      <c r="P153" s="791">
        <f t="shared" si="58"/>
        <v>0</v>
      </c>
      <c r="Q153" s="796"/>
      <c r="R153" s="796"/>
      <c r="S153" s="796"/>
      <c r="T153" s="791">
        <f t="shared" si="59"/>
        <v>0</v>
      </c>
      <c r="U153" s="796"/>
      <c r="V153" s="796" t="e">
        <f t="shared" si="52"/>
        <v>#DIV/0!</v>
      </c>
      <c r="W153" s="799" t="e">
        <f t="shared" si="53"/>
        <v>#DIV/0!</v>
      </c>
      <c r="X153" s="799" t="e">
        <f t="shared" si="54"/>
        <v>#DIV/0!</v>
      </c>
      <c r="Y153" s="794"/>
    </row>
    <row r="154" spans="1:25" s="789" customFormat="1" hidden="1" x14ac:dyDescent="0.2">
      <c r="A154" s="841" t="s">
        <v>801</v>
      </c>
      <c r="B154" s="842" t="s">
        <v>62</v>
      </c>
      <c r="C154" s="796"/>
      <c r="D154" s="796"/>
      <c r="E154" s="796"/>
      <c r="F154" s="796"/>
      <c r="G154" s="791">
        <f t="shared" si="55"/>
        <v>0</v>
      </c>
      <c r="H154" s="796"/>
      <c r="I154" s="796"/>
      <c r="J154" s="796"/>
      <c r="K154" s="791">
        <f t="shared" si="56"/>
        <v>0</v>
      </c>
      <c r="L154" s="792" t="e">
        <f t="shared" si="60"/>
        <v>#DIV/0!</v>
      </c>
      <c r="M154" s="796">
        <f t="shared" si="57"/>
        <v>0</v>
      </c>
      <c r="N154" s="796">
        <f t="shared" si="57"/>
        <v>0</v>
      </c>
      <c r="O154" s="796">
        <f t="shared" si="57"/>
        <v>0</v>
      </c>
      <c r="P154" s="791">
        <f t="shared" si="58"/>
        <v>0</v>
      </c>
      <c r="Q154" s="796"/>
      <c r="R154" s="796"/>
      <c r="S154" s="796"/>
      <c r="T154" s="791">
        <f t="shared" si="59"/>
        <v>0</v>
      </c>
      <c r="U154" s="796"/>
      <c r="V154" s="796" t="e">
        <f t="shared" si="52"/>
        <v>#DIV/0!</v>
      </c>
      <c r="W154" s="799" t="e">
        <f t="shared" si="53"/>
        <v>#DIV/0!</v>
      </c>
      <c r="X154" s="799" t="e">
        <f t="shared" si="54"/>
        <v>#DIV/0!</v>
      </c>
      <c r="Y154" s="794"/>
    </row>
    <row r="155" spans="1:25" s="789" customFormat="1" x14ac:dyDescent="0.2">
      <c r="A155" s="841" t="s">
        <v>801</v>
      </c>
      <c r="B155" s="842" t="s">
        <v>798</v>
      </c>
      <c r="C155" s="796">
        <f>+'detailed fund u'!J58</f>
        <v>19723000</v>
      </c>
      <c r="D155" s="796">
        <f>+'detailed fund u'!W58</f>
        <v>2560000</v>
      </c>
      <c r="E155" s="796">
        <f>+'detailed fund u'!X58</f>
        <v>16959844.82</v>
      </c>
      <c r="F155" s="796"/>
      <c r="G155" s="791">
        <f t="shared" si="55"/>
        <v>19519844.82</v>
      </c>
      <c r="H155" s="796">
        <f>+'detailed fund u'!AQ58</f>
        <v>2557000</v>
      </c>
      <c r="I155" s="796">
        <f>+'detailed fund u'!AR58</f>
        <v>14735142.82</v>
      </c>
      <c r="J155" s="796"/>
      <c r="K155" s="791">
        <f t="shared" si="56"/>
        <v>17292142.82</v>
      </c>
      <c r="L155" s="792">
        <f t="shared" si="60"/>
        <v>0.88587501486090192</v>
      </c>
      <c r="M155" s="796">
        <f t="shared" si="57"/>
        <v>3000</v>
      </c>
      <c r="N155" s="796">
        <f t="shared" si="57"/>
        <v>2224702</v>
      </c>
      <c r="O155" s="796">
        <f t="shared" si="57"/>
        <v>0</v>
      </c>
      <c r="P155" s="791">
        <f t="shared" si="58"/>
        <v>2227702</v>
      </c>
      <c r="Q155" s="796">
        <f>+'detailed fund u'!BK58</f>
        <v>2557000</v>
      </c>
      <c r="R155" s="796">
        <f>+'detailed fund u'!BL58</f>
        <v>13403816.27</v>
      </c>
      <c r="S155" s="796"/>
      <c r="T155" s="791">
        <f t="shared" si="59"/>
        <v>15960816.27</v>
      </c>
      <c r="U155" s="796"/>
      <c r="V155" s="796" t="e">
        <f t="shared" si="52"/>
        <v>#DIV/0!</v>
      </c>
      <c r="W155" s="799">
        <f t="shared" si="53"/>
        <v>0.81767126824935488</v>
      </c>
      <c r="X155" s="799">
        <f t="shared" si="54"/>
        <v>0.92300974125310853</v>
      </c>
      <c r="Y155" s="794"/>
    </row>
    <row r="156" spans="1:25" s="789" customFormat="1" x14ac:dyDescent="0.2">
      <c r="A156" s="841" t="s">
        <v>801</v>
      </c>
      <c r="B156" s="842" t="s">
        <v>799</v>
      </c>
      <c r="C156" s="796"/>
      <c r="D156" s="796"/>
      <c r="E156" s="796"/>
      <c r="F156" s="796"/>
      <c r="G156" s="791">
        <f t="shared" si="55"/>
        <v>0</v>
      </c>
      <c r="H156" s="796"/>
      <c r="I156" s="796"/>
      <c r="J156" s="796"/>
      <c r="K156" s="791">
        <f t="shared" si="56"/>
        <v>0</v>
      </c>
      <c r="L156" s="792" t="e">
        <f t="shared" si="60"/>
        <v>#DIV/0!</v>
      </c>
      <c r="M156" s="796">
        <f t="shared" si="57"/>
        <v>0</v>
      </c>
      <c r="N156" s="796">
        <f t="shared" si="57"/>
        <v>0</v>
      </c>
      <c r="O156" s="796">
        <f t="shared" si="57"/>
        <v>0</v>
      </c>
      <c r="P156" s="791">
        <f t="shared" si="58"/>
        <v>0</v>
      </c>
      <c r="Q156" s="796"/>
      <c r="R156" s="796"/>
      <c r="S156" s="796"/>
      <c r="T156" s="791">
        <f t="shared" si="59"/>
        <v>0</v>
      </c>
      <c r="U156" s="796"/>
      <c r="V156" s="796" t="e">
        <f t="shared" si="52"/>
        <v>#DIV/0!</v>
      </c>
      <c r="W156" s="799" t="e">
        <f t="shared" si="53"/>
        <v>#DIV/0!</v>
      </c>
      <c r="X156" s="799" t="e">
        <f t="shared" si="54"/>
        <v>#DIV/0!</v>
      </c>
      <c r="Y156" s="794"/>
    </row>
    <row r="157" spans="1:25" s="789" customFormat="1" hidden="1" x14ac:dyDescent="0.2">
      <c r="A157" s="841" t="s">
        <v>801</v>
      </c>
      <c r="B157" s="842" t="s">
        <v>800</v>
      </c>
      <c r="C157" s="796"/>
      <c r="D157" s="796"/>
      <c r="E157" s="796"/>
      <c r="F157" s="796"/>
      <c r="G157" s="791">
        <f t="shared" si="55"/>
        <v>0</v>
      </c>
      <c r="H157" s="796"/>
      <c r="I157" s="796"/>
      <c r="J157" s="796"/>
      <c r="K157" s="791">
        <f t="shared" si="56"/>
        <v>0</v>
      </c>
      <c r="L157" s="792" t="e">
        <f t="shared" si="60"/>
        <v>#DIV/0!</v>
      </c>
      <c r="M157" s="796">
        <f t="shared" si="57"/>
        <v>0</v>
      </c>
      <c r="N157" s="796">
        <f t="shared" si="57"/>
        <v>0</v>
      </c>
      <c r="O157" s="796">
        <f t="shared" si="57"/>
        <v>0</v>
      </c>
      <c r="P157" s="791">
        <f t="shared" si="58"/>
        <v>0</v>
      </c>
      <c r="Q157" s="796"/>
      <c r="R157" s="796"/>
      <c r="S157" s="796"/>
      <c r="T157" s="791">
        <f t="shared" si="59"/>
        <v>0</v>
      </c>
      <c r="U157" s="796"/>
      <c r="V157" s="796" t="e">
        <f t="shared" si="52"/>
        <v>#DIV/0!</v>
      </c>
      <c r="W157" s="799" t="e">
        <f t="shared" si="53"/>
        <v>#DIV/0!</v>
      </c>
      <c r="X157" s="799" t="e">
        <f t="shared" si="54"/>
        <v>#DIV/0!</v>
      </c>
      <c r="Y157" s="794"/>
    </row>
    <row r="158" spans="1:25" s="789" customFormat="1" x14ac:dyDescent="0.2">
      <c r="A158" s="812"/>
      <c r="B158" s="813"/>
      <c r="C158" s="845"/>
      <c r="D158" s="814"/>
      <c r="E158" s="814"/>
      <c r="F158" s="814"/>
      <c r="G158" s="814"/>
      <c r="H158" s="814"/>
      <c r="I158" s="814"/>
      <c r="J158" s="814"/>
      <c r="K158" s="814"/>
      <c r="L158" s="846"/>
      <c r="M158" s="814"/>
      <c r="N158" s="814"/>
      <c r="O158" s="814"/>
      <c r="P158" s="814"/>
      <c r="Q158" s="814"/>
      <c r="R158" s="814"/>
      <c r="S158" s="814"/>
      <c r="T158" s="814"/>
      <c r="U158" s="814"/>
      <c r="V158" s="814"/>
      <c r="W158" s="846"/>
      <c r="X158" s="846"/>
      <c r="Y158" s="813"/>
    </row>
    <row r="159" spans="1:25" s="789" customFormat="1" x14ac:dyDescent="0.2">
      <c r="A159" s="840"/>
      <c r="B159" s="828" t="s">
        <v>671</v>
      </c>
      <c r="C159" s="829">
        <f>SUM(C164:C182)+C161</f>
        <v>383100.64</v>
      </c>
      <c r="D159" s="829">
        <f t="shared" ref="D159:J159" si="61">SUM(D164:D182)+D161</f>
        <v>0</v>
      </c>
      <c r="E159" s="829">
        <f t="shared" si="61"/>
        <v>383100.64</v>
      </c>
      <c r="F159" s="829">
        <f t="shared" si="61"/>
        <v>0</v>
      </c>
      <c r="G159" s="829">
        <f>SUM(D159:F159)</f>
        <v>383100.64</v>
      </c>
      <c r="H159" s="829">
        <f t="shared" si="61"/>
        <v>0</v>
      </c>
      <c r="I159" s="829">
        <f t="shared" si="61"/>
        <v>383100.64</v>
      </c>
      <c r="J159" s="829">
        <f t="shared" si="61"/>
        <v>0</v>
      </c>
      <c r="K159" s="829">
        <f>SUM(H159:J159)</f>
        <v>383100.64</v>
      </c>
      <c r="L159" s="802">
        <f>+K159/G159</f>
        <v>1</v>
      </c>
      <c r="M159" s="829">
        <f>SUM(M164:M182)+M161</f>
        <v>0</v>
      </c>
      <c r="N159" s="829">
        <f>SUM(N164:N182)+N161</f>
        <v>0</v>
      </c>
      <c r="O159" s="829">
        <f>SUM(O164:O182)+O161</f>
        <v>0</v>
      </c>
      <c r="P159" s="829">
        <f>SUM(M159:O159)</f>
        <v>0</v>
      </c>
      <c r="Q159" s="829">
        <f>SUM(Q164:Q182)+Q161</f>
        <v>0</v>
      </c>
      <c r="R159" s="829">
        <f>SUM(R164:R182)+R161</f>
        <v>398763.96</v>
      </c>
      <c r="S159" s="829">
        <f>SUM(S164:S182)+S161</f>
        <v>0</v>
      </c>
      <c r="T159" s="829">
        <f>SUM(Q159:S159)</f>
        <v>398763.96</v>
      </c>
      <c r="U159" s="829">
        <f>SUM(U164:U182)+U161</f>
        <v>0</v>
      </c>
      <c r="V159" s="786" t="e">
        <f>+T159/U159</f>
        <v>#DIV/0!</v>
      </c>
      <c r="W159" s="787">
        <f>+T159/G159</f>
        <v>1.0408856534408295</v>
      </c>
      <c r="X159" s="787">
        <f>+T159/K159</f>
        <v>1.0408856534408295</v>
      </c>
      <c r="Y159" s="809"/>
    </row>
    <row r="160" spans="1:25" s="789" customFormat="1" x14ac:dyDescent="0.2">
      <c r="A160" s="830"/>
      <c r="B160" s="831"/>
      <c r="C160" s="838"/>
      <c r="D160" s="795"/>
      <c r="E160" s="795"/>
      <c r="F160" s="795"/>
      <c r="G160" s="795"/>
      <c r="H160" s="795"/>
      <c r="I160" s="795"/>
      <c r="J160" s="839"/>
      <c r="K160" s="795"/>
      <c r="L160" s="832"/>
      <c r="M160" s="795"/>
      <c r="N160" s="795"/>
      <c r="O160" s="839"/>
      <c r="P160" s="795"/>
      <c r="Q160" s="795"/>
      <c r="R160" s="795"/>
      <c r="S160" s="839"/>
      <c r="T160" s="795"/>
      <c r="U160" s="795"/>
      <c r="V160" s="795"/>
      <c r="W160" s="832"/>
      <c r="X160" s="832"/>
      <c r="Y160" s="794"/>
    </row>
    <row r="161" spans="1:25" s="789" customFormat="1" hidden="1" x14ac:dyDescent="0.2">
      <c r="A161" s="841" t="s">
        <v>672</v>
      </c>
      <c r="B161" s="842" t="s">
        <v>788</v>
      </c>
      <c r="C161" s="795">
        <f>SUM(C162:C163)</f>
        <v>0</v>
      </c>
      <c r="D161" s="795">
        <f>SUM(D162:D163)</f>
        <v>0</v>
      </c>
      <c r="E161" s="795">
        <f>SUM(E162:E163)</f>
        <v>0</v>
      </c>
      <c r="F161" s="795">
        <f>SUM(F162:F163)</f>
        <v>0</v>
      </c>
      <c r="G161" s="791">
        <f>SUM(D161:F161)</f>
        <v>0</v>
      </c>
      <c r="H161" s="795">
        <f>SUM(H162:H163)</f>
        <v>0</v>
      </c>
      <c r="I161" s="795">
        <f>SUM(I162:I163)</f>
        <v>0</v>
      </c>
      <c r="J161" s="795">
        <f>SUM(J162:J163)</f>
        <v>0</v>
      </c>
      <c r="K161" s="791">
        <f>SUM(H161:J161)</f>
        <v>0</v>
      </c>
      <c r="L161" s="792" t="e">
        <f>+K161/G161</f>
        <v>#DIV/0!</v>
      </c>
      <c r="M161" s="795">
        <f>SUM(M162:M163)</f>
        <v>0</v>
      </c>
      <c r="N161" s="795">
        <f>SUM(N162:N163)</f>
        <v>0</v>
      </c>
      <c r="O161" s="795">
        <f>SUM(O162:O163)</f>
        <v>0</v>
      </c>
      <c r="P161" s="791">
        <f>SUM(M161:O161)</f>
        <v>0</v>
      </c>
      <c r="Q161" s="795">
        <f>SUM(Q162:Q163)</f>
        <v>0</v>
      </c>
      <c r="R161" s="795">
        <f>SUM(R162:R163)</f>
        <v>0</v>
      </c>
      <c r="S161" s="795">
        <f>SUM(S162:S163)</f>
        <v>0</v>
      </c>
      <c r="T161" s="791">
        <f>SUM(Q161:S161)</f>
        <v>0</v>
      </c>
      <c r="U161" s="795">
        <f>SUM(U162:U163)</f>
        <v>0</v>
      </c>
      <c r="V161" s="796" t="e">
        <f t="shared" ref="V161:V182" si="62">+T161/U161</f>
        <v>#DIV/0!</v>
      </c>
      <c r="W161" s="799" t="e">
        <f t="shared" ref="W161:W182" si="63">+T161/G161</f>
        <v>#DIV/0!</v>
      </c>
      <c r="X161" s="799" t="e">
        <f t="shared" ref="X161:X182" si="64">+T161/K161</f>
        <v>#DIV/0!</v>
      </c>
      <c r="Y161" s="794"/>
    </row>
    <row r="162" spans="1:25" s="789" customFormat="1" hidden="1" x14ac:dyDescent="0.2">
      <c r="A162" s="841"/>
      <c r="B162" s="842" t="s">
        <v>789</v>
      </c>
      <c r="C162" s="796"/>
      <c r="D162" s="796"/>
      <c r="E162" s="796"/>
      <c r="F162" s="796"/>
      <c r="G162" s="791">
        <f t="shared" ref="G162:G182" si="65">SUM(D162:F162)</f>
        <v>0</v>
      </c>
      <c r="H162" s="796"/>
      <c r="I162" s="796"/>
      <c r="J162" s="796"/>
      <c r="K162" s="791">
        <f t="shared" ref="K162:K182" si="66">SUM(H162:J162)</f>
        <v>0</v>
      </c>
      <c r="L162" s="792" t="e">
        <f>+K162/G162</f>
        <v>#DIV/0!</v>
      </c>
      <c r="M162" s="796">
        <f t="shared" ref="M162:O182" si="67">+D162-H162</f>
        <v>0</v>
      </c>
      <c r="N162" s="796">
        <f t="shared" si="67"/>
        <v>0</v>
      </c>
      <c r="O162" s="796">
        <f t="shared" si="67"/>
        <v>0</v>
      </c>
      <c r="P162" s="791">
        <f t="shared" ref="P162:P182" si="68">SUM(M162:O162)</f>
        <v>0</v>
      </c>
      <c r="Q162" s="796"/>
      <c r="R162" s="796"/>
      <c r="S162" s="796"/>
      <c r="T162" s="791">
        <f t="shared" ref="T162:T182" si="69">SUM(Q162:S162)</f>
        <v>0</v>
      </c>
      <c r="U162" s="796"/>
      <c r="V162" s="796" t="e">
        <f t="shared" si="62"/>
        <v>#DIV/0!</v>
      </c>
      <c r="W162" s="799" t="e">
        <f t="shared" si="63"/>
        <v>#DIV/0!</v>
      </c>
      <c r="X162" s="799" t="e">
        <f t="shared" si="64"/>
        <v>#DIV/0!</v>
      </c>
      <c r="Y162" s="794"/>
    </row>
    <row r="163" spans="1:25" s="789" customFormat="1" hidden="1" x14ac:dyDescent="0.2">
      <c r="A163" s="841"/>
      <c r="B163" s="842" t="s">
        <v>790</v>
      </c>
      <c r="C163" s="796"/>
      <c r="D163" s="796"/>
      <c r="E163" s="796"/>
      <c r="F163" s="796"/>
      <c r="G163" s="791">
        <f t="shared" si="65"/>
        <v>0</v>
      </c>
      <c r="H163" s="796"/>
      <c r="I163" s="796"/>
      <c r="J163" s="796"/>
      <c r="K163" s="791">
        <f t="shared" si="66"/>
        <v>0</v>
      </c>
      <c r="L163" s="792" t="e">
        <f>+K163/G163</f>
        <v>#DIV/0!</v>
      </c>
      <c r="M163" s="796">
        <f t="shared" si="67"/>
        <v>0</v>
      </c>
      <c r="N163" s="796">
        <f t="shared" si="67"/>
        <v>0</v>
      </c>
      <c r="O163" s="796">
        <f t="shared" si="67"/>
        <v>0</v>
      </c>
      <c r="P163" s="791">
        <f t="shared" si="68"/>
        <v>0</v>
      </c>
      <c r="Q163" s="796"/>
      <c r="R163" s="796"/>
      <c r="S163" s="796"/>
      <c r="T163" s="791">
        <f t="shared" si="69"/>
        <v>0</v>
      </c>
      <c r="U163" s="796"/>
      <c r="V163" s="796" t="e">
        <f t="shared" si="62"/>
        <v>#DIV/0!</v>
      </c>
      <c r="W163" s="799" t="e">
        <f t="shared" si="63"/>
        <v>#DIV/0!</v>
      </c>
      <c r="X163" s="799" t="e">
        <f t="shared" si="64"/>
        <v>#DIV/0!</v>
      </c>
      <c r="Y163" s="794"/>
    </row>
    <row r="164" spans="1:25" s="789" customFormat="1" hidden="1" x14ac:dyDescent="0.2">
      <c r="A164" s="841" t="s">
        <v>801</v>
      </c>
      <c r="B164" s="842" t="s">
        <v>791</v>
      </c>
      <c r="C164" s="796"/>
      <c r="D164" s="796"/>
      <c r="E164" s="796"/>
      <c r="F164" s="796"/>
      <c r="G164" s="791">
        <f t="shared" si="65"/>
        <v>0</v>
      </c>
      <c r="H164" s="796"/>
      <c r="I164" s="796"/>
      <c r="J164" s="796"/>
      <c r="K164" s="791">
        <f t="shared" si="66"/>
        <v>0</v>
      </c>
      <c r="L164" s="792" t="e">
        <f t="shared" ref="L164:L182" si="70">+K164/G164</f>
        <v>#DIV/0!</v>
      </c>
      <c r="M164" s="796">
        <f t="shared" si="67"/>
        <v>0</v>
      </c>
      <c r="N164" s="796">
        <f t="shared" si="67"/>
        <v>0</v>
      </c>
      <c r="O164" s="796">
        <f t="shared" si="67"/>
        <v>0</v>
      </c>
      <c r="P164" s="791">
        <f t="shared" si="68"/>
        <v>0</v>
      </c>
      <c r="Q164" s="796"/>
      <c r="R164" s="796"/>
      <c r="S164" s="796"/>
      <c r="T164" s="791">
        <f t="shared" si="69"/>
        <v>0</v>
      </c>
      <c r="U164" s="796"/>
      <c r="V164" s="796" t="e">
        <f t="shared" si="62"/>
        <v>#DIV/0!</v>
      </c>
      <c r="W164" s="799" t="e">
        <f t="shared" si="63"/>
        <v>#DIV/0!</v>
      </c>
      <c r="X164" s="799" t="e">
        <f t="shared" si="64"/>
        <v>#DIV/0!</v>
      </c>
      <c r="Y164" s="794"/>
    </row>
    <row r="165" spans="1:25" s="789" customFormat="1" hidden="1" x14ac:dyDescent="0.2">
      <c r="A165" s="841" t="s">
        <v>801</v>
      </c>
      <c r="B165" s="842" t="s">
        <v>792</v>
      </c>
      <c r="C165" s="796"/>
      <c r="D165" s="796"/>
      <c r="E165" s="796"/>
      <c r="F165" s="796"/>
      <c r="G165" s="791">
        <f t="shared" si="65"/>
        <v>0</v>
      </c>
      <c r="H165" s="796"/>
      <c r="I165" s="796"/>
      <c r="J165" s="796"/>
      <c r="K165" s="791">
        <f t="shared" si="66"/>
        <v>0</v>
      </c>
      <c r="L165" s="792" t="e">
        <f t="shared" si="70"/>
        <v>#DIV/0!</v>
      </c>
      <c r="M165" s="796">
        <f t="shared" si="67"/>
        <v>0</v>
      </c>
      <c r="N165" s="796">
        <f t="shared" si="67"/>
        <v>0</v>
      </c>
      <c r="O165" s="796">
        <f t="shared" si="67"/>
        <v>0</v>
      </c>
      <c r="P165" s="791">
        <f t="shared" si="68"/>
        <v>0</v>
      </c>
      <c r="Q165" s="796"/>
      <c r="R165" s="796"/>
      <c r="S165" s="796"/>
      <c r="T165" s="791">
        <f t="shared" si="69"/>
        <v>0</v>
      </c>
      <c r="U165" s="796"/>
      <c r="V165" s="796" t="e">
        <f t="shared" si="62"/>
        <v>#DIV/0!</v>
      </c>
      <c r="W165" s="799" t="e">
        <f t="shared" si="63"/>
        <v>#DIV/0!</v>
      </c>
      <c r="X165" s="799" t="e">
        <f t="shared" si="64"/>
        <v>#DIV/0!</v>
      </c>
      <c r="Y165" s="794"/>
    </row>
    <row r="166" spans="1:25" s="789" customFormat="1" hidden="1" x14ac:dyDescent="0.2">
      <c r="A166" s="841" t="s">
        <v>801</v>
      </c>
      <c r="B166" s="842" t="s">
        <v>793</v>
      </c>
      <c r="C166" s="796"/>
      <c r="D166" s="796"/>
      <c r="E166" s="796"/>
      <c r="F166" s="796"/>
      <c r="G166" s="791">
        <f t="shared" si="65"/>
        <v>0</v>
      </c>
      <c r="H166" s="796"/>
      <c r="I166" s="796"/>
      <c r="J166" s="796"/>
      <c r="K166" s="791">
        <f t="shared" si="66"/>
        <v>0</v>
      </c>
      <c r="L166" s="792" t="e">
        <f t="shared" si="70"/>
        <v>#DIV/0!</v>
      </c>
      <c r="M166" s="796">
        <f t="shared" si="67"/>
        <v>0</v>
      </c>
      <c r="N166" s="796">
        <f t="shared" si="67"/>
        <v>0</v>
      </c>
      <c r="O166" s="796">
        <f t="shared" si="67"/>
        <v>0</v>
      </c>
      <c r="P166" s="791">
        <f t="shared" si="68"/>
        <v>0</v>
      </c>
      <c r="Q166" s="796"/>
      <c r="R166" s="796"/>
      <c r="S166" s="796"/>
      <c r="T166" s="791">
        <f t="shared" si="69"/>
        <v>0</v>
      </c>
      <c r="U166" s="796"/>
      <c r="V166" s="796" t="e">
        <f t="shared" si="62"/>
        <v>#DIV/0!</v>
      </c>
      <c r="W166" s="799" t="e">
        <f t="shared" si="63"/>
        <v>#DIV/0!</v>
      </c>
      <c r="X166" s="799" t="e">
        <f t="shared" si="64"/>
        <v>#DIV/0!</v>
      </c>
      <c r="Y166" s="794"/>
    </row>
    <row r="167" spans="1:25" s="789" customFormat="1" hidden="1" x14ac:dyDescent="0.2">
      <c r="A167" s="841" t="s">
        <v>801</v>
      </c>
      <c r="B167" s="842" t="s">
        <v>53</v>
      </c>
      <c r="C167" s="796"/>
      <c r="D167" s="796"/>
      <c r="E167" s="796"/>
      <c r="F167" s="796"/>
      <c r="G167" s="791">
        <f t="shared" si="65"/>
        <v>0</v>
      </c>
      <c r="H167" s="796"/>
      <c r="I167" s="796"/>
      <c r="J167" s="796"/>
      <c r="K167" s="791">
        <f t="shared" si="66"/>
        <v>0</v>
      </c>
      <c r="L167" s="792" t="e">
        <f t="shared" si="70"/>
        <v>#DIV/0!</v>
      </c>
      <c r="M167" s="796">
        <f t="shared" si="67"/>
        <v>0</v>
      </c>
      <c r="N167" s="796">
        <f t="shared" si="67"/>
        <v>0</v>
      </c>
      <c r="O167" s="796">
        <f t="shared" si="67"/>
        <v>0</v>
      </c>
      <c r="P167" s="791">
        <f t="shared" si="68"/>
        <v>0</v>
      </c>
      <c r="Q167" s="796"/>
      <c r="R167" s="796"/>
      <c r="S167" s="796"/>
      <c r="T167" s="791">
        <f t="shared" si="69"/>
        <v>0</v>
      </c>
      <c r="U167" s="796"/>
      <c r="V167" s="796" t="e">
        <f t="shared" si="62"/>
        <v>#DIV/0!</v>
      </c>
      <c r="W167" s="799" t="e">
        <f t="shared" si="63"/>
        <v>#DIV/0!</v>
      </c>
      <c r="X167" s="799" t="e">
        <f t="shared" si="64"/>
        <v>#DIV/0!</v>
      </c>
      <c r="Y167" s="794"/>
    </row>
    <row r="168" spans="1:25" s="789" customFormat="1" hidden="1" x14ac:dyDescent="0.2">
      <c r="A168" s="841" t="s">
        <v>801</v>
      </c>
      <c r="B168" s="842" t="s">
        <v>52</v>
      </c>
      <c r="C168" s="796"/>
      <c r="D168" s="796"/>
      <c r="E168" s="796"/>
      <c r="F168" s="796"/>
      <c r="G168" s="791">
        <f t="shared" si="65"/>
        <v>0</v>
      </c>
      <c r="H168" s="796"/>
      <c r="I168" s="796"/>
      <c r="J168" s="796"/>
      <c r="K168" s="791">
        <f t="shared" si="66"/>
        <v>0</v>
      </c>
      <c r="L168" s="792" t="e">
        <f t="shared" si="70"/>
        <v>#DIV/0!</v>
      </c>
      <c r="M168" s="796">
        <f t="shared" si="67"/>
        <v>0</v>
      </c>
      <c r="N168" s="796">
        <f t="shared" si="67"/>
        <v>0</v>
      </c>
      <c r="O168" s="796">
        <f t="shared" si="67"/>
        <v>0</v>
      </c>
      <c r="P168" s="791">
        <f t="shared" si="68"/>
        <v>0</v>
      </c>
      <c r="Q168" s="796"/>
      <c r="R168" s="796"/>
      <c r="S168" s="796"/>
      <c r="T168" s="791">
        <f t="shared" si="69"/>
        <v>0</v>
      </c>
      <c r="U168" s="796"/>
      <c r="V168" s="796" t="e">
        <f t="shared" si="62"/>
        <v>#DIV/0!</v>
      </c>
      <c r="W168" s="799" t="e">
        <f t="shared" si="63"/>
        <v>#DIV/0!</v>
      </c>
      <c r="X168" s="799" t="e">
        <f t="shared" si="64"/>
        <v>#DIV/0!</v>
      </c>
      <c r="Y168" s="794"/>
    </row>
    <row r="169" spans="1:25" s="789" customFormat="1" hidden="1" x14ac:dyDescent="0.2">
      <c r="A169" s="841" t="s">
        <v>801</v>
      </c>
      <c r="B169" s="842" t="s">
        <v>55</v>
      </c>
      <c r="C169" s="796"/>
      <c r="D169" s="796"/>
      <c r="E169" s="796"/>
      <c r="F169" s="796"/>
      <c r="G169" s="791">
        <f t="shared" si="65"/>
        <v>0</v>
      </c>
      <c r="H169" s="796"/>
      <c r="I169" s="796"/>
      <c r="J169" s="796"/>
      <c r="K169" s="791">
        <f t="shared" si="66"/>
        <v>0</v>
      </c>
      <c r="L169" s="792" t="e">
        <f t="shared" si="70"/>
        <v>#DIV/0!</v>
      </c>
      <c r="M169" s="796">
        <f t="shared" si="67"/>
        <v>0</v>
      </c>
      <c r="N169" s="796">
        <f t="shared" si="67"/>
        <v>0</v>
      </c>
      <c r="O169" s="796">
        <f t="shared" si="67"/>
        <v>0</v>
      </c>
      <c r="P169" s="791">
        <f t="shared" si="68"/>
        <v>0</v>
      </c>
      <c r="Q169" s="796"/>
      <c r="R169" s="796"/>
      <c r="S169" s="796"/>
      <c r="T169" s="791">
        <f t="shared" si="69"/>
        <v>0</v>
      </c>
      <c r="U169" s="796"/>
      <c r="V169" s="796" t="e">
        <f t="shared" si="62"/>
        <v>#DIV/0!</v>
      </c>
      <c r="W169" s="799" t="e">
        <f t="shared" si="63"/>
        <v>#DIV/0!</v>
      </c>
      <c r="X169" s="799" t="e">
        <f t="shared" si="64"/>
        <v>#DIV/0!</v>
      </c>
      <c r="Y169" s="794"/>
    </row>
    <row r="170" spans="1:25" s="789" customFormat="1" hidden="1" x14ac:dyDescent="0.2">
      <c r="A170" s="841" t="s">
        <v>801</v>
      </c>
      <c r="B170" s="842" t="s">
        <v>794</v>
      </c>
      <c r="C170" s="796"/>
      <c r="D170" s="796"/>
      <c r="E170" s="796"/>
      <c r="F170" s="796"/>
      <c r="G170" s="791">
        <f t="shared" si="65"/>
        <v>0</v>
      </c>
      <c r="H170" s="796"/>
      <c r="I170" s="796"/>
      <c r="J170" s="796"/>
      <c r="K170" s="791">
        <f t="shared" si="66"/>
        <v>0</v>
      </c>
      <c r="L170" s="792" t="e">
        <f t="shared" si="70"/>
        <v>#DIV/0!</v>
      </c>
      <c r="M170" s="796">
        <f t="shared" si="67"/>
        <v>0</v>
      </c>
      <c r="N170" s="796">
        <f t="shared" si="67"/>
        <v>0</v>
      </c>
      <c r="O170" s="796">
        <f t="shared" si="67"/>
        <v>0</v>
      </c>
      <c r="P170" s="791">
        <f t="shared" si="68"/>
        <v>0</v>
      </c>
      <c r="Q170" s="796"/>
      <c r="R170" s="796"/>
      <c r="S170" s="796"/>
      <c r="T170" s="791">
        <f t="shared" si="69"/>
        <v>0</v>
      </c>
      <c r="U170" s="796"/>
      <c r="V170" s="796" t="e">
        <f t="shared" si="62"/>
        <v>#DIV/0!</v>
      </c>
      <c r="W170" s="799" t="e">
        <f t="shared" si="63"/>
        <v>#DIV/0!</v>
      </c>
      <c r="X170" s="799" t="e">
        <f t="shared" si="64"/>
        <v>#DIV/0!</v>
      </c>
      <c r="Y170" s="794"/>
    </row>
    <row r="171" spans="1:25" s="789" customFormat="1" hidden="1" x14ac:dyDescent="0.2">
      <c r="A171" s="841" t="s">
        <v>801</v>
      </c>
      <c r="B171" s="842" t="s">
        <v>795</v>
      </c>
      <c r="C171" s="796"/>
      <c r="D171" s="796"/>
      <c r="E171" s="796"/>
      <c r="F171" s="796"/>
      <c r="G171" s="791">
        <f t="shared" si="65"/>
        <v>0</v>
      </c>
      <c r="H171" s="796"/>
      <c r="I171" s="796"/>
      <c r="J171" s="796"/>
      <c r="K171" s="791">
        <f t="shared" si="66"/>
        <v>0</v>
      </c>
      <c r="L171" s="792" t="e">
        <f t="shared" si="70"/>
        <v>#DIV/0!</v>
      </c>
      <c r="M171" s="796">
        <f t="shared" si="67"/>
        <v>0</v>
      </c>
      <c r="N171" s="796">
        <f t="shared" si="67"/>
        <v>0</v>
      </c>
      <c r="O171" s="796">
        <f t="shared" si="67"/>
        <v>0</v>
      </c>
      <c r="P171" s="791">
        <f t="shared" si="68"/>
        <v>0</v>
      </c>
      <c r="Q171" s="796"/>
      <c r="R171" s="796"/>
      <c r="S171" s="796"/>
      <c r="T171" s="791">
        <f t="shared" si="69"/>
        <v>0</v>
      </c>
      <c r="U171" s="796"/>
      <c r="V171" s="796" t="e">
        <f t="shared" si="62"/>
        <v>#DIV/0!</v>
      </c>
      <c r="W171" s="799" t="e">
        <f t="shared" si="63"/>
        <v>#DIV/0!</v>
      </c>
      <c r="X171" s="799" t="e">
        <f t="shared" si="64"/>
        <v>#DIV/0!</v>
      </c>
      <c r="Y171" s="794"/>
    </row>
    <row r="172" spans="1:25" s="789" customFormat="1" hidden="1" x14ac:dyDescent="0.2">
      <c r="A172" s="841" t="s">
        <v>801</v>
      </c>
      <c r="B172" s="842" t="s">
        <v>796</v>
      </c>
      <c r="C172" s="796"/>
      <c r="D172" s="796"/>
      <c r="E172" s="796"/>
      <c r="F172" s="796"/>
      <c r="G172" s="791">
        <f t="shared" si="65"/>
        <v>0</v>
      </c>
      <c r="H172" s="796"/>
      <c r="I172" s="796"/>
      <c r="J172" s="796"/>
      <c r="K172" s="791">
        <f t="shared" si="66"/>
        <v>0</v>
      </c>
      <c r="L172" s="792" t="e">
        <f t="shared" si="70"/>
        <v>#DIV/0!</v>
      </c>
      <c r="M172" s="796">
        <f t="shared" si="67"/>
        <v>0</v>
      </c>
      <c r="N172" s="796">
        <f t="shared" si="67"/>
        <v>0</v>
      </c>
      <c r="O172" s="796">
        <f t="shared" si="67"/>
        <v>0</v>
      </c>
      <c r="P172" s="791">
        <f t="shared" si="68"/>
        <v>0</v>
      </c>
      <c r="Q172" s="796"/>
      <c r="R172" s="796"/>
      <c r="S172" s="796"/>
      <c r="T172" s="791">
        <f t="shared" si="69"/>
        <v>0</v>
      </c>
      <c r="U172" s="796"/>
      <c r="V172" s="796" t="e">
        <f t="shared" si="62"/>
        <v>#DIV/0!</v>
      </c>
      <c r="W172" s="799" t="e">
        <f t="shared" si="63"/>
        <v>#DIV/0!</v>
      </c>
      <c r="X172" s="799" t="e">
        <f t="shared" si="64"/>
        <v>#DIV/0!</v>
      </c>
      <c r="Y172" s="794"/>
    </row>
    <row r="173" spans="1:25" s="789" customFormat="1" hidden="1" x14ac:dyDescent="0.2">
      <c r="A173" s="841" t="s">
        <v>801</v>
      </c>
      <c r="B173" s="842" t="s">
        <v>59</v>
      </c>
      <c r="C173" s="796"/>
      <c r="D173" s="796"/>
      <c r="E173" s="796"/>
      <c r="F173" s="796"/>
      <c r="G173" s="791">
        <f t="shared" si="65"/>
        <v>0</v>
      </c>
      <c r="H173" s="796"/>
      <c r="I173" s="796"/>
      <c r="J173" s="796"/>
      <c r="K173" s="791">
        <f t="shared" si="66"/>
        <v>0</v>
      </c>
      <c r="L173" s="792" t="e">
        <f t="shared" si="70"/>
        <v>#DIV/0!</v>
      </c>
      <c r="M173" s="796">
        <f t="shared" si="67"/>
        <v>0</v>
      </c>
      <c r="N173" s="796">
        <f t="shared" si="67"/>
        <v>0</v>
      </c>
      <c r="O173" s="796">
        <f t="shared" si="67"/>
        <v>0</v>
      </c>
      <c r="P173" s="791">
        <f t="shared" si="68"/>
        <v>0</v>
      </c>
      <c r="Q173" s="796"/>
      <c r="R173" s="796"/>
      <c r="S173" s="796"/>
      <c r="T173" s="791">
        <f t="shared" si="69"/>
        <v>0</v>
      </c>
      <c r="U173" s="796"/>
      <c r="V173" s="796" t="e">
        <f t="shared" si="62"/>
        <v>#DIV/0!</v>
      </c>
      <c r="W173" s="799" t="e">
        <f t="shared" si="63"/>
        <v>#DIV/0!</v>
      </c>
      <c r="X173" s="799" t="e">
        <f t="shared" si="64"/>
        <v>#DIV/0!</v>
      </c>
      <c r="Y173" s="794"/>
    </row>
    <row r="174" spans="1:25" s="789" customFormat="1" hidden="1" x14ac:dyDescent="0.2">
      <c r="A174" s="841" t="s">
        <v>801</v>
      </c>
      <c r="B174" s="842" t="s">
        <v>54</v>
      </c>
      <c r="C174" s="796"/>
      <c r="D174" s="796"/>
      <c r="E174" s="796"/>
      <c r="F174" s="796"/>
      <c r="G174" s="791">
        <f t="shared" si="65"/>
        <v>0</v>
      </c>
      <c r="H174" s="796"/>
      <c r="I174" s="796"/>
      <c r="J174" s="796"/>
      <c r="K174" s="791">
        <f t="shared" si="66"/>
        <v>0</v>
      </c>
      <c r="L174" s="792" t="e">
        <f t="shared" si="70"/>
        <v>#DIV/0!</v>
      </c>
      <c r="M174" s="796">
        <f t="shared" si="67"/>
        <v>0</v>
      </c>
      <c r="N174" s="796">
        <f t="shared" si="67"/>
        <v>0</v>
      </c>
      <c r="O174" s="796">
        <f t="shared" si="67"/>
        <v>0</v>
      </c>
      <c r="P174" s="791">
        <f t="shared" si="68"/>
        <v>0</v>
      </c>
      <c r="Q174" s="796"/>
      <c r="R174" s="796"/>
      <c r="S174" s="796"/>
      <c r="T174" s="791">
        <f t="shared" si="69"/>
        <v>0</v>
      </c>
      <c r="U174" s="796"/>
      <c r="V174" s="796" t="e">
        <f t="shared" si="62"/>
        <v>#DIV/0!</v>
      </c>
      <c r="W174" s="799" t="e">
        <f t="shared" si="63"/>
        <v>#DIV/0!</v>
      </c>
      <c r="X174" s="799" t="e">
        <f t="shared" si="64"/>
        <v>#DIV/0!</v>
      </c>
      <c r="Y174" s="794"/>
    </row>
    <row r="175" spans="1:25" s="789" customFormat="1" ht="25.5" hidden="1" x14ac:dyDescent="0.2">
      <c r="A175" s="841" t="s">
        <v>801</v>
      </c>
      <c r="B175" s="843" t="s">
        <v>58</v>
      </c>
      <c r="C175" s="796"/>
      <c r="D175" s="796"/>
      <c r="E175" s="796"/>
      <c r="F175" s="796"/>
      <c r="G175" s="791">
        <f t="shared" si="65"/>
        <v>0</v>
      </c>
      <c r="H175" s="796"/>
      <c r="I175" s="796"/>
      <c r="J175" s="796"/>
      <c r="K175" s="791">
        <f t="shared" si="66"/>
        <v>0</v>
      </c>
      <c r="L175" s="792" t="e">
        <f t="shared" si="70"/>
        <v>#DIV/0!</v>
      </c>
      <c r="M175" s="796">
        <f t="shared" si="67"/>
        <v>0</v>
      </c>
      <c r="N175" s="796">
        <f t="shared" si="67"/>
        <v>0</v>
      </c>
      <c r="O175" s="796">
        <f t="shared" si="67"/>
        <v>0</v>
      </c>
      <c r="P175" s="791">
        <f t="shared" si="68"/>
        <v>0</v>
      </c>
      <c r="Q175" s="796"/>
      <c r="R175" s="796"/>
      <c r="S175" s="796"/>
      <c r="T175" s="791">
        <f t="shared" si="69"/>
        <v>0</v>
      </c>
      <c r="U175" s="796"/>
      <c r="V175" s="796" t="e">
        <f t="shared" si="62"/>
        <v>#DIV/0!</v>
      </c>
      <c r="W175" s="799" t="e">
        <f t="shared" si="63"/>
        <v>#DIV/0!</v>
      </c>
      <c r="X175" s="799" t="e">
        <f t="shared" si="64"/>
        <v>#DIV/0!</v>
      </c>
      <c r="Y175" s="794"/>
    </row>
    <row r="176" spans="1:25" s="789" customFormat="1" hidden="1" x14ac:dyDescent="0.2">
      <c r="A176" s="841" t="s">
        <v>801</v>
      </c>
      <c r="B176" s="842" t="s">
        <v>797</v>
      </c>
      <c r="C176" s="796"/>
      <c r="D176" s="796"/>
      <c r="E176" s="796"/>
      <c r="F176" s="796"/>
      <c r="G176" s="791">
        <f t="shared" si="65"/>
        <v>0</v>
      </c>
      <c r="H176" s="796"/>
      <c r="I176" s="796"/>
      <c r="J176" s="796"/>
      <c r="K176" s="791">
        <f t="shared" si="66"/>
        <v>0</v>
      </c>
      <c r="L176" s="792" t="e">
        <f t="shared" si="70"/>
        <v>#DIV/0!</v>
      </c>
      <c r="M176" s="796">
        <f t="shared" si="67"/>
        <v>0</v>
      </c>
      <c r="N176" s="796">
        <f t="shared" si="67"/>
        <v>0</v>
      </c>
      <c r="O176" s="796">
        <f t="shared" si="67"/>
        <v>0</v>
      </c>
      <c r="P176" s="791">
        <f t="shared" si="68"/>
        <v>0</v>
      </c>
      <c r="Q176" s="796"/>
      <c r="R176" s="796"/>
      <c r="S176" s="796"/>
      <c r="T176" s="791">
        <f t="shared" si="69"/>
        <v>0</v>
      </c>
      <c r="U176" s="796"/>
      <c r="V176" s="796" t="e">
        <f t="shared" si="62"/>
        <v>#DIV/0!</v>
      </c>
      <c r="W176" s="799" t="e">
        <f t="shared" si="63"/>
        <v>#DIV/0!</v>
      </c>
      <c r="X176" s="799" t="e">
        <f t="shared" si="64"/>
        <v>#DIV/0!</v>
      </c>
      <c r="Y176" s="794"/>
    </row>
    <row r="177" spans="1:25" s="789" customFormat="1" hidden="1" x14ac:dyDescent="0.2">
      <c r="A177" s="841" t="s">
        <v>801</v>
      </c>
      <c r="B177" s="844" t="s">
        <v>60</v>
      </c>
      <c r="C177" s="796"/>
      <c r="D177" s="796"/>
      <c r="E177" s="796"/>
      <c r="F177" s="796"/>
      <c r="G177" s="791">
        <f t="shared" si="65"/>
        <v>0</v>
      </c>
      <c r="H177" s="796"/>
      <c r="I177" s="796"/>
      <c r="J177" s="796"/>
      <c r="K177" s="791">
        <f t="shared" si="66"/>
        <v>0</v>
      </c>
      <c r="L177" s="792" t="e">
        <f t="shared" si="70"/>
        <v>#DIV/0!</v>
      </c>
      <c r="M177" s="796">
        <f t="shared" si="67"/>
        <v>0</v>
      </c>
      <c r="N177" s="796">
        <f t="shared" si="67"/>
        <v>0</v>
      </c>
      <c r="O177" s="796">
        <f t="shared" si="67"/>
        <v>0</v>
      </c>
      <c r="P177" s="791">
        <f t="shared" si="68"/>
        <v>0</v>
      </c>
      <c r="Q177" s="796"/>
      <c r="R177" s="796"/>
      <c r="S177" s="796"/>
      <c r="T177" s="791">
        <f t="shared" si="69"/>
        <v>0</v>
      </c>
      <c r="U177" s="796"/>
      <c r="V177" s="796" t="e">
        <f t="shared" si="62"/>
        <v>#DIV/0!</v>
      </c>
      <c r="W177" s="799" t="e">
        <f t="shared" si="63"/>
        <v>#DIV/0!</v>
      </c>
      <c r="X177" s="799" t="e">
        <f t="shared" si="64"/>
        <v>#DIV/0!</v>
      </c>
      <c r="Y177" s="794"/>
    </row>
    <row r="178" spans="1:25" s="789" customFormat="1" hidden="1" x14ac:dyDescent="0.2">
      <c r="A178" s="841" t="s">
        <v>801</v>
      </c>
      <c r="B178" s="842" t="s">
        <v>61</v>
      </c>
      <c r="C178" s="796"/>
      <c r="D178" s="796"/>
      <c r="E178" s="796"/>
      <c r="F178" s="796"/>
      <c r="G178" s="791">
        <f t="shared" si="65"/>
        <v>0</v>
      </c>
      <c r="H178" s="796"/>
      <c r="I178" s="796"/>
      <c r="J178" s="796"/>
      <c r="K178" s="791">
        <f t="shared" si="66"/>
        <v>0</v>
      </c>
      <c r="L178" s="792" t="e">
        <f t="shared" si="70"/>
        <v>#DIV/0!</v>
      </c>
      <c r="M178" s="796">
        <f t="shared" si="67"/>
        <v>0</v>
      </c>
      <c r="N178" s="796">
        <f t="shared" si="67"/>
        <v>0</v>
      </c>
      <c r="O178" s="796">
        <f t="shared" si="67"/>
        <v>0</v>
      </c>
      <c r="P178" s="791">
        <f t="shared" si="68"/>
        <v>0</v>
      </c>
      <c r="Q178" s="796"/>
      <c r="R178" s="796"/>
      <c r="S178" s="796"/>
      <c r="T178" s="791">
        <f t="shared" si="69"/>
        <v>0</v>
      </c>
      <c r="U178" s="796"/>
      <c r="V178" s="796" t="e">
        <f t="shared" si="62"/>
        <v>#DIV/0!</v>
      </c>
      <c r="W178" s="799" t="e">
        <f t="shared" si="63"/>
        <v>#DIV/0!</v>
      </c>
      <c r="X178" s="799" t="e">
        <f t="shared" si="64"/>
        <v>#DIV/0!</v>
      </c>
      <c r="Y178" s="794"/>
    </row>
    <row r="179" spans="1:25" s="789" customFormat="1" hidden="1" x14ac:dyDescent="0.2">
      <c r="A179" s="841" t="s">
        <v>801</v>
      </c>
      <c r="B179" s="842" t="s">
        <v>62</v>
      </c>
      <c r="C179" s="796"/>
      <c r="D179" s="796"/>
      <c r="E179" s="796"/>
      <c r="F179" s="796"/>
      <c r="G179" s="791">
        <f t="shared" si="65"/>
        <v>0</v>
      </c>
      <c r="H179" s="796"/>
      <c r="I179" s="796"/>
      <c r="J179" s="796"/>
      <c r="K179" s="791">
        <f t="shared" si="66"/>
        <v>0</v>
      </c>
      <c r="L179" s="792" t="e">
        <f t="shared" si="70"/>
        <v>#DIV/0!</v>
      </c>
      <c r="M179" s="796">
        <f t="shared" si="67"/>
        <v>0</v>
      </c>
      <c r="N179" s="796">
        <f t="shared" si="67"/>
        <v>0</v>
      </c>
      <c r="O179" s="796">
        <f t="shared" si="67"/>
        <v>0</v>
      </c>
      <c r="P179" s="791">
        <f t="shared" si="68"/>
        <v>0</v>
      </c>
      <c r="Q179" s="796"/>
      <c r="R179" s="796"/>
      <c r="S179" s="796"/>
      <c r="T179" s="791">
        <f t="shared" si="69"/>
        <v>0</v>
      </c>
      <c r="U179" s="796"/>
      <c r="V179" s="796" t="e">
        <f t="shared" si="62"/>
        <v>#DIV/0!</v>
      </c>
      <c r="W179" s="799" t="e">
        <f t="shared" si="63"/>
        <v>#DIV/0!</v>
      </c>
      <c r="X179" s="799" t="e">
        <f t="shared" si="64"/>
        <v>#DIV/0!</v>
      </c>
      <c r="Y179" s="794"/>
    </row>
    <row r="180" spans="1:25" s="789" customFormat="1" x14ac:dyDescent="0.2">
      <c r="A180" s="841" t="s">
        <v>801</v>
      </c>
      <c r="B180" s="842" t="s">
        <v>798</v>
      </c>
      <c r="C180" s="796">
        <f>+'detailed fund u'!J209</f>
        <v>383100.64</v>
      </c>
      <c r="D180" s="796"/>
      <c r="E180" s="796">
        <f>+'detailed fund u'!J209</f>
        <v>383100.64</v>
      </c>
      <c r="F180" s="796"/>
      <c r="G180" s="791">
        <f t="shared" si="65"/>
        <v>383100.64</v>
      </c>
      <c r="H180" s="796"/>
      <c r="I180" s="796">
        <f>+'detailed fund u'!AT209</f>
        <v>383100.64</v>
      </c>
      <c r="J180" s="796"/>
      <c r="K180" s="791">
        <f t="shared" si="66"/>
        <v>383100.64</v>
      </c>
      <c r="L180" s="792">
        <f t="shared" si="70"/>
        <v>1</v>
      </c>
      <c r="M180" s="796">
        <f t="shared" si="67"/>
        <v>0</v>
      </c>
      <c r="N180" s="796">
        <f t="shared" si="67"/>
        <v>0</v>
      </c>
      <c r="O180" s="796">
        <f t="shared" si="67"/>
        <v>0</v>
      </c>
      <c r="P180" s="791">
        <f t="shared" si="68"/>
        <v>0</v>
      </c>
      <c r="Q180" s="796"/>
      <c r="R180" s="796">
        <f>+'detailed fund u'!BL208</f>
        <v>398763.96</v>
      </c>
      <c r="S180" s="796"/>
      <c r="T180" s="791">
        <f t="shared" si="69"/>
        <v>398763.96</v>
      </c>
      <c r="U180" s="796"/>
      <c r="V180" s="796" t="e">
        <f t="shared" si="62"/>
        <v>#DIV/0!</v>
      </c>
      <c r="W180" s="799">
        <f t="shared" si="63"/>
        <v>1.0408856534408295</v>
      </c>
      <c r="X180" s="799">
        <f t="shared" si="64"/>
        <v>1.0408856534408295</v>
      </c>
      <c r="Y180" s="794"/>
    </row>
    <row r="181" spans="1:25" s="789" customFormat="1" x14ac:dyDescent="0.2">
      <c r="A181" s="841" t="s">
        <v>801</v>
      </c>
      <c r="B181" s="842" t="s">
        <v>799</v>
      </c>
      <c r="C181" s="796"/>
      <c r="D181" s="796"/>
      <c r="E181" s="796"/>
      <c r="F181" s="796"/>
      <c r="G181" s="791">
        <f t="shared" si="65"/>
        <v>0</v>
      </c>
      <c r="H181" s="796"/>
      <c r="I181" s="796"/>
      <c r="J181" s="796"/>
      <c r="K181" s="791">
        <f t="shared" si="66"/>
        <v>0</v>
      </c>
      <c r="L181" s="792" t="e">
        <f t="shared" si="70"/>
        <v>#DIV/0!</v>
      </c>
      <c r="M181" s="796">
        <f t="shared" si="67"/>
        <v>0</v>
      </c>
      <c r="N181" s="796">
        <f t="shared" si="67"/>
        <v>0</v>
      </c>
      <c r="O181" s="796">
        <f t="shared" si="67"/>
        <v>0</v>
      </c>
      <c r="P181" s="791">
        <f t="shared" si="68"/>
        <v>0</v>
      </c>
      <c r="Q181" s="796"/>
      <c r="R181" s="796"/>
      <c r="S181" s="796"/>
      <c r="T181" s="791">
        <f t="shared" si="69"/>
        <v>0</v>
      </c>
      <c r="U181" s="796"/>
      <c r="V181" s="796" t="e">
        <f t="shared" si="62"/>
        <v>#DIV/0!</v>
      </c>
      <c r="W181" s="799" t="e">
        <f t="shared" si="63"/>
        <v>#DIV/0!</v>
      </c>
      <c r="X181" s="799" t="e">
        <f t="shared" si="64"/>
        <v>#DIV/0!</v>
      </c>
      <c r="Y181" s="794"/>
    </row>
    <row r="182" spans="1:25" s="789" customFormat="1" hidden="1" x14ac:dyDescent="0.2">
      <c r="A182" s="841" t="s">
        <v>801</v>
      </c>
      <c r="B182" s="842" t="s">
        <v>800</v>
      </c>
      <c r="C182" s="796"/>
      <c r="D182" s="796"/>
      <c r="E182" s="796"/>
      <c r="F182" s="796"/>
      <c r="G182" s="791">
        <f t="shared" si="65"/>
        <v>0</v>
      </c>
      <c r="H182" s="796"/>
      <c r="I182" s="796"/>
      <c r="J182" s="796"/>
      <c r="K182" s="791">
        <f t="shared" si="66"/>
        <v>0</v>
      </c>
      <c r="L182" s="792" t="e">
        <f t="shared" si="70"/>
        <v>#DIV/0!</v>
      </c>
      <c r="M182" s="796">
        <f t="shared" si="67"/>
        <v>0</v>
      </c>
      <c r="N182" s="796">
        <f t="shared" si="67"/>
        <v>0</v>
      </c>
      <c r="O182" s="796">
        <f t="shared" si="67"/>
        <v>0</v>
      </c>
      <c r="P182" s="791">
        <f t="shared" si="68"/>
        <v>0</v>
      </c>
      <c r="Q182" s="796"/>
      <c r="R182" s="796"/>
      <c r="S182" s="796"/>
      <c r="T182" s="791">
        <f t="shared" si="69"/>
        <v>0</v>
      </c>
      <c r="U182" s="796"/>
      <c r="V182" s="796" t="e">
        <f t="shared" si="62"/>
        <v>#DIV/0!</v>
      </c>
      <c r="W182" s="799" t="e">
        <f t="shared" si="63"/>
        <v>#DIV/0!</v>
      </c>
      <c r="X182" s="799" t="e">
        <f t="shared" si="64"/>
        <v>#DIV/0!</v>
      </c>
      <c r="Y182" s="794"/>
    </row>
    <row r="183" spans="1:25" s="789" customFormat="1" x14ac:dyDescent="0.2">
      <c r="A183" s="812"/>
      <c r="B183" s="813"/>
      <c r="C183" s="845"/>
      <c r="D183" s="814"/>
      <c r="E183" s="814"/>
      <c r="F183" s="814"/>
      <c r="G183" s="814"/>
      <c r="H183" s="814"/>
      <c r="I183" s="814"/>
      <c r="J183" s="847"/>
      <c r="K183" s="814"/>
      <c r="L183" s="817"/>
      <c r="M183" s="817"/>
      <c r="N183" s="817"/>
      <c r="O183" s="817"/>
      <c r="P183" s="817"/>
      <c r="Q183" s="814"/>
      <c r="R183" s="814"/>
      <c r="S183" s="847"/>
      <c r="T183" s="814"/>
      <c r="U183" s="814"/>
      <c r="V183" s="814"/>
      <c r="W183" s="817"/>
      <c r="X183" s="817"/>
      <c r="Y183" s="813"/>
    </row>
    <row r="184" spans="1:25" s="789" customFormat="1" x14ac:dyDescent="0.2"/>
    <row r="185" spans="1:25" s="789" customFormat="1" x14ac:dyDescent="0.2"/>
    <row r="186" spans="1:25" s="789" customFormat="1" x14ac:dyDescent="0.2"/>
  </sheetData>
  <mergeCells count="12">
    <mergeCell ref="A99:B99"/>
    <mergeCell ref="A106:B106"/>
    <mergeCell ref="A107:B107"/>
    <mergeCell ref="A7:Y7"/>
    <mergeCell ref="A8:B10"/>
    <mergeCell ref="D8:G8"/>
    <mergeCell ref="H8:K8"/>
    <mergeCell ref="M8:P8"/>
    <mergeCell ref="Q8:T8"/>
    <mergeCell ref="V8:X8"/>
    <mergeCell ref="Y8:Y10"/>
    <mergeCell ref="D10:P10"/>
  </mergeCells>
  <pageMargins left="0.25" right="0" top="0.25" bottom="0" header="0.3" footer="0.3"/>
  <pageSetup paperSize="5" scale="75" orientation="landscape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R90"/>
  <sheetViews>
    <sheetView zoomScale="75" zoomScaleNormal="75" zoomScaleSheetLayoutView="90" workbookViewId="0">
      <selection activeCell="D15" sqref="D15"/>
    </sheetView>
  </sheetViews>
  <sheetFormatPr defaultRowHeight="14.25" x14ac:dyDescent="0.2"/>
  <cols>
    <col min="1" max="1" width="3.140625" style="3" customWidth="1"/>
    <col min="2" max="2" width="46.85546875" style="3" customWidth="1"/>
    <col min="3" max="31" width="15.7109375" style="3" customWidth="1"/>
    <col min="32" max="16384" width="9.140625" style="3"/>
  </cols>
  <sheetData>
    <row r="1" spans="1:18" ht="18" x14ac:dyDescent="0.25">
      <c r="A1" s="1" t="s">
        <v>0</v>
      </c>
      <c r="B1" s="2"/>
    </row>
    <row r="2" spans="1:18" ht="18" x14ac:dyDescent="0.25">
      <c r="A2" s="1" t="s">
        <v>1</v>
      </c>
      <c r="B2" s="1"/>
    </row>
    <row r="3" spans="1:18" ht="16.5" customHeight="1" x14ac:dyDescent="0.25">
      <c r="A3" s="4" t="s">
        <v>820</v>
      </c>
      <c r="B3" s="5"/>
      <c r="H3" s="6"/>
    </row>
    <row r="4" spans="1:18" ht="18" x14ac:dyDescent="0.25">
      <c r="A4" s="1" t="s">
        <v>2</v>
      </c>
      <c r="B4" s="1"/>
      <c r="H4" s="6"/>
      <c r="I4" s="7">
        <f>+K15-'fmr-denr'!K14</f>
        <v>0</v>
      </c>
      <c r="N4" s="6"/>
    </row>
    <row r="5" spans="1:18" ht="18" x14ac:dyDescent="0.25">
      <c r="A5" s="8" t="s">
        <v>3</v>
      </c>
      <c r="B5" s="9"/>
    </row>
    <row r="6" spans="1:18" s="10" customFormat="1" ht="18.75" customHeight="1" x14ac:dyDescent="0.25">
      <c r="A6" s="10" t="s">
        <v>4</v>
      </c>
    </row>
    <row r="7" spans="1:18" ht="15" x14ac:dyDescent="0.25">
      <c r="A7" s="893" t="s">
        <v>5</v>
      </c>
      <c r="B7" s="893"/>
    </row>
    <row r="8" spans="1:18" s="194" customFormat="1" ht="15.75" x14ac:dyDescent="0.25">
      <c r="A8" s="193"/>
      <c r="B8" s="193"/>
      <c r="C8" s="888" t="s">
        <v>745</v>
      </c>
      <c r="D8" s="889"/>
      <c r="E8" s="889"/>
      <c r="F8" s="889"/>
      <c r="G8" s="889"/>
      <c r="H8" s="889"/>
      <c r="I8" s="889"/>
      <c r="J8" s="889"/>
      <c r="K8" s="889"/>
      <c r="L8" s="889"/>
      <c r="M8" s="889"/>
      <c r="N8" s="889"/>
      <c r="O8" s="889"/>
      <c r="P8" s="889"/>
      <c r="Q8" s="889"/>
      <c r="R8" s="889"/>
    </row>
    <row r="9" spans="1:18" s="194" customFormat="1" ht="15.75" x14ac:dyDescent="0.25">
      <c r="A9" s="894" t="s">
        <v>6</v>
      </c>
      <c r="B9" s="894"/>
      <c r="C9" s="195" t="s">
        <v>712</v>
      </c>
      <c r="D9" s="895" t="s">
        <v>7</v>
      </c>
      <c r="E9" s="895"/>
      <c r="F9" s="895"/>
      <c r="G9" s="896"/>
      <c r="H9" s="897" t="s">
        <v>8</v>
      </c>
      <c r="I9" s="895"/>
      <c r="J9" s="895"/>
      <c r="K9" s="896"/>
      <c r="L9" s="196" t="s">
        <v>9</v>
      </c>
      <c r="M9" s="897" t="s">
        <v>714</v>
      </c>
      <c r="N9" s="895"/>
      <c r="O9" s="895"/>
      <c r="P9" s="896"/>
      <c r="Q9" s="196" t="s">
        <v>9</v>
      </c>
      <c r="R9" s="196" t="s">
        <v>734</v>
      </c>
    </row>
    <row r="10" spans="1:18" s="194" customFormat="1" ht="15.75" x14ac:dyDescent="0.25">
      <c r="A10" s="894"/>
      <c r="B10" s="894"/>
      <c r="C10" s="197" t="s">
        <v>10</v>
      </c>
      <c r="D10" s="198" t="s">
        <v>11</v>
      </c>
      <c r="E10" s="198" t="s">
        <v>12</v>
      </c>
      <c r="F10" s="198" t="s">
        <v>13</v>
      </c>
      <c r="G10" s="198" t="s">
        <v>14</v>
      </c>
      <c r="H10" s="198" t="s">
        <v>11</v>
      </c>
      <c r="I10" s="198" t="s">
        <v>12</v>
      </c>
      <c r="J10" s="198" t="s">
        <v>13</v>
      </c>
      <c r="K10" s="198" t="s">
        <v>14</v>
      </c>
      <c r="L10" s="199" t="s">
        <v>15</v>
      </c>
      <c r="M10" s="591" t="s">
        <v>11</v>
      </c>
      <c r="N10" s="591" t="s">
        <v>12</v>
      </c>
      <c r="O10" s="591" t="s">
        <v>13</v>
      </c>
      <c r="P10" s="591" t="s">
        <v>14</v>
      </c>
      <c r="Q10" s="199" t="s">
        <v>15</v>
      </c>
      <c r="R10" s="199"/>
    </row>
    <row r="11" spans="1:18" s="194" customFormat="1" ht="16.5" thickBot="1" x14ac:dyDescent="0.3">
      <c r="A11" s="894"/>
      <c r="B11" s="894"/>
      <c r="C11" s="200" t="s">
        <v>16</v>
      </c>
      <c r="D11" s="890" t="str">
        <f>A3</f>
        <v>As of December 31, 2016</v>
      </c>
      <c r="E11" s="891"/>
      <c r="F11" s="891"/>
      <c r="G11" s="891"/>
      <c r="H11" s="891"/>
      <c r="I11" s="891"/>
      <c r="J11" s="891"/>
      <c r="K11" s="891"/>
      <c r="L11" s="891"/>
      <c r="M11" s="891"/>
      <c r="N11" s="891"/>
      <c r="O11" s="891"/>
      <c r="P11" s="891"/>
      <c r="Q11" s="891"/>
      <c r="R11" s="892"/>
    </row>
    <row r="12" spans="1:18" s="204" customFormat="1" ht="15.75" hidden="1" customHeight="1" x14ac:dyDescent="0.25">
      <c r="A12" s="201"/>
      <c r="B12" s="201"/>
      <c r="C12" s="202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</row>
    <row r="13" spans="1:18" s="208" customFormat="1" ht="15.75" hidden="1" customHeight="1" x14ac:dyDescent="0.25">
      <c r="A13" s="205"/>
      <c r="B13" s="205"/>
      <c r="C13" s="206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</row>
    <row r="14" spans="1:18" s="194" customFormat="1" ht="15.75" x14ac:dyDescent="0.25">
      <c r="A14" s="209"/>
      <c r="B14" s="210"/>
      <c r="C14" s="211"/>
      <c r="D14" s="211"/>
      <c r="E14" s="211"/>
      <c r="F14" s="211"/>
      <c r="G14" s="212"/>
      <c r="H14" s="211"/>
      <c r="I14" s="211"/>
      <c r="J14" s="211"/>
      <c r="K14" s="211"/>
      <c r="L14" s="211"/>
      <c r="M14" s="211"/>
      <c r="N14" s="211"/>
      <c r="O14" s="211"/>
      <c r="P14" s="211"/>
      <c r="Q14" s="598"/>
      <c r="R14" s="598"/>
    </row>
    <row r="15" spans="1:18" s="194" customFormat="1" ht="21" customHeight="1" x14ac:dyDescent="0.25">
      <c r="A15" s="213"/>
      <c r="B15" s="214" t="s">
        <v>675</v>
      </c>
      <c r="C15" s="179">
        <f>+C16+C19+C32+C35</f>
        <v>49705300</v>
      </c>
      <c r="D15" s="179">
        <f>+D16+D19+D32+D35</f>
        <v>22650093.059999999</v>
      </c>
      <c r="E15" s="179">
        <f>+E16+E19+E32+E35</f>
        <v>28854216</v>
      </c>
      <c r="F15" s="179">
        <f>+F16+F19+F32+F35</f>
        <v>1590000</v>
      </c>
      <c r="G15" s="179">
        <f>SUM(D15:F15)</f>
        <v>53094309.060000002</v>
      </c>
      <c r="H15" s="179">
        <f>+H16+H19+H32+H35</f>
        <v>22343730.059999999</v>
      </c>
      <c r="I15" s="179">
        <f>+I16+I19+I32+I35</f>
        <v>24346651.990000002</v>
      </c>
      <c r="J15" s="179">
        <f>+J16+J19+J32+J35</f>
        <v>1532049.84</v>
      </c>
      <c r="K15" s="179">
        <f t="shared" ref="K15:K45" si="0">SUM(H15:J15)</f>
        <v>48222431.890000001</v>
      </c>
      <c r="L15" s="180">
        <f t="shared" ref="L15:L52" si="1">+K15/G15</f>
        <v>0.90824106658032855</v>
      </c>
      <c r="M15" s="179">
        <f>+M16+M19+M32+M35</f>
        <v>22343729.059999999</v>
      </c>
      <c r="N15" s="179">
        <f>+N16+N19+N32+N35</f>
        <v>21789086.539999995</v>
      </c>
      <c r="O15" s="179">
        <f>+O16+O19+O32+O35</f>
        <v>1532049.84</v>
      </c>
      <c r="P15" s="179">
        <f t="shared" ref="P15:P45" si="2">SUM(M15:O15)</f>
        <v>45664865.439999998</v>
      </c>
      <c r="Q15" s="605" t="e">
        <v>#DIV/0!</v>
      </c>
      <c r="R15" s="605"/>
    </row>
    <row r="16" spans="1:18" s="194" customFormat="1" ht="15.75" x14ac:dyDescent="0.25">
      <c r="A16" s="216"/>
      <c r="B16" s="217" t="s">
        <v>17</v>
      </c>
      <c r="C16" s="181">
        <f>SUM(C17:C18)</f>
        <v>47588000</v>
      </c>
      <c r="D16" s="181">
        <f>SUM(D17:D18)</f>
        <v>18169365.059999999</v>
      </c>
      <c r="E16" s="181">
        <f>SUM(E17:E18)</f>
        <v>28606216</v>
      </c>
      <c r="F16" s="181">
        <f>SUM(F17:F18)</f>
        <v>1590000</v>
      </c>
      <c r="G16" s="181">
        <f t="shared" ref="G16:G44" si="3">SUM(D16:F16)</f>
        <v>48365581.060000002</v>
      </c>
      <c r="H16" s="181">
        <f>SUM(H17:H18)</f>
        <v>18047414.899999999</v>
      </c>
      <c r="I16" s="181">
        <f>SUM(I17:I18)</f>
        <v>24267258.520000003</v>
      </c>
      <c r="J16" s="181">
        <f>SUM(J17:J18)</f>
        <v>1532049.84</v>
      </c>
      <c r="K16" s="181">
        <f t="shared" si="0"/>
        <v>43846723.260000005</v>
      </c>
      <c r="L16" s="182">
        <f t="shared" si="1"/>
        <v>0.90656872716169545</v>
      </c>
      <c r="M16" s="181">
        <f>SUM(M17:M18)</f>
        <v>18047414.899999999</v>
      </c>
      <c r="N16" s="181">
        <f>SUM(N17:N18)</f>
        <v>21709693.069999997</v>
      </c>
      <c r="O16" s="181">
        <f>SUM(O17:O18)</f>
        <v>1532049.84</v>
      </c>
      <c r="P16" s="181">
        <f t="shared" si="2"/>
        <v>41289157.810000002</v>
      </c>
      <c r="Q16" s="604" t="e">
        <v>#DIV/0!</v>
      </c>
      <c r="R16" s="745"/>
    </row>
    <row r="17" spans="1:18" s="194" customFormat="1" ht="15.75" x14ac:dyDescent="0.25">
      <c r="A17" s="218"/>
      <c r="B17" s="219" t="s">
        <v>18</v>
      </c>
      <c r="C17" s="183">
        <f>'detailed fund u'!J15</f>
        <v>47588000</v>
      </c>
      <c r="D17" s="183">
        <f>'detailed fund u'!W15</f>
        <v>18169365.059999999</v>
      </c>
      <c r="E17" s="183">
        <f>'detailed fund u'!X15</f>
        <v>28606216</v>
      </c>
      <c r="F17" s="183">
        <f>'detailed fund u'!Y15</f>
        <v>1590000</v>
      </c>
      <c r="G17" s="181">
        <f t="shared" si="3"/>
        <v>48365581.060000002</v>
      </c>
      <c r="H17" s="183">
        <f>'detailed fund u'!AQ15</f>
        <v>18047414.899999999</v>
      </c>
      <c r="I17" s="183">
        <f>'detailed fund u'!AR15</f>
        <v>24267258.520000003</v>
      </c>
      <c r="J17" s="183">
        <f>'detailed fund u'!AS15</f>
        <v>1532049.84</v>
      </c>
      <c r="K17" s="181">
        <f t="shared" si="0"/>
        <v>43846723.260000005</v>
      </c>
      <c r="L17" s="182">
        <f t="shared" si="1"/>
        <v>0.90656872716169545</v>
      </c>
      <c r="M17" s="183">
        <f>+'detailed fund u'!BK15</f>
        <v>18047414.899999999</v>
      </c>
      <c r="N17" s="183">
        <f>+'detailed fund u'!BL15</f>
        <v>21709693.069999997</v>
      </c>
      <c r="O17" s="183">
        <f>+'detailed fund u'!BM15</f>
        <v>1532049.84</v>
      </c>
      <c r="P17" s="181">
        <f t="shared" si="2"/>
        <v>41289157.810000002</v>
      </c>
      <c r="Q17" s="604" t="e">
        <v>#DIV/0!</v>
      </c>
      <c r="R17" s="745"/>
    </row>
    <row r="18" spans="1:18" s="194" customFormat="1" ht="15.75" hidden="1" customHeight="1" x14ac:dyDescent="0.25">
      <c r="A18" s="218"/>
      <c r="B18" s="219" t="s">
        <v>19</v>
      </c>
      <c r="C18" s="183"/>
      <c r="D18" s="183"/>
      <c r="E18" s="184"/>
      <c r="F18" s="183"/>
      <c r="G18" s="181">
        <f t="shared" si="3"/>
        <v>0</v>
      </c>
      <c r="H18" s="183"/>
      <c r="I18" s="183"/>
      <c r="J18" s="183"/>
      <c r="K18" s="181">
        <f t="shared" si="0"/>
        <v>0</v>
      </c>
      <c r="L18" s="182" t="e">
        <f t="shared" si="1"/>
        <v>#DIV/0!</v>
      </c>
      <c r="M18" s="183"/>
      <c r="N18" s="183"/>
      <c r="O18" s="183"/>
      <c r="P18" s="181">
        <f t="shared" si="2"/>
        <v>0</v>
      </c>
      <c r="Q18" s="604" t="e">
        <v>#DIV/0!</v>
      </c>
      <c r="R18" s="745"/>
    </row>
    <row r="19" spans="1:18" s="194" customFormat="1" ht="15.75" hidden="1" customHeight="1" x14ac:dyDescent="0.25">
      <c r="A19" s="216"/>
      <c r="B19" s="217" t="s">
        <v>20</v>
      </c>
      <c r="C19" s="181">
        <f>+C20+C26</f>
        <v>0</v>
      </c>
      <c r="D19" s="181">
        <f>+D20+D26</f>
        <v>0</v>
      </c>
      <c r="E19" s="181">
        <f>+E20+E26</f>
        <v>0</v>
      </c>
      <c r="F19" s="181">
        <f>+F20+F26</f>
        <v>0</v>
      </c>
      <c r="G19" s="181">
        <f t="shared" si="3"/>
        <v>0</v>
      </c>
      <c r="H19" s="181">
        <f>+H20+H26</f>
        <v>0</v>
      </c>
      <c r="I19" s="181">
        <f>+I20+I26</f>
        <v>0</v>
      </c>
      <c r="J19" s="181">
        <f>+J20+J26</f>
        <v>0</v>
      </c>
      <c r="K19" s="181">
        <f t="shared" si="0"/>
        <v>0</v>
      </c>
      <c r="L19" s="182" t="e">
        <f t="shared" si="1"/>
        <v>#DIV/0!</v>
      </c>
      <c r="M19" s="181">
        <f>+M20+M26</f>
        <v>0</v>
      </c>
      <c r="N19" s="181">
        <f>+N20+N26</f>
        <v>0</v>
      </c>
      <c r="O19" s="181">
        <f>+O20+O26</f>
        <v>0</v>
      </c>
      <c r="P19" s="181">
        <f t="shared" si="2"/>
        <v>0</v>
      </c>
      <c r="Q19" s="604" t="e">
        <v>#DIV/0!</v>
      </c>
      <c r="R19" s="745"/>
    </row>
    <row r="20" spans="1:18" s="194" customFormat="1" ht="15.75" hidden="1" customHeight="1" x14ac:dyDescent="0.25">
      <c r="A20" s="216"/>
      <c r="B20" s="217" t="s">
        <v>21</v>
      </c>
      <c r="C20" s="181">
        <f>SUM(C21:C25)</f>
        <v>0</v>
      </c>
      <c r="D20" s="181">
        <f>SUM(D21:D25)</f>
        <v>0</v>
      </c>
      <c r="E20" s="181">
        <f>SUM(E21:E25)</f>
        <v>0</v>
      </c>
      <c r="F20" s="181">
        <f>SUM(F21:F25)</f>
        <v>0</v>
      </c>
      <c r="G20" s="181">
        <f t="shared" si="3"/>
        <v>0</v>
      </c>
      <c r="H20" s="181">
        <f>SUM(H21:H25)</f>
        <v>0</v>
      </c>
      <c r="I20" s="181">
        <f>SUM(I21:I25)</f>
        <v>0</v>
      </c>
      <c r="J20" s="181">
        <f>SUM(J21:J25)</f>
        <v>0</v>
      </c>
      <c r="K20" s="181">
        <f t="shared" si="0"/>
        <v>0</v>
      </c>
      <c r="L20" s="182" t="e">
        <f t="shared" si="1"/>
        <v>#DIV/0!</v>
      </c>
      <c r="M20" s="181">
        <f>SUM(M21:M25)</f>
        <v>0</v>
      </c>
      <c r="N20" s="181">
        <f>SUM(N21:N25)</f>
        <v>0</v>
      </c>
      <c r="O20" s="181">
        <f>SUM(O21:O25)</f>
        <v>0</v>
      </c>
      <c r="P20" s="181">
        <f t="shared" si="2"/>
        <v>0</v>
      </c>
      <c r="Q20" s="604" t="e">
        <v>#DIV/0!</v>
      </c>
      <c r="R20" s="745"/>
    </row>
    <row r="21" spans="1:18" s="194" customFormat="1" ht="15.75" hidden="1" customHeight="1" x14ac:dyDescent="0.25">
      <c r="A21" s="218"/>
      <c r="B21" s="219" t="s">
        <v>22</v>
      </c>
      <c r="C21" s="183"/>
      <c r="D21" s="183"/>
      <c r="E21" s="183"/>
      <c r="F21" s="183"/>
      <c r="G21" s="181">
        <f t="shared" si="3"/>
        <v>0</v>
      </c>
      <c r="H21" s="183"/>
      <c r="I21" s="183"/>
      <c r="J21" s="183"/>
      <c r="K21" s="181">
        <f t="shared" si="0"/>
        <v>0</v>
      </c>
      <c r="L21" s="182" t="e">
        <f t="shared" si="1"/>
        <v>#DIV/0!</v>
      </c>
      <c r="M21" s="183"/>
      <c r="N21" s="183"/>
      <c r="O21" s="183"/>
      <c r="P21" s="181">
        <f t="shared" si="2"/>
        <v>0</v>
      </c>
      <c r="Q21" s="604" t="e">
        <v>#DIV/0!</v>
      </c>
      <c r="R21" s="745"/>
    </row>
    <row r="22" spans="1:18" s="194" customFormat="1" ht="15.75" hidden="1" customHeight="1" x14ac:dyDescent="0.25">
      <c r="A22" s="218"/>
      <c r="B22" s="219" t="s">
        <v>23</v>
      </c>
      <c r="C22" s="183"/>
      <c r="D22" s="183"/>
      <c r="E22" s="183"/>
      <c r="F22" s="183"/>
      <c r="G22" s="181">
        <f t="shared" si="3"/>
        <v>0</v>
      </c>
      <c r="H22" s="183"/>
      <c r="I22" s="183"/>
      <c r="J22" s="183"/>
      <c r="K22" s="181">
        <f t="shared" si="0"/>
        <v>0</v>
      </c>
      <c r="L22" s="182" t="e">
        <f t="shared" si="1"/>
        <v>#DIV/0!</v>
      </c>
      <c r="M22" s="183"/>
      <c r="N22" s="183"/>
      <c r="O22" s="183"/>
      <c r="P22" s="181">
        <f t="shared" si="2"/>
        <v>0</v>
      </c>
      <c r="Q22" s="604" t="e">
        <v>#DIV/0!</v>
      </c>
      <c r="R22" s="745"/>
    </row>
    <row r="23" spans="1:18" s="194" customFormat="1" ht="15.75" hidden="1" customHeight="1" x14ac:dyDescent="0.25">
      <c r="A23" s="218"/>
      <c r="B23" s="219" t="s">
        <v>24</v>
      </c>
      <c r="C23" s="183"/>
      <c r="D23" s="183"/>
      <c r="E23" s="183"/>
      <c r="F23" s="183"/>
      <c r="G23" s="181">
        <f t="shared" si="3"/>
        <v>0</v>
      </c>
      <c r="H23" s="183"/>
      <c r="I23" s="183"/>
      <c r="J23" s="183"/>
      <c r="K23" s="181">
        <f t="shared" si="0"/>
        <v>0</v>
      </c>
      <c r="L23" s="182" t="e">
        <f t="shared" si="1"/>
        <v>#DIV/0!</v>
      </c>
      <c r="M23" s="183"/>
      <c r="N23" s="183"/>
      <c r="O23" s="183"/>
      <c r="P23" s="181">
        <f t="shared" si="2"/>
        <v>0</v>
      </c>
      <c r="Q23" s="604" t="e">
        <v>#DIV/0!</v>
      </c>
      <c r="R23" s="745"/>
    </row>
    <row r="24" spans="1:18" s="194" customFormat="1" ht="15.75" hidden="1" customHeight="1" x14ac:dyDescent="0.25">
      <c r="A24" s="218"/>
      <c r="B24" s="219" t="s">
        <v>25</v>
      </c>
      <c r="C24" s="183"/>
      <c r="D24" s="183"/>
      <c r="E24" s="183"/>
      <c r="F24" s="183"/>
      <c r="G24" s="181">
        <f t="shared" si="3"/>
        <v>0</v>
      </c>
      <c r="H24" s="183"/>
      <c r="I24" s="183"/>
      <c r="J24" s="183"/>
      <c r="K24" s="181">
        <f t="shared" si="0"/>
        <v>0</v>
      </c>
      <c r="L24" s="182" t="e">
        <f t="shared" si="1"/>
        <v>#DIV/0!</v>
      </c>
      <c r="M24" s="183"/>
      <c r="N24" s="183"/>
      <c r="O24" s="183"/>
      <c r="P24" s="181">
        <f t="shared" si="2"/>
        <v>0</v>
      </c>
      <c r="Q24" s="604" t="e">
        <v>#DIV/0!</v>
      </c>
      <c r="R24" s="745"/>
    </row>
    <row r="25" spans="1:18" s="194" customFormat="1" ht="15.75" hidden="1" customHeight="1" x14ac:dyDescent="0.25">
      <c r="A25" s="218"/>
      <c r="B25" s="219" t="s">
        <v>26</v>
      </c>
      <c r="C25" s="183"/>
      <c r="D25" s="183"/>
      <c r="E25" s="183"/>
      <c r="F25" s="183"/>
      <c r="G25" s="181">
        <f t="shared" si="3"/>
        <v>0</v>
      </c>
      <c r="H25" s="183"/>
      <c r="I25" s="183"/>
      <c r="J25" s="183"/>
      <c r="K25" s="181">
        <f t="shared" si="0"/>
        <v>0</v>
      </c>
      <c r="L25" s="182" t="e">
        <f t="shared" si="1"/>
        <v>#DIV/0!</v>
      </c>
      <c r="M25" s="183"/>
      <c r="N25" s="183"/>
      <c r="O25" s="183"/>
      <c r="P25" s="181">
        <f t="shared" si="2"/>
        <v>0</v>
      </c>
      <c r="Q25" s="604" t="e">
        <v>#DIV/0!</v>
      </c>
      <c r="R25" s="745"/>
    </row>
    <row r="26" spans="1:18" s="194" customFormat="1" ht="15.75" hidden="1" customHeight="1" x14ac:dyDescent="0.25">
      <c r="A26" s="216"/>
      <c r="B26" s="217" t="s">
        <v>27</v>
      </c>
      <c r="C26" s="181">
        <f>SUM(C27:C31)</f>
        <v>0</v>
      </c>
      <c r="D26" s="181">
        <f>SUM(D27:D31)</f>
        <v>0</v>
      </c>
      <c r="E26" s="181">
        <f>SUM(E27:E31)</f>
        <v>0</v>
      </c>
      <c r="F26" s="181">
        <f>SUM(F27:F31)</f>
        <v>0</v>
      </c>
      <c r="G26" s="181">
        <f t="shared" si="3"/>
        <v>0</v>
      </c>
      <c r="H26" s="181">
        <f>SUM(H27:H31)</f>
        <v>0</v>
      </c>
      <c r="I26" s="181">
        <f>SUM(I27:I31)</f>
        <v>0</v>
      </c>
      <c r="J26" s="181">
        <f>SUM(J27:J31)</f>
        <v>0</v>
      </c>
      <c r="K26" s="181">
        <f t="shared" si="0"/>
        <v>0</v>
      </c>
      <c r="L26" s="182" t="e">
        <f t="shared" si="1"/>
        <v>#DIV/0!</v>
      </c>
      <c r="M26" s="181">
        <f>SUM(M27:M31)</f>
        <v>0</v>
      </c>
      <c r="N26" s="181">
        <f>SUM(N27:N31)</f>
        <v>0</v>
      </c>
      <c r="O26" s="181">
        <f>SUM(O27:O31)</f>
        <v>0</v>
      </c>
      <c r="P26" s="181">
        <f t="shared" si="2"/>
        <v>0</v>
      </c>
      <c r="Q26" s="604" t="e">
        <v>#DIV/0!</v>
      </c>
      <c r="R26" s="745"/>
    </row>
    <row r="27" spans="1:18" s="194" customFormat="1" ht="15.75" hidden="1" customHeight="1" x14ac:dyDescent="0.25">
      <c r="A27" s="218"/>
      <c r="B27" s="219" t="s">
        <v>22</v>
      </c>
      <c r="C27" s="183"/>
      <c r="D27" s="183"/>
      <c r="E27" s="183"/>
      <c r="F27" s="183"/>
      <c r="G27" s="181">
        <f t="shared" si="3"/>
        <v>0</v>
      </c>
      <c r="H27" s="183"/>
      <c r="I27" s="183"/>
      <c r="J27" s="183"/>
      <c r="K27" s="181">
        <f t="shared" si="0"/>
        <v>0</v>
      </c>
      <c r="L27" s="182" t="e">
        <f t="shared" si="1"/>
        <v>#DIV/0!</v>
      </c>
      <c r="M27" s="183"/>
      <c r="N27" s="183"/>
      <c r="O27" s="183"/>
      <c r="P27" s="181">
        <f t="shared" si="2"/>
        <v>0</v>
      </c>
      <c r="Q27" s="604" t="e">
        <v>#DIV/0!</v>
      </c>
      <c r="R27" s="745"/>
    </row>
    <row r="28" spans="1:18" s="194" customFormat="1" ht="15.75" hidden="1" customHeight="1" x14ac:dyDescent="0.25">
      <c r="A28" s="218"/>
      <c r="B28" s="219" t="s">
        <v>23</v>
      </c>
      <c r="C28" s="183"/>
      <c r="D28" s="183"/>
      <c r="E28" s="183"/>
      <c r="F28" s="183"/>
      <c r="G28" s="181">
        <f t="shared" si="3"/>
        <v>0</v>
      </c>
      <c r="H28" s="183"/>
      <c r="I28" s="183"/>
      <c r="J28" s="183"/>
      <c r="K28" s="181">
        <f t="shared" si="0"/>
        <v>0</v>
      </c>
      <c r="L28" s="182" t="e">
        <f t="shared" si="1"/>
        <v>#DIV/0!</v>
      </c>
      <c r="M28" s="183"/>
      <c r="N28" s="183"/>
      <c r="O28" s="183"/>
      <c r="P28" s="181">
        <f t="shared" si="2"/>
        <v>0</v>
      </c>
      <c r="Q28" s="604" t="e">
        <v>#DIV/0!</v>
      </c>
      <c r="R28" s="745"/>
    </row>
    <row r="29" spans="1:18" s="194" customFormat="1" ht="15.75" hidden="1" customHeight="1" x14ac:dyDescent="0.25">
      <c r="A29" s="218"/>
      <c r="B29" s="219" t="s">
        <v>24</v>
      </c>
      <c r="C29" s="183"/>
      <c r="D29" s="183"/>
      <c r="E29" s="183"/>
      <c r="F29" s="183"/>
      <c r="G29" s="181">
        <f t="shared" si="3"/>
        <v>0</v>
      </c>
      <c r="H29" s="183"/>
      <c r="I29" s="183"/>
      <c r="J29" s="183"/>
      <c r="K29" s="181">
        <f t="shared" si="0"/>
        <v>0</v>
      </c>
      <c r="L29" s="182" t="e">
        <f t="shared" si="1"/>
        <v>#DIV/0!</v>
      </c>
      <c r="M29" s="183"/>
      <c r="N29" s="183"/>
      <c r="O29" s="183"/>
      <c r="P29" s="181">
        <f t="shared" si="2"/>
        <v>0</v>
      </c>
      <c r="Q29" s="604" t="e">
        <v>#DIV/0!</v>
      </c>
      <c r="R29" s="745"/>
    </row>
    <row r="30" spans="1:18" s="194" customFormat="1" ht="15.75" hidden="1" customHeight="1" x14ac:dyDescent="0.25">
      <c r="A30" s="218"/>
      <c r="B30" s="219" t="s">
        <v>25</v>
      </c>
      <c r="C30" s="183"/>
      <c r="D30" s="183"/>
      <c r="E30" s="183"/>
      <c r="F30" s="183"/>
      <c r="G30" s="181">
        <f t="shared" si="3"/>
        <v>0</v>
      </c>
      <c r="H30" s="183"/>
      <c r="I30" s="183"/>
      <c r="J30" s="183"/>
      <c r="K30" s="181">
        <f t="shared" si="0"/>
        <v>0</v>
      </c>
      <c r="L30" s="182" t="e">
        <f t="shared" si="1"/>
        <v>#DIV/0!</v>
      </c>
      <c r="M30" s="183"/>
      <c r="N30" s="183"/>
      <c r="O30" s="183"/>
      <c r="P30" s="181">
        <f t="shared" si="2"/>
        <v>0</v>
      </c>
      <c r="Q30" s="604" t="e">
        <v>#DIV/0!</v>
      </c>
      <c r="R30" s="745"/>
    </row>
    <row r="31" spans="1:18" s="194" customFormat="1" ht="15.75" hidden="1" customHeight="1" x14ac:dyDescent="0.25">
      <c r="A31" s="218"/>
      <c r="B31" s="219" t="s">
        <v>26</v>
      </c>
      <c r="C31" s="183"/>
      <c r="D31" s="183"/>
      <c r="E31" s="183"/>
      <c r="F31" s="183"/>
      <c r="G31" s="181">
        <f t="shared" si="3"/>
        <v>0</v>
      </c>
      <c r="H31" s="183"/>
      <c r="I31" s="183"/>
      <c r="J31" s="183"/>
      <c r="K31" s="181">
        <f t="shared" si="0"/>
        <v>0</v>
      </c>
      <c r="L31" s="182" t="e">
        <f t="shared" si="1"/>
        <v>#DIV/0!</v>
      </c>
      <c r="M31" s="183"/>
      <c r="N31" s="183"/>
      <c r="O31" s="183"/>
      <c r="P31" s="181">
        <f t="shared" si="2"/>
        <v>0</v>
      </c>
      <c r="Q31" s="604" t="e">
        <v>#DIV/0!</v>
      </c>
      <c r="R31" s="745"/>
    </row>
    <row r="32" spans="1:18" s="194" customFormat="1" ht="15.75" x14ac:dyDescent="0.25">
      <c r="A32" s="216"/>
      <c r="B32" s="217" t="s">
        <v>28</v>
      </c>
      <c r="C32" s="181">
        <f>SUM(C33:C34)</f>
        <v>458300</v>
      </c>
      <c r="D32" s="181">
        <f>SUM(D33:D34)</f>
        <v>2702728</v>
      </c>
      <c r="E32" s="181">
        <f>SUM(E33:E34)</f>
        <v>0</v>
      </c>
      <c r="F32" s="181">
        <f>SUM(F33:F34)</f>
        <v>0</v>
      </c>
      <c r="G32" s="181">
        <f t="shared" si="3"/>
        <v>2702728</v>
      </c>
      <c r="H32" s="181">
        <f>SUM(H33:H34)</f>
        <v>2679481.2999999998</v>
      </c>
      <c r="I32" s="181">
        <f>SUM(I33:I34)</f>
        <v>0</v>
      </c>
      <c r="J32" s="181">
        <f>SUM(J33:J34)</f>
        <v>0</v>
      </c>
      <c r="K32" s="181">
        <f t="shared" si="0"/>
        <v>2679481.2999999998</v>
      </c>
      <c r="L32" s="182">
        <f t="shared" si="1"/>
        <v>0.99139880150721782</v>
      </c>
      <c r="M32" s="181">
        <f>SUM(M33:M34)</f>
        <v>2679481.3000000003</v>
      </c>
      <c r="N32" s="181">
        <f>SUM(N33:N34)</f>
        <v>0</v>
      </c>
      <c r="O32" s="181">
        <f>SUM(O33:O34)</f>
        <v>0</v>
      </c>
      <c r="P32" s="181">
        <f t="shared" si="2"/>
        <v>2679481.3000000003</v>
      </c>
      <c r="Q32" s="604" t="e">
        <v>#DIV/0!</v>
      </c>
      <c r="R32" s="745"/>
    </row>
    <row r="33" spans="1:18" s="194" customFormat="1" ht="15.75" x14ac:dyDescent="0.25">
      <c r="A33" s="218"/>
      <c r="B33" s="219" t="s">
        <v>519</v>
      </c>
      <c r="C33" s="183">
        <f>'detailed fund u'!G150</f>
        <v>0</v>
      </c>
      <c r="D33" s="183">
        <f>'detailed fund u'!W150</f>
        <v>0</v>
      </c>
      <c r="E33" s="183"/>
      <c r="F33" s="183"/>
      <c r="G33" s="181">
        <f t="shared" si="3"/>
        <v>0</v>
      </c>
      <c r="H33" s="183">
        <f>'detailed fund u'!AQ150</f>
        <v>0</v>
      </c>
      <c r="I33" s="183"/>
      <c r="J33" s="183"/>
      <c r="K33" s="181">
        <f t="shared" si="0"/>
        <v>0</v>
      </c>
      <c r="L33" s="182" t="e">
        <f t="shared" si="1"/>
        <v>#DIV/0!</v>
      </c>
      <c r="M33" s="183">
        <f>'detailed fund u'!BL150</f>
        <v>0</v>
      </c>
      <c r="N33" s="183"/>
      <c r="O33" s="183"/>
      <c r="P33" s="181">
        <f t="shared" si="2"/>
        <v>0</v>
      </c>
      <c r="Q33" s="604" t="e">
        <v>#DIV/0!</v>
      </c>
      <c r="R33" s="745"/>
    </row>
    <row r="34" spans="1:18" s="194" customFormat="1" ht="15.75" x14ac:dyDescent="0.25">
      <c r="A34" s="218"/>
      <c r="B34" s="219" t="s">
        <v>520</v>
      </c>
      <c r="C34" s="183">
        <f>'detailed fund u'!G146</f>
        <v>458300</v>
      </c>
      <c r="D34" s="183">
        <f>'detailed fund u'!W146</f>
        <v>2702728</v>
      </c>
      <c r="E34" s="183"/>
      <c r="F34" s="183"/>
      <c r="G34" s="181">
        <f t="shared" si="3"/>
        <v>2702728</v>
      </c>
      <c r="H34" s="183">
        <f>'detailed fund u'!AQ146</f>
        <v>2679481.2999999998</v>
      </c>
      <c r="I34" s="183"/>
      <c r="J34" s="183"/>
      <c r="K34" s="181">
        <f t="shared" si="0"/>
        <v>2679481.2999999998</v>
      </c>
      <c r="L34" s="182">
        <f t="shared" si="1"/>
        <v>0.99139880150721782</v>
      </c>
      <c r="M34" s="183">
        <f>'detailed fund u'!BK146</f>
        <v>2679481.3000000003</v>
      </c>
      <c r="N34" s="183"/>
      <c r="O34" s="183"/>
      <c r="P34" s="181">
        <f t="shared" si="2"/>
        <v>2679481.3000000003</v>
      </c>
      <c r="Q34" s="604" t="e">
        <v>#DIV/0!</v>
      </c>
      <c r="R34" s="745"/>
    </row>
    <row r="35" spans="1:18" s="194" customFormat="1" ht="15.75" x14ac:dyDescent="0.25">
      <c r="A35" s="216"/>
      <c r="B35" s="217" t="s">
        <v>29</v>
      </c>
      <c r="C35" s="181">
        <f>+C36+C37+C43+C44</f>
        <v>1659000</v>
      </c>
      <c r="D35" s="181">
        <f>+D36+D37+D43+D44</f>
        <v>1778000</v>
      </c>
      <c r="E35" s="181">
        <f>+E36+E37+E43+E44</f>
        <v>248000</v>
      </c>
      <c r="F35" s="181">
        <f>+F36+F37+F43+F44</f>
        <v>0</v>
      </c>
      <c r="G35" s="181">
        <f t="shared" si="3"/>
        <v>2026000</v>
      </c>
      <c r="H35" s="181">
        <f>+H36+H37+H43+H44</f>
        <v>1616833.86</v>
      </c>
      <c r="I35" s="181">
        <f>+I36+I37+I43+I44</f>
        <v>79393.47</v>
      </c>
      <c r="J35" s="181">
        <f>+J36+J37+J43+J44</f>
        <v>0</v>
      </c>
      <c r="K35" s="181">
        <f t="shared" si="0"/>
        <v>1696227.33</v>
      </c>
      <c r="L35" s="182">
        <f t="shared" si="1"/>
        <v>0.83722967917077995</v>
      </c>
      <c r="M35" s="181">
        <f>+M36+M37+M43+M44</f>
        <v>1616832.8599999999</v>
      </c>
      <c r="N35" s="181">
        <f>+N36+N37+N43+N44</f>
        <v>79393.47</v>
      </c>
      <c r="O35" s="181">
        <f>+O36+O37+O43+O44</f>
        <v>0</v>
      </c>
      <c r="P35" s="181">
        <f t="shared" si="2"/>
        <v>1696226.3299999998</v>
      </c>
      <c r="Q35" s="604" t="e">
        <v>#DIV/0!</v>
      </c>
      <c r="R35" s="745"/>
    </row>
    <row r="36" spans="1:18" s="194" customFormat="1" ht="15.75" x14ac:dyDescent="0.25">
      <c r="A36" s="218"/>
      <c r="B36" s="219" t="s">
        <v>30</v>
      </c>
      <c r="C36" s="183">
        <f>'detailed fund u'!G153</f>
        <v>1659000</v>
      </c>
      <c r="D36" s="183">
        <f>'detailed fund u'!W153</f>
        <v>1778000</v>
      </c>
      <c r="E36" s="183"/>
      <c r="F36" s="183"/>
      <c r="G36" s="181">
        <f t="shared" si="3"/>
        <v>1778000</v>
      </c>
      <c r="H36" s="183">
        <f>'detailed fund u'!AQ153</f>
        <v>1616833.86</v>
      </c>
      <c r="I36" s="183"/>
      <c r="J36" s="183"/>
      <c r="K36" s="181">
        <f t="shared" si="0"/>
        <v>1616833.86</v>
      </c>
      <c r="L36" s="182">
        <f t="shared" si="1"/>
        <v>0.90935537682789658</v>
      </c>
      <c r="M36" s="183">
        <f>'detailed fund u'!BK153</f>
        <v>1616832.8599999999</v>
      </c>
      <c r="N36" s="183"/>
      <c r="O36" s="183"/>
      <c r="P36" s="181">
        <f t="shared" si="2"/>
        <v>1616832.8599999999</v>
      </c>
      <c r="Q36" s="604" t="e">
        <v>#DIV/0!</v>
      </c>
      <c r="R36" s="745"/>
    </row>
    <row r="37" spans="1:18" s="194" customFormat="1" ht="15.75" x14ac:dyDescent="0.25">
      <c r="A37" s="216"/>
      <c r="B37" s="220" t="s">
        <v>31</v>
      </c>
      <c r="C37" s="181">
        <f>SUM(C38:C42)</f>
        <v>0</v>
      </c>
      <c r="D37" s="181">
        <f>SUM(D38:D42)</f>
        <v>0</v>
      </c>
      <c r="E37" s="181">
        <f>SUM(E38:E42)</f>
        <v>0</v>
      </c>
      <c r="F37" s="181">
        <f>SUM(F38:F42)</f>
        <v>0</v>
      </c>
      <c r="G37" s="181">
        <f t="shared" si="3"/>
        <v>0</v>
      </c>
      <c r="H37" s="181">
        <f>SUM(H38:H42)</f>
        <v>0</v>
      </c>
      <c r="I37" s="181">
        <f>SUM(I38:I42)</f>
        <v>0</v>
      </c>
      <c r="J37" s="181">
        <f>SUM(J38:J42)</f>
        <v>0</v>
      </c>
      <c r="K37" s="181">
        <f t="shared" si="0"/>
        <v>0</v>
      </c>
      <c r="L37" s="182" t="e">
        <f t="shared" si="1"/>
        <v>#DIV/0!</v>
      </c>
      <c r="M37" s="181">
        <f>SUM(M38:M42)</f>
        <v>0</v>
      </c>
      <c r="N37" s="181">
        <f>SUM(N38:N42)</f>
        <v>0</v>
      </c>
      <c r="O37" s="181">
        <f>SUM(O38:O42)</f>
        <v>0</v>
      </c>
      <c r="P37" s="181">
        <f t="shared" si="2"/>
        <v>0</v>
      </c>
      <c r="Q37" s="604" t="e">
        <v>#DIV/0!</v>
      </c>
      <c r="R37" s="745"/>
    </row>
    <row r="38" spans="1:18" s="194" customFormat="1" ht="15.75" hidden="1" customHeight="1" x14ac:dyDescent="0.25">
      <c r="A38" s="218"/>
      <c r="B38" s="219" t="s">
        <v>32</v>
      </c>
      <c r="C38" s="183"/>
      <c r="D38" s="183"/>
      <c r="E38" s="183"/>
      <c r="F38" s="183"/>
      <c r="G38" s="181">
        <f t="shared" si="3"/>
        <v>0</v>
      </c>
      <c r="H38" s="183"/>
      <c r="I38" s="183"/>
      <c r="J38" s="183"/>
      <c r="K38" s="181">
        <f t="shared" si="0"/>
        <v>0</v>
      </c>
      <c r="L38" s="182" t="e">
        <f t="shared" si="1"/>
        <v>#DIV/0!</v>
      </c>
      <c r="M38" s="183"/>
      <c r="N38" s="183"/>
      <c r="O38" s="183"/>
      <c r="P38" s="181">
        <f t="shared" si="2"/>
        <v>0</v>
      </c>
      <c r="Q38" s="604" t="e">
        <v>#DIV/0!</v>
      </c>
      <c r="R38" s="745"/>
    </row>
    <row r="39" spans="1:18" s="194" customFormat="1" ht="15.75" hidden="1" customHeight="1" x14ac:dyDescent="0.25">
      <c r="A39" s="218"/>
      <c r="B39" s="219" t="s">
        <v>33</v>
      </c>
      <c r="C39" s="183"/>
      <c r="D39" s="183"/>
      <c r="E39" s="183"/>
      <c r="F39" s="183"/>
      <c r="G39" s="181">
        <f t="shared" si="3"/>
        <v>0</v>
      </c>
      <c r="H39" s="183"/>
      <c r="I39" s="183"/>
      <c r="J39" s="183"/>
      <c r="K39" s="181">
        <f t="shared" si="0"/>
        <v>0</v>
      </c>
      <c r="L39" s="182" t="e">
        <f t="shared" si="1"/>
        <v>#DIV/0!</v>
      </c>
      <c r="M39" s="183"/>
      <c r="N39" s="183"/>
      <c r="O39" s="183"/>
      <c r="P39" s="181">
        <f t="shared" si="2"/>
        <v>0</v>
      </c>
      <c r="Q39" s="604" t="e">
        <v>#DIV/0!</v>
      </c>
      <c r="R39" s="745"/>
    </row>
    <row r="40" spans="1:18" s="194" customFormat="1" ht="15.75" hidden="1" customHeight="1" x14ac:dyDescent="0.25">
      <c r="A40" s="218"/>
      <c r="B40" s="219" t="s">
        <v>34</v>
      </c>
      <c r="C40" s="183"/>
      <c r="D40" s="183"/>
      <c r="E40" s="183"/>
      <c r="F40" s="183"/>
      <c r="G40" s="181">
        <f t="shared" si="3"/>
        <v>0</v>
      </c>
      <c r="H40" s="183"/>
      <c r="I40" s="183"/>
      <c r="J40" s="183"/>
      <c r="K40" s="181">
        <f t="shared" si="0"/>
        <v>0</v>
      </c>
      <c r="L40" s="182" t="e">
        <f t="shared" si="1"/>
        <v>#DIV/0!</v>
      </c>
      <c r="M40" s="183"/>
      <c r="N40" s="183"/>
      <c r="O40" s="183"/>
      <c r="P40" s="181">
        <f t="shared" si="2"/>
        <v>0</v>
      </c>
      <c r="Q40" s="604" t="e">
        <v>#DIV/0!</v>
      </c>
      <c r="R40" s="745"/>
    </row>
    <row r="41" spans="1:18" s="194" customFormat="1" ht="15.75" hidden="1" customHeight="1" x14ac:dyDescent="0.25">
      <c r="A41" s="218"/>
      <c r="B41" s="219" t="s">
        <v>35</v>
      </c>
      <c r="C41" s="183"/>
      <c r="D41" s="183"/>
      <c r="E41" s="183"/>
      <c r="F41" s="183"/>
      <c r="G41" s="181">
        <f t="shared" si="3"/>
        <v>0</v>
      </c>
      <c r="H41" s="183"/>
      <c r="I41" s="183"/>
      <c r="J41" s="183"/>
      <c r="K41" s="181">
        <f t="shared" si="0"/>
        <v>0</v>
      </c>
      <c r="L41" s="182" t="e">
        <f t="shared" si="1"/>
        <v>#DIV/0!</v>
      </c>
      <c r="M41" s="183"/>
      <c r="N41" s="183"/>
      <c r="O41" s="183"/>
      <c r="P41" s="181">
        <f t="shared" si="2"/>
        <v>0</v>
      </c>
      <c r="Q41" s="604" t="e">
        <v>#DIV/0!</v>
      </c>
      <c r="R41" s="745"/>
    </row>
    <row r="42" spans="1:18" s="194" customFormat="1" ht="15.75" hidden="1" customHeight="1" x14ac:dyDescent="0.25">
      <c r="A42" s="218"/>
      <c r="B42" s="219" t="s">
        <v>36</v>
      </c>
      <c r="C42" s="183"/>
      <c r="D42" s="183"/>
      <c r="E42" s="183"/>
      <c r="F42" s="183"/>
      <c r="G42" s="181">
        <f t="shared" si="3"/>
        <v>0</v>
      </c>
      <c r="H42" s="183"/>
      <c r="I42" s="183"/>
      <c r="J42" s="183"/>
      <c r="K42" s="181">
        <f t="shared" si="0"/>
        <v>0</v>
      </c>
      <c r="L42" s="182" t="e">
        <f t="shared" si="1"/>
        <v>#DIV/0!</v>
      </c>
      <c r="M42" s="183"/>
      <c r="N42" s="183"/>
      <c r="O42" s="183"/>
      <c r="P42" s="181">
        <f t="shared" si="2"/>
        <v>0</v>
      </c>
      <c r="Q42" s="604" t="e">
        <v>#DIV/0!</v>
      </c>
      <c r="R42" s="745"/>
    </row>
    <row r="43" spans="1:18" s="194" customFormat="1" ht="15.75" hidden="1" customHeight="1" x14ac:dyDescent="0.25">
      <c r="A43" s="218"/>
      <c r="B43" s="219" t="s">
        <v>37</v>
      </c>
      <c r="C43" s="183"/>
      <c r="D43" s="183"/>
      <c r="E43" s="183"/>
      <c r="F43" s="183"/>
      <c r="G43" s="181">
        <f t="shared" si="3"/>
        <v>0</v>
      </c>
      <c r="H43" s="183"/>
      <c r="I43" s="183"/>
      <c r="J43" s="183"/>
      <c r="K43" s="181">
        <f t="shared" si="0"/>
        <v>0</v>
      </c>
      <c r="L43" s="182" t="e">
        <f t="shared" si="1"/>
        <v>#DIV/0!</v>
      </c>
      <c r="M43" s="183"/>
      <c r="N43" s="183"/>
      <c r="O43" s="183"/>
      <c r="P43" s="181">
        <f t="shared" si="2"/>
        <v>0</v>
      </c>
      <c r="Q43" s="604" t="e">
        <v>#DIV/0!</v>
      </c>
      <c r="R43" s="745"/>
    </row>
    <row r="44" spans="1:18" s="194" customFormat="1" ht="15.75" x14ac:dyDescent="0.25">
      <c r="A44" s="218"/>
      <c r="B44" s="219" t="s">
        <v>38</v>
      </c>
      <c r="C44" s="183">
        <f>'detailed fund u'!J166</f>
        <v>0</v>
      </c>
      <c r="D44" s="183">
        <f>'detailed fund u'!W166</f>
        <v>0</v>
      </c>
      <c r="E44" s="183">
        <f>'detailed fund u'!X166</f>
        <v>248000</v>
      </c>
      <c r="F44" s="183">
        <f>'detailed fund u'!Y166</f>
        <v>0</v>
      </c>
      <c r="G44" s="181">
        <f t="shared" si="3"/>
        <v>248000</v>
      </c>
      <c r="H44" s="183"/>
      <c r="I44" s="183">
        <f>'detailed fund u'!AR166</f>
        <v>79393.47</v>
      </c>
      <c r="J44" s="183">
        <f>'detailed fund u'!AS166</f>
        <v>0</v>
      </c>
      <c r="K44" s="181">
        <f t="shared" si="0"/>
        <v>79393.47</v>
      </c>
      <c r="L44" s="182">
        <f t="shared" si="1"/>
        <v>0.32013495967741934</v>
      </c>
      <c r="M44" s="183"/>
      <c r="N44" s="183">
        <f>'detailed fund u'!BL166</f>
        <v>79393.47</v>
      </c>
      <c r="O44" s="183">
        <f>'detailed fund u'!BM166</f>
        <v>0</v>
      </c>
      <c r="P44" s="181">
        <f t="shared" si="2"/>
        <v>79393.47</v>
      </c>
      <c r="Q44" s="604" t="e">
        <v>#DIV/0!</v>
      </c>
      <c r="R44" s="745"/>
    </row>
    <row r="45" spans="1:18" s="194" customFormat="1" ht="2.25" customHeight="1" x14ac:dyDescent="0.25">
      <c r="A45" s="218"/>
      <c r="B45" s="219"/>
      <c r="C45" s="183"/>
      <c r="D45" s="183"/>
      <c r="E45" s="183"/>
      <c r="F45" s="183"/>
      <c r="G45" s="181"/>
      <c r="H45" s="183"/>
      <c r="I45" s="183"/>
      <c r="J45" s="183"/>
      <c r="K45" s="181">
        <f t="shared" si="0"/>
        <v>0</v>
      </c>
      <c r="L45" s="182" t="e">
        <f t="shared" si="1"/>
        <v>#DIV/0!</v>
      </c>
      <c r="M45" s="183"/>
      <c r="N45" s="183"/>
      <c r="O45" s="183"/>
      <c r="P45" s="181">
        <f t="shared" si="2"/>
        <v>0</v>
      </c>
      <c r="Q45" s="595" t="e">
        <v>#DIV/0!</v>
      </c>
      <c r="R45" s="595" t="e">
        <v>#DIV/0!</v>
      </c>
    </row>
    <row r="46" spans="1:18" s="194" customFormat="1" ht="21" customHeight="1" x14ac:dyDescent="0.25">
      <c r="A46" s="213"/>
      <c r="B46" s="214" t="s">
        <v>521</v>
      </c>
      <c r="C46" s="179">
        <f t="shared" ref="C46:K46" si="4">SUM(C47:C52)</f>
        <v>869079.78</v>
      </c>
      <c r="D46" s="179">
        <f t="shared" si="4"/>
        <v>0</v>
      </c>
      <c r="E46" s="179">
        <f t="shared" si="4"/>
        <v>869079.78</v>
      </c>
      <c r="F46" s="179">
        <f t="shared" si="4"/>
        <v>0</v>
      </c>
      <c r="G46" s="179">
        <f t="shared" si="4"/>
        <v>869079.78</v>
      </c>
      <c r="H46" s="179">
        <f t="shared" si="4"/>
        <v>0</v>
      </c>
      <c r="I46" s="179">
        <f t="shared" si="4"/>
        <v>813548.35</v>
      </c>
      <c r="J46" s="179">
        <f t="shared" si="4"/>
        <v>0</v>
      </c>
      <c r="K46" s="179">
        <f t="shared" si="4"/>
        <v>813548.35</v>
      </c>
      <c r="L46" s="180">
        <f t="shared" si="1"/>
        <v>0.93610318491128619</v>
      </c>
      <c r="M46" s="179">
        <f t="shared" ref="M46:P46" si="5">SUM(M47:M52)</f>
        <v>0</v>
      </c>
      <c r="N46" s="179">
        <f t="shared" si="5"/>
        <v>813548.35</v>
      </c>
      <c r="O46" s="179">
        <f t="shared" si="5"/>
        <v>0</v>
      </c>
      <c r="P46" s="179">
        <f t="shared" si="5"/>
        <v>813548.35</v>
      </c>
      <c r="Q46" s="605" t="e">
        <v>#DIV/0!</v>
      </c>
      <c r="R46" s="605"/>
    </row>
    <row r="47" spans="1:18" s="194" customFormat="1" ht="15.75" x14ac:dyDescent="0.25">
      <c r="A47" s="218"/>
      <c r="B47" s="219" t="s">
        <v>39</v>
      </c>
      <c r="C47" s="183">
        <f>'detailed fund u'!J168</f>
        <v>869079.78</v>
      </c>
      <c r="D47" s="183"/>
      <c r="E47" s="185">
        <f>'detailed fund u'!X168</f>
        <v>869079.78</v>
      </c>
      <c r="F47" s="185">
        <f>'detailed fund u'!Y168</f>
        <v>0</v>
      </c>
      <c r="G47" s="181">
        <f t="shared" ref="G47:G52" si="6">SUM(D47:F47)</f>
        <v>869079.78</v>
      </c>
      <c r="H47" s="183">
        <f>'detailed fund u'!AQ168</f>
        <v>0</v>
      </c>
      <c r="I47" s="183">
        <f>'detailed fund u'!AR168</f>
        <v>813548.35</v>
      </c>
      <c r="J47" s="183">
        <f>'detailed fund u'!AS168</f>
        <v>0</v>
      </c>
      <c r="K47" s="181">
        <f t="shared" ref="K47:K52" si="7">SUM(H47:J47)</f>
        <v>813548.35</v>
      </c>
      <c r="L47" s="182">
        <f t="shared" si="1"/>
        <v>0.93610318491128619</v>
      </c>
      <c r="M47" s="183">
        <f>'detailed fund u'!BK168</f>
        <v>0</v>
      </c>
      <c r="N47" s="183">
        <f>+'detailed fund u'!BN168</f>
        <v>813548.35</v>
      </c>
      <c r="O47" s="183">
        <f>+'detailed fund u'!BO168</f>
        <v>0</v>
      </c>
      <c r="P47" s="181">
        <f t="shared" ref="P47:P52" si="8">SUM(M47:O47)</f>
        <v>813548.35</v>
      </c>
      <c r="Q47" s="604" t="e">
        <v>#DIV/0!</v>
      </c>
      <c r="R47" s="745"/>
    </row>
    <row r="48" spans="1:18" s="194" customFormat="1" ht="15.75" hidden="1" customHeight="1" x14ac:dyDescent="0.25">
      <c r="A48" s="218"/>
      <c r="B48" s="219" t="s">
        <v>40</v>
      </c>
      <c r="C48" s="183"/>
      <c r="D48" s="183"/>
      <c r="E48" s="185"/>
      <c r="F48" s="185"/>
      <c r="G48" s="181">
        <f t="shared" si="6"/>
        <v>0</v>
      </c>
      <c r="H48" s="183"/>
      <c r="I48" s="183"/>
      <c r="J48" s="183"/>
      <c r="K48" s="181">
        <f t="shared" si="7"/>
        <v>0</v>
      </c>
      <c r="L48" s="182" t="e">
        <f t="shared" si="1"/>
        <v>#DIV/0!</v>
      </c>
      <c r="M48" s="183"/>
      <c r="N48" s="183"/>
      <c r="O48" s="183"/>
      <c r="P48" s="181">
        <f t="shared" si="8"/>
        <v>0</v>
      </c>
      <c r="Q48" s="604" t="e">
        <v>#DIV/0!</v>
      </c>
      <c r="R48" s="745"/>
    </row>
    <row r="49" spans="1:18" s="194" customFormat="1" ht="15.75" hidden="1" customHeight="1" x14ac:dyDescent="0.25">
      <c r="A49" s="218"/>
      <c r="B49" s="219" t="s">
        <v>41</v>
      </c>
      <c r="C49" s="183"/>
      <c r="D49" s="183"/>
      <c r="E49" s="185"/>
      <c r="F49" s="185"/>
      <c r="G49" s="181">
        <f t="shared" si="6"/>
        <v>0</v>
      </c>
      <c r="H49" s="183"/>
      <c r="I49" s="183"/>
      <c r="J49" s="183"/>
      <c r="K49" s="181">
        <f t="shared" si="7"/>
        <v>0</v>
      </c>
      <c r="L49" s="182" t="e">
        <f t="shared" si="1"/>
        <v>#DIV/0!</v>
      </c>
      <c r="M49" s="183"/>
      <c r="N49" s="183"/>
      <c r="O49" s="183"/>
      <c r="P49" s="181">
        <f t="shared" si="8"/>
        <v>0</v>
      </c>
      <c r="Q49" s="604" t="e">
        <v>#DIV/0!</v>
      </c>
      <c r="R49" s="745"/>
    </row>
    <row r="50" spans="1:18" s="194" customFormat="1" ht="15.75" hidden="1" customHeight="1" x14ac:dyDescent="0.25">
      <c r="A50" s="218"/>
      <c r="B50" s="219" t="s">
        <v>42</v>
      </c>
      <c r="C50" s="183"/>
      <c r="D50" s="183"/>
      <c r="E50" s="185"/>
      <c r="F50" s="185"/>
      <c r="G50" s="181">
        <f t="shared" si="6"/>
        <v>0</v>
      </c>
      <c r="H50" s="183"/>
      <c r="I50" s="183"/>
      <c r="J50" s="183"/>
      <c r="K50" s="181">
        <f t="shared" si="7"/>
        <v>0</v>
      </c>
      <c r="L50" s="182" t="e">
        <f t="shared" si="1"/>
        <v>#DIV/0!</v>
      </c>
      <c r="M50" s="183"/>
      <c r="N50" s="183"/>
      <c r="O50" s="183"/>
      <c r="P50" s="181">
        <f t="shared" si="8"/>
        <v>0</v>
      </c>
      <c r="Q50" s="604" t="e">
        <v>#DIV/0!</v>
      </c>
      <c r="R50" s="745"/>
    </row>
    <row r="51" spans="1:18" s="194" customFormat="1" ht="15.75" hidden="1" customHeight="1" x14ac:dyDescent="0.25">
      <c r="A51" s="218"/>
      <c r="B51" s="219" t="s">
        <v>43</v>
      </c>
      <c r="C51" s="183"/>
      <c r="D51" s="183"/>
      <c r="E51" s="185"/>
      <c r="F51" s="185"/>
      <c r="G51" s="181">
        <f t="shared" si="6"/>
        <v>0</v>
      </c>
      <c r="H51" s="183"/>
      <c r="I51" s="183"/>
      <c r="J51" s="183"/>
      <c r="K51" s="181">
        <f t="shared" si="7"/>
        <v>0</v>
      </c>
      <c r="L51" s="182" t="e">
        <f t="shared" si="1"/>
        <v>#DIV/0!</v>
      </c>
      <c r="M51" s="183"/>
      <c r="N51" s="183"/>
      <c r="O51" s="183"/>
      <c r="P51" s="181">
        <f t="shared" si="8"/>
        <v>0</v>
      </c>
      <c r="Q51" s="604" t="e">
        <v>#DIV/0!</v>
      </c>
      <c r="R51" s="745"/>
    </row>
    <row r="52" spans="1:18" s="194" customFormat="1" ht="15.75" x14ac:dyDescent="0.25">
      <c r="A52" s="218"/>
      <c r="B52" s="219" t="s">
        <v>44</v>
      </c>
      <c r="C52" s="183"/>
      <c r="D52" s="183"/>
      <c r="E52" s="185"/>
      <c r="F52" s="185"/>
      <c r="G52" s="181">
        <f t="shared" si="6"/>
        <v>0</v>
      </c>
      <c r="H52" s="183"/>
      <c r="I52" s="183"/>
      <c r="J52" s="183"/>
      <c r="K52" s="181">
        <f t="shared" si="7"/>
        <v>0</v>
      </c>
      <c r="L52" s="182" t="e">
        <f t="shared" si="1"/>
        <v>#DIV/0!</v>
      </c>
      <c r="M52" s="183"/>
      <c r="N52" s="183"/>
      <c r="O52" s="183"/>
      <c r="P52" s="181">
        <f t="shared" si="8"/>
        <v>0</v>
      </c>
      <c r="Q52" s="604" t="e">
        <v>#DIV/0!</v>
      </c>
      <c r="R52" s="745"/>
    </row>
    <row r="53" spans="1:18" s="194" customFormat="1" ht="7.5" customHeight="1" x14ac:dyDescent="0.25">
      <c r="A53" s="221"/>
      <c r="B53" s="222"/>
      <c r="C53" s="186"/>
      <c r="D53" s="186"/>
      <c r="E53" s="186"/>
      <c r="F53" s="186"/>
      <c r="G53" s="187"/>
      <c r="H53" s="186"/>
      <c r="I53" s="186"/>
      <c r="J53" s="186"/>
      <c r="K53" s="187"/>
      <c r="L53" s="188"/>
      <c r="M53" s="186"/>
      <c r="N53" s="186"/>
      <c r="O53" s="186"/>
      <c r="P53" s="187"/>
      <c r="Q53" s="596"/>
      <c r="R53" s="746"/>
    </row>
    <row r="54" spans="1:18" s="194" customFormat="1" ht="15.75" x14ac:dyDescent="0.25">
      <c r="A54" s="884" t="s">
        <v>45</v>
      </c>
      <c r="B54" s="885"/>
      <c r="C54" s="189">
        <f t="shared" ref="C54:K54" si="9">+C15+C46</f>
        <v>50574379.780000001</v>
      </c>
      <c r="D54" s="189">
        <f t="shared" si="9"/>
        <v>22650093.059999999</v>
      </c>
      <c r="E54" s="189">
        <f t="shared" si="9"/>
        <v>29723295.780000001</v>
      </c>
      <c r="F54" s="189">
        <f t="shared" si="9"/>
        <v>1590000</v>
      </c>
      <c r="G54" s="189">
        <f t="shared" si="9"/>
        <v>53963388.840000004</v>
      </c>
      <c r="H54" s="189">
        <f t="shared" si="9"/>
        <v>22343730.059999999</v>
      </c>
      <c r="I54" s="189">
        <f t="shared" si="9"/>
        <v>25160200.340000004</v>
      </c>
      <c r="J54" s="189">
        <f t="shared" si="9"/>
        <v>1532049.84</v>
      </c>
      <c r="K54" s="189">
        <f t="shared" si="9"/>
        <v>49035980.240000002</v>
      </c>
      <c r="L54" s="190">
        <f>+K54/G54</f>
        <v>0.90868978568766989</v>
      </c>
      <c r="M54" s="189">
        <f t="shared" ref="M54:P54" si="10">+M15+M46</f>
        <v>22343729.059999999</v>
      </c>
      <c r="N54" s="189">
        <f t="shared" si="10"/>
        <v>22602634.889999997</v>
      </c>
      <c r="O54" s="189">
        <f t="shared" si="10"/>
        <v>1532049.84</v>
      </c>
      <c r="P54" s="189">
        <f t="shared" si="10"/>
        <v>46478413.789999999</v>
      </c>
      <c r="Q54" s="597" t="e">
        <v>#DIV/0!</v>
      </c>
      <c r="R54" s="597"/>
    </row>
    <row r="55" spans="1:18" s="194" customFormat="1" ht="15.75" x14ac:dyDescent="0.25">
      <c r="A55" s="886" t="s">
        <v>46</v>
      </c>
      <c r="B55" s="887"/>
      <c r="C55" s="225"/>
      <c r="D55" s="225"/>
      <c r="E55" s="225"/>
      <c r="F55" s="225"/>
      <c r="G55" s="225"/>
      <c r="H55" s="225"/>
      <c r="I55" s="225"/>
      <c r="J55" s="225"/>
      <c r="K55" s="225"/>
      <c r="L55" s="226"/>
      <c r="M55" s="225"/>
      <c r="N55" s="225"/>
      <c r="O55" s="225"/>
      <c r="P55" s="225"/>
      <c r="Q55" s="600"/>
      <c r="R55" s="600"/>
    </row>
    <row r="56" spans="1:18" s="194" customFormat="1" ht="15.75" x14ac:dyDescent="0.25">
      <c r="A56" s="227" t="s">
        <v>47</v>
      </c>
      <c r="B56" s="227"/>
      <c r="C56" s="224"/>
      <c r="D56" s="224"/>
      <c r="E56" s="228"/>
      <c r="F56" s="224"/>
      <c r="G56" s="224"/>
      <c r="H56" s="224"/>
      <c r="I56" s="224"/>
      <c r="J56" s="229"/>
      <c r="K56" s="228"/>
      <c r="L56" s="230"/>
      <c r="M56" s="224"/>
      <c r="N56" s="224"/>
      <c r="O56" s="229"/>
      <c r="P56" s="228"/>
      <c r="Q56" s="601"/>
      <c r="R56" s="601"/>
    </row>
    <row r="57" spans="1:18" s="194" customFormat="1" ht="15.75" x14ac:dyDescent="0.25">
      <c r="A57" s="231"/>
      <c r="B57" s="232" t="s">
        <v>48</v>
      </c>
      <c r="C57" s="233">
        <f>SUM(C73:C74)</f>
        <v>22459100.640000001</v>
      </c>
      <c r="D57" s="233">
        <f t="shared" ref="D57:J57" si="11">SUM(D73:D74)</f>
        <v>2560000</v>
      </c>
      <c r="E57" s="233">
        <f t="shared" si="11"/>
        <v>18930700.640000001</v>
      </c>
      <c r="F57" s="233">
        <f t="shared" si="11"/>
        <v>1400000</v>
      </c>
      <c r="G57" s="233">
        <f>SUM(D57:F57)</f>
        <v>22890700.640000001</v>
      </c>
      <c r="H57" s="233">
        <f t="shared" si="11"/>
        <v>2557000</v>
      </c>
      <c r="I57" s="233">
        <f t="shared" si="11"/>
        <v>16550898.640000001</v>
      </c>
      <c r="J57" s="233">
        <f t="shared" si="11"/>
        <v>1400000</v>
      </c>
      <c r="K57" s="233">
        <f>SUM(H57:J57)</f>
        <v>20507898.640000001</v>
      </c>
      <c r="L57" s="190">
        <f>+K57/G57</f>
        <v>0.89590523953486123</v>
      </c>
      <c r="M57" s="233">
        <f t="shared" ref="M57:O57" si="12">SUM(M73:M74)</f>
        <v>2557000</v>
      </c>
      <c r="N57" s="233">
        <f t="shared" si="12"/>
        <v>15131237.09</v>
      </c>
      <c r="O57" s="233">
        <f t="shared" si="12"/>
        <v>3183100.64</v>
      </c>
      <c r="P57" s="233">
        <f>SUM(M57:O57)</f>
        <v>20871337.73</v>
      </c>
      <c r="Q57" s="597" t="e">
        <v>#DIV/0!</v>
      </c>
      <c r="R57" s="597"/>
    </row>
    <row r="58" spans="1:18" s="194" customFormat="1" ht="15.75" x14ac:dyDescent="0.25">
      <c r="A58" s="209"/>
      <c r="B58" s="210"/>
      <c r="C58" s="215"/>
      <c r="D58" s="215"/>
      <c r="E58" s="215"/>
      <c r="F58" s="215"/>
      <c r="G58" s="183"/>
      <c r="H58" s="215"/>
      <c r="I58" s="215"/>
      <c r="J58" s="215"/>
      <c r="K58" s="183"/>
      <c r="L58" s="234"/>
      <c r="M58" s="215"/>
      <c r="N58" s="215"/>
      <c r="O58" s="215"/>
      <c r="P58" s="183"/>
      <c r="Q58" s="602"/>
      <c r="R58" s="602"/>
    </row>
    <row r="59" spans="1:18" s="194" customFormat="1" ht="15.75" hidden="1" customHeight="1" x14ac:dyDescent="0.25">
      <c r="A59" s="235" t="s">
        <v>672</v>
      </c>
      <c r="B59" s="236" t="s">
        <v>49</v>
      </c>
      <c r="C59" s="237" t="e">
        <f>#REF!+#REF!</f>
        <v>#REF!</v>
      </c>
      <c r="D59" s="238" t="e">
        <f>#REF!+#REF!</f>
        <v>#REF!</v>
      </c>
      <c r="E59" s="238" t="e">
        <f>#REF!+#REF!</f>
        <v>#REF!</v>
      </c>
      <c r="F59" s="238" t="e">
        <f>#REF!+#REF!</f>
        <v>#REF!</v>
      </c>
      <c r="G59" s="181" t="e">
        <f t="shared" ref="G59:G74" si="13">SUM(D59:F59)</f>
        <v>#REF!</v>
      </c>
      <c r="H59" s="238" t="e">
        <f>#REF!+#REF!</f>
        <v>#REF!</v>
      </c>
      <c r="I59" s="238" t="e">
        <f>#REF!+#REF!</f>
        <v>#REF!</v>
      </c>
      <c r="J59" s="238" t="e">
        <f>#REF!+#REF!</f>
        <v>#REF!</v>
      </c>
      <c r="K59" s="181" t="e">
        <f t="shared" ref="K59:K74" si="14">SUM(H59:J59)</f>
        <v>#REF!</v>
      </c>
      <c r="L59" s="182" t="e">
        <f t="shared" ref="L59:L74" si="15">+K59/G59</f>
        <v>#REF!</v>
      </c>
      <c r="M59" s="238" t="e">
        <f>#REF!+#REF!</f>
        <v>#REF!</v>
      </c>
      <c r="N59" s="238" t="e">
        <f>#REF!+#REF!</f>
        <v>#REF!</v>
      </c>
      <c r="O59" s="238" t="e">
        <f>#REF!+#REF!</f>
        <v>#REF!</v>
      </c>
      <c r="P59" s="181" t="e">
        <f t="shared" ref="P59:P74" si="16">SUM(M59:O59)</f>
        <v>#REF!</v>
      </c>
      <c r="Q59" s="595" t="e">
        <v>#REF!</v>
      </c>
      <c r="R59" s="595" t="e">
        <v>#REF!</v>
      </c>
    </row>
    <row r="60" spans="1:18" s="194" customFormat="1" ht="15.75" hidden="1" customHeight="1" x14ac:dyDescent="0.25">
      <c r="A60" s="235"/>
      <c r="B60" s="236" t="s">
        <v>50</v>
      </c>
      <c r="C60" s="237" t="e">
        <f>#REF!+#REF!</f>
        <v>#REF!</v>
      </c>
      <c r="D60" s="238" t="e">
        <f>#REF!+#REF!</f>
        <v>#REF!</v>
      </c>
      <c r="E60" s="238" t="e">
        <f>#REF!+#REF!</f>
        <v>#REF!</v>
      </c>
      <c r="F60" s="238" t="e">
        <f>#REF!+#REF!</f>
        <v>#REF!</v>
      </c>
      <c r="G60" s="181" t="e">
        <f t="shared" si="13"/>
        <v>#REF!</v>
      </c>
      <c r="H60" s="238" t="e">
        <f>#REF!+#REF!</f>
        <v>#REF!</v>
      </c>
      <c r="I60" s="238" t="e">
        <f>#REF!+#REF!</f>
        <v>#REF!</v>
      </c>
      <c r="J60" s="238" t="e">
        <f>#REF!+#REF!</f>
        <v>#REF!</v>
      </c>
      <c r="K60" s="181" t="e">
        <f t="shared" si="14"/>
        <v>#REF!</v>
      </c>
      <c r="L60" s="182" t="e">
        <f t="shared" si="15"/>
        <v>#REF!</v>
      </c>
      <c r="M60" s="238" t="e">
        <f>#REF!+#REF!</f>
        <v>#REF!</v>
      </c>
      <c r="N60" s="238" t="e">
        <f>#REF!+#REF!</f>
        <v>#REF!</v>
      </c>
      <c r="O60" s="238" t="e">
        <f>#REF!+#REF!</f>
        <v>#REF!</v>
      </c>
      <c r="P60" s="181" t="e">
        <f t="shared" si="16"/>
        <v>#REF!</v>
      </c>
      <c r="Q60" s="595" t="e">
        <v>#REF!</v>
      </c>
      <c r="R60" s="595" t="e">
        <v>#REF!</v>
      </c>
    </row>
    <row r="61" spans="1:18" s="194" customFormat="1" ht="15.75" hidden="1" customHeight="1" x14ac:dyDescent="0.25">
      <c r="A61" s="235" t="s">
        <v>672</v>
      </c>
      <c r="B61" s="236" t="s">
        <v>51</v>
      </c>
      <c r="C61" s="237" t="e">
        <f>#REF!+#REF!</f>
        <v>#REF!</v>
      </c>
      <c r="D61" s="238" t="e">
        <f>#REF!+#REF!</f>
        <v>#REF!</v>
      </c>
      <c r="E61" s="238" t="e">
        <f>#REF!+#REF!</f>
        <v>#REF!</v>
      </c>
      <c r="F61" s="238" t="e">
        <f>#REF!+#REF!</f>
        <v>#REF!</v>
      </c>
      <c r="G61" s="181" t="e">
        <f t="shared" si="13"/>
        <v>#REF!</v>
      </c>
      <c r="H61" s="238" t="e">
        <f>#REF!+#REF!</f>
        <v>#REF!</v>
      </c>
      <c r="I61" s="238" t="e">
        <f>#REF!+#REF!</f>
        <v>#REF!</v>
      </c>
      <c r="J61" s="238" t="e">
        <f>#REF!+#REF!</f>
        <v>#REF!</v>
      </c>
      <c r="K61" s="181" t="e">
        <f t="shared" si="14"/>
        <v>#REF!</v>
      </c>
      <c r="L61" s="182" t="e">
        <f t="shared" si="15"/>
        <v>#REF!</v>
      </c>
      <c r="M61" s="238" t="e">
        <f>#REF!+#REF!</f>
        <v>#REF!</v>
      </c>
      <c r="N61" s="238" t="e">
        <f>#REF!+#REF!</f>
        <v>#REF!</v>
      </c>
      <c r="O61" s="238" t="e">
        <f>#REF!+#REF!</f>
        <v>#REF!</v>
      </c>
      <c r="P61" s="181" t="e">
        <f t="shared" si="16"/>
        <v>#REF!</v>
      </c>
      <c r="Q61" s="595" t="e">
        <v>#REF!</v>
      </c>
      <c r="R61" s="595" t="e">
        <v>#REF!</v>
      </c>
    </row>
    <row r="62" spans="1:18" s="194" customFormat="1" ht="15.75" hidden="1" customHeight="1" x14ac:dyDescent="0.25">
      <c r="A62" s="235" t="s">
        <v>672</v>
      </c>
      <c r="B62" s="236" t="s">
        <v>52</v>
      </c>
      <c r="C62" s="237" t="e">
        <f>#REF!+#REF!</f>
        <v>#REF!</v>
      </c>
      <c r="D62" s="238" t="e">
        <f>#REF!+#REF!</f>
        <v>#REF!</v>
      </c>
      <c r="E62" s="238" t="e">
        <f>#REF!+#REF!</f>
        <v>#REF!</v>
      </c>
      <c r="F62" s="238" t="e">
        <f>#REF!+#REF!</f>
        <v>#REF!</v>
      </c>
      <c r="G62" s="181" t="e">
        <f t="shared" si="13"/>
        <v>#REF!</v>
      </c>
      <c r="H62" s="238" t="e">
        <f>#REF!+#REF!</f>
        <v>#REF!</v>
      </c>
      <c r="I62" s="238" t="e">
        <f>#REF!+#REF!</f>
        <v>#REF!</v>
      </c>
      <c r="J62" s="238" t="e">
        <f>#REF!+#REF!</f>
        <v>#REF!</v>
      </c>
      <c r="K62" s="181" t="e">
        <f t="shared" si="14"/>
        <v>#REF!</v>
      </c>
      <c r="L62" s="182" t="e">
        <f t="shared" si="15"/>
        <v>#REF!</v>
      </c>
      <c r="M62" s="238" t="e">
        <f>#REF!+#REF!</f>
        <v>#REF!</v>
      </c>
      <c r="N62" s="238" t="e">
        <f>#REF!+#REF!</f>
        <v>#REF!</v>
      </c>
      <c r="O62" s="238" t="e">
        <f>#REF!+#REF!</f>
        <v>#REF!</v>
      </c>
      <c r="P62" s="181" t="e">
        <f t="shared" si="16"/>
        <v>#REF!</v>
      </c>
      <c r="Q62" s="595" t="e">
        <v>#REF!</v>
      </c>
      <c r="R62" s="595" t="e">
        <v>#REF!</v>
      </c>
    </row>
    <row r="63" spans="1:18" s="194" customFormat="1" ht="15.75" hidden="1" customHeight="1" x14ac:dyDescent="0.25">
      <c r="A63" s="235" t="s">
        <v>672</v>
      </c>
      <c r="B63" s="236" t="s">
        <v>53</v>
      </c>
      <c r="C63" s="237" t="e">
        <f>#REF!+#REF!</f>
        <v>#REF!</v>
      </c>
      <c r="D63" s="238" t="e">
        <f>#REF!+#REF!</f>
        <v>#REF!</v>
      </c>
      <c r="E63" s="238" t="e">
        <f>#REF!+#REF!</f>
        <v>#REF!</v>
      </c>
      <c r="F63" s="238" t="e">
        <f>#REF!+#REF!</f>
        <v>#REF!</v>
      </c>
      <c r="G63" s="181" t="e">
        <f t="shared" si="13"/>
        <v>#REF!</v>
      </c>
      <c r="H63" s="238" t="e">
        <f>#REF!+#REF!</f>
        <v>#REF!</v>
      </c>
      <c r="I63" s="238" t="e">
        <f>#REF!+#REF!</f>
        <v>#REF!</v>
      </c>
      <c r="J63" s="238" t="e">
        <f>#REF!+#REF!</f>
        <v>#REF!</v>
      </c>
      <c r="K63" s="181" t="e">
        <f t="shared" si="14"/>
        <v>#REF!</v>
      </c>
      <c r="L63" s="182" t="e">
        <f t="shared" si="15"/>
        <v>#REF!</v>
      </c>
      <c r="M63" s="238" t="e">
        <f>#REF!+#REF!</f>
        <v>#REF!</v>
      </c>
      <c r="N63" s="238" t="e">
        <f>#REF!+#REF!</f>
        <v>#REF!</v>
      </c>
      <c r="O63" s="238" t="e">
        <f>#REF!+#REF!</f>
        <v>#REF!</v>
      </c>
      <c r="P63" s="181" t="e">
        <f t="shared" si="16"/>
        <v>#REF!</v>
      </c>
      <c r="Q63" s="595" t="e">
        <v>#REF!</v>
      </c>
      <c r="R63" s="595" t="e">
        <v>#REF!</v>
      </c>
    </row>
    <row r="64" spans="1:18" s="194" customFormat="1" ht="15.75" hidden="1" customHeight="1" x14ac:dyDescent="0.25">
      <c r="A64" s="235" t="s">
        <v>672</v>
      </c>
      <c r="B64" s="236" t="s">
        <v>54</v>
      </c>
      <c r="C64" s="237" t="e">
        <f>#REF!+#REF!</f>
        <v>#REF!</v>
      </c>
      <c r="D64" s="238" t="e">
        <f>#REF!+#REF!</f>
        <v>#REF!</v>
      </c>
      <c r="E64" s="238" t="e">
        <f>#REF!+#REF!</f>
        <v>#REF!</v>
      </c>
      <c r="F64" s="238" t="e">
        <f>#REF!+#REF!</f>
        <v>#REF!</v>
      </c>
      <c r="G64" s="181" t="e">
        <f t="shared" si="13"/>
        <v>#REF!</v>
      </c>
      <c r="H64" s="238" t="e">
        <f>#REF!+#REF!</f>
        <v>#REF!</v>
      </c>
      <c r="I64" s="238" t="e">
        <f>#REF!+#REF!</f>
        <v>#REF!</v>
      </c>
      <c r="J64" s="238" t="e">
        <f>#REF!+#REF!</f>
        <v>#REF!</v>
      </c>
      <c r="K64" s="181" t="e">
        <f t="shared" si="14"/>
        <v>#REF!</v>
      </c>
      <c r="L64" s="182" t="e">
        <f t="shared" si="15"/>
        <v>#REF!</v>
      </c>
      <c r="M64" s="238" t="e">
        <f>#REF!+#REF!</f>
        <v>#REF!</v>
      </c>
      <c r="N64" s="238" t="e">
        <f>#REF!+#REF!</f>
        <v>#REF!</v>
      </c>
      <c r="O64" s="238" t="e">
        <f>#REF!+#REF!</f>
        <v>#REF!</v>
      </c>
      <c r="P64" s="181" t="e">
        <f t="shared" si="16"/>
        <v>#REF!</v>
      </c>
      <c r="Q64" s="595" t="e">
        <v>#REF!</v>
      </c>
      <c r="R64" s="595" t="e">
        <v>#REF!</v>
      </c>
    </row>
    <row r="65" spans="1:18" s="194" customFormat="1" ht="15.75" hidden="1" customHeight="1" x14ac:dyDescent="0.25">
      <c r="A65" s="235" t="s">
        <v>672</v>
      </c>
      <c r="B65" s="236" t="s">
        <v>55</v>
      </c>
      <c r="C65" s="237" t="e">
        <f>#REF!+#REF!</f>
        <v>#REF!</v>
      </c>
      <c r="D65" s="238" t="e">
        <f>#REF!+#REF!</f>
        <v>#REF!</v>
      </c>
      <c r="E65" s="238" t="e">
        <f>#REF!+#REF!</f>
        <v>#REF!</v>
      </c>
      <c r="F65" s="238" t="e">
        <f>#REF!+#REF!</f>
        <v>#REF!</v>
      </c>
      <c r="G65" s="181" t="e">
        <f t="shared" si="13"/>
        <v>#REF!</v>
      </c>
      <c r="H65" s="238" t="e">
        <f>#REF!+#REF!</f>
        <v>#REF!</v>
      </c>
      <c r="I65" s="238" t="e">
        <f>#REF!+#REF!</f>
        <v>#REF!</v>
      </c>
      <c r="J65" s="238" t="e">
        <f>#REF!+#REF!</f>
        <v>#REF!</v>
      </c>
      <c r="K65" s="181" t="e">
        <f t="shared" si="14"/>
        <v>#REF!</v>
      </c>
      <c r="L65" s="182" t="e">
        <f t="shared" si="15"/>
        <v>#REF!</v>
      </c>
      <c r="M65" s="238" t="e">
        <f>#REF!+#REF!</f>
        <v>#REF!</v>
      </c>
      <c r="N65" s="238" t="e">
        <f>#REF!+#REF!</f>
        <v>#REF!</v>
      </c>
      <c r="O65" s="238" t="e">
        <f>#REF!+#REF!</f>
        <v>#REF!</v>
      </c>
      <c r="P65" s="181" t="e">
        <f t="shared" si="16"/>
        <v>#REF!</v>
      </c>
      <c r="Q65" s="595" t="e">
        <v>#REF!</v>
      </c>
      <c r="R65" s="595" t="e">
        <v>#REF!</v>
      </c>
    </row>
    <row r="66" spans="1:18" s="194" customFormat="1" ht="15.75" hidden="1" customHeight="1" x14ac:dyDescent="0.25">
      <c r="A66" s="235" t="s">
        <v>672</v>
      </c>
      <c r="B66" s="236" t="s">
        <v>56</v>
      </c>
      <c r="C66" s="237" t="e">
        <f>#REF!+#REF!</f>
        <v>#REF!</v>
      </c>
      <c r="D66" s="238" t="e">
        <f>#REF!+#REF!</f>
        <v>#REF!</v>
      </c>
      <c r="E66" s="238" t="e">
        <f>#REF!+#REF!</f>
        <v>#REF!</v>
      </c>
      <c r="F66" s="238" t="e">
        <f>#REF!+#REF!</f>
        <v>#REF!</v>
      </c>
      <c r="G66" s="181" t="e">
        <f t="shared" si="13"/>
        <v>#REF!</v>
      </c>
      <c r="H66" s="238" t="e">
        <f>#REF!+#REF!</f>
        <v>#REF!</v>
      </c>
      <c r="I66" s="238" t="e">
        <f>#REF!+#REF!</f>
        <v>#REF!</v>
      </c>
      <c r="J66" s="238" t="e">
        <f>#REF!+#REF!</f>
        <v>#REF!</v>
      </c>
      <c r="K66" s="181" t="e">
        <f t="shared" si="14"/>
        <v>#REF!</v>
      </c>
      <c r="L66" s="182" t="e">
        <f t="shared" si="15"/>
        <v>#REF!</v>
      </c>
      <c r="M66" s="238" t="e">
        <f>#REF!+#REF!</f>
        <v>#REF!</v>
      </c>
      <c r="N66" s="238" t="e">
        <f>#REF!+#REF!</f>
        <v>#REF!</v>
      </c>
      <c r="O66" s="238" t="e">
        <f>#REF!+#REF!</f>
        <v>#REF!</v>
      </c>
      <c r="P66" s="181" t="e">
        <f t="shared" si="16"/>
        <v>#REF!</v>
      </c>
      <c r="Q66" s="595" t="e">
        <v>#REF!</v>
      </c>
      <c r="R66" s="595" t="e">
        <v>#REF!</v>
      </c>
    </row>
    <row r="67" spans="1:18" s="194" customFormat="1" ht="15.75" hidden="1" customHeight="1" x14ac:dyDescent="0.25">
      <c r="A67" s="235" t="s">
        <v>672</v>
      </c>
      <c r="B67" s="236" t="s">
        <v>57</v>
      </c>
      <c r="C67" s="237" t="e">
        <f>#REF!+#REF!</f>
        <v>#REF!</v>
      </c>
      <c r="D67" s="238" t="e">
        <f>#REF!+#REF!</f>
        <v>#REF!</v>
      </c>
      <c r="E67" s="238" t="e">
        <f>#REF!+#REF!</f>
        <v>#REF!</v>
      </c>
      <c r="F67" s="238" t="e">
        <f>#REF!+#REF!</f>
        <v>#REF!</v>
      </c>
      <c r="G67" s="181" t="e">
        <f t="shared" si="13"/>
        <v>#REF!</v>
      </c>
      <c r="H67" s="238" t="e">
        <f>#REF!+#REF!</f>
        <v>#REF!</v>
      </c>
      <c r="I67" s="238" t="e">
        <f>#REF!+#REF!</f>
        <v>#REF!</v>
      </c>
      <c r="J67" s="238" t="e">
        <f>#REF!+#REF!</f>
        <v>#REF!</v>
      </c>
      <c r="K67" s="181" t="e">
        <f t="shared" si="14"/>
        <v>#REF!</v>
      </c>
      <c r="L67" s="182" t="e">
        <f t="shared" si="15"/>
        <v>#REF!</v>
      </c>
      <c r="M67" s="238" t="e">
        <f>#REF!+#REF!</f>
        <v>#REF!</v>
      </c>
      <c r="N67" s="238" t="e">
        <f>#REF!+#REF!</f>
        <v>#REF!</v>
      </c>
      <c r="O67" s="238" t="e">
        <f>#REF!+#REF!</f>
        <v>#REF!</v>
      </c>
      <c r="P67" s="181" t="e">
        <f t="shared" si="16"/>
        <v>#REF!</v>
      </c>
      <c r="Q67" s="595" t="e">
        <v>#REF!</v>
      </c>
      <c r="R67" s="595" t="e">
        <v>#REF!</v>
      </c>
    </row>
    <row r="68" spans="1:18" s="194" customFormat="1" ht="33" hidden="1" customHeight="1" x14ac:dyDescent="0.25">
      <c r="A68" s="239" t="s">
        <v>672</v>
      </c>
      <c r="B68" s="240" t="s">
        <v>58</v>
      </c>
      <c r="C68" s="237" t="e">
        <f>#REF!+#REF!</f>
        <v>#REF!</v>
      </c>
      <c r="D68" s="238" t="e">
        <f>#REF!+#REF!</f>
        <v>#REF!</v>
      </c>
      <c r="E68" s="238" t="e">
        <f>#REF!+#REF!</f>
        <v>#REF!</v>
      </c>
      <c r="F68" s="238" t="e">
        <f>#REF!+#REF!</f>
        <v>#REF!</v>
      </c>
      <c r="G68" s="181" t="e">
        <f t="shared" si="13"/>
        <v>#REF!</v>
      </c>
      <c r="H68" s="238" t="e">
        <f>#REF!+#REF!</f>
        <v>#REF!</v>
      </c>
      <c r="I68" s="238" t="e">
        <f>#REF!+#REF!</f>
        <v>#REF!</v>
      </c>
      <c r="J68" s="238" t="e">
        <f>#REF!+#REF!</f>
        <v>#REF!</v>
      </c>
      <c r="K68" s="181" t="e">
        <f t="shared" si="14"/>
        <v>#REF!</v>
      </c>
      <c r="L68" s="182" t="e">
        <f t="shared" si="15"/>
        <v>#REF!</v>
      </c>
      <c r="M68" s="238" t="e">
        <f>#REF!+#REF!</f>
        <v>#REF!</v>
      </c>
      <c r="N68" s="238" t="e">
        <f>#REF!+#REF!</f>
        <v>#REF!</v>
      </c>
      <c r="O68" s="238" t="e">
        <f>#REF!+#REF!</f>
        <v>#REF!</v>
      </c>
      <c r="P68" s="181" t="e">
        <f t="shared" si="16"/>
        <v>#REF!</v>
      </c>
      <c r="Q68" s="595" t="e">
        <v>#REF!</v>
      </c>
      <c r="R68" s="595" t="e">
        <v>#REF!</v>
      </c>
    </row>
    <row r="69" spans="1:18" s="194" customFormat="1" ht="15.75" hidden="1" customHeight="1" x14ac:dyDescent="0.25">
      <c r="A69" s="235" t="s">
        <v>672</v>
      </c>
      <c r="B69" s="236" t="s">
        <v>59</v>
      </c>
      <c r="C69" s="237" t="e">
        <f>#REF!+#REF!</f>
        <v>#REF!</v>
      </c>
      <c r="D69" s="238" t="e">
        <f>#REF!+#REF!</f>
        <v>#REF!</v>
      </c>
      <c r="E69" s="238" t="e">
        <f>#REF!+#REF!</f>
        <v>#REF!</v>
      </c>
      <c r="F69" s="238" t="e">
        <f>#REF!+#REF!</f>
        <v>#REF!</v>
      </c>
      <c r="G69" s="181" t="e">
        <f t="shared" si="13"/>
        <v>#REF!</v>
      </c>
      <c r="H69" s="238" t="e">
        <f>#REF!+#REF!</f>
        <v>#REF!</v>
      </c>
      <c r="I69" s="238" t="e">
        <f>#REF!+#REF!</f>
        <v>#REF!</v>
      </c>
      <c r="J69" s="238" t="e">
        <f>#REF!+#REF!</f>
        <v>#REF!</v>
      </c>
      <c r="K69" s="181" t="e">
        <f t="shared" si="14"/>
        <v>#REF!</v>
      </c>
      <c r="L69" s="182" t="e">
        <f t="shared" si="15"/>
        <v>#REF!</v>
      </c>
      <c r="M69" s="238" t="e">
        <f>#REF!+#REF!</f>
        <v>#REF!</v>
      </c>
      <c r="N69" s="238" t="e">
        <f>#REF!+#REF!</f>
        <v>#REF!</v>
      </c>
      <c r="O69" s="238" t="e">
        <f>#REF!+#REF!</f>
        <v>#REF!</v>
      </c>
      <c r="P69" s="181" t="e">
        <f t="shared" si="16"/>
        <v>#REF!</v>
      </c>
      <c r="Q69" s="595" t="e">
        <v>#REF!</v>
      </c>
      <c r="R69" s="595" t="e">
        <v>#REF!</v>
      </c>
    </row>
    <row r="70" spans="1:18" s="194" customFormat="1" ht="15.75" hidden="1" customHeight="1" x14ac:dyDescent="0.25">
      <c r="A70" s="235" t="s">
        <v>672</v>
      </c>
      <c r="B70" s="236" t="s">
        <v>60</v>
      </c>
      <c r="C70" s="237" t="e">
        <f>#REF!+#REF!</f>
        <v>#REF!</v>
      </c>
      <c r="D70" s="238" t="e">
        <f>#REF!+#REF!</f>
        <v>#REF!</v>
      </c>
      <c r="E70" s="238" t="e">
        <f>#REF!+#REF!</f>
        <v>#REF!</v>
      </c>
      <c r="F70" s="238" t="e">
        <f>#REF!+#REF!</f>
        <v>#REF!</v>
      </c>
      <c r="G70" s="181" t="e">
        <f t="shared" si="13"/>
        <v>#REF!</v>
      </c>
      <c r="H70" s="238" t="e">
        <f>#REF!+#REF!</f>
        <v>#REF!</v>
      </c>
      <c r="I70" s="238" t="e">
        <f>#REF!+#REF!</f>
        <v>#REF!</v>
      </c>
      <c r="J70" s="238" t="e">
        <f>#REF!+#REF!</f>
        <v>#REF!</v>
      </c>
      <c r="K70" s="181" t="e">
        <f t="shared" si="14"/>
        <v>#REF!</v>
      </c>
      <c r="L70" s="182" t="e">
        <f t="shared" si="15"/>
        <v>#REF!</v>
      </c>
      <c r="M70" s="238" t="e">
        <f>#REF!+#REF!</f>
        <v>#REF!</v>
      </c>
      <c r="N70" s="238" t="e">
        <f>#REF!+#REF!</f>
        <v>#REF!</v>
      </c>
      <c r="O70" s="238" t="e">
        <f>#REF!+#REF!</f>
        <v>#REF!</v>
      </c>
      <c r="P70" s="181" t="e">
        <f t="shared" si="16"/>
        <v>#REF!</v>
      </c>
      <c r="Q70" s="595" t="e">
        <v>#REF!</v>
      </c>
      <c r="R70" s="595" t="e">
        <v>#REF!</v>
      </c>
    </row>
    <row r="71" spans="1:18" s="194" customFormat="1" ht="15.75" hidden="1" customHeight="1" x14ac:dyDescent="0.25">
      <c r="A71" s="235" t="s">
        <v>672</v>
      </c>
      <c r="B71" s="236" t="s">
        <v>61</v>
      </c>
      <c r="C71" s="237" t="e">
        <f>#REF!+#REF!</f>
        <v>#REF!</v>
      </c>
      <c r="D71" s="238" t="e">
        <f>#REF!+#REF!</f>
        <v>#REF!</v>
      </c>
      <c r="E71" s="238" t="e">
        <f>#REF!+#REF!</f>
        <v>#REF!</v>
      </c>
      <c r="F71" s="238" t="e">
        <f>#REF!+#REF!</f>
        <v>#REF!</v>
      </c>
      <c r="G71" s="181" t="e">
        <f t="shared" si="13"/>
        <v>#REF!</v>
      </c>
      <c r="H71" s="238" t="e">
        <f>#REF!+#REF!</f>
        <v>#REF!</v>
      </c>
      <c r="I71" s="238" t="e">
        <f>#REF!+#REF!</f>
        <v>#REF!</v>
      </c>
      <c r="J71" s="238" t="e">
        <f>#REF!+#REF!</f>
        <v>#REF!</v>
      </c>
      <c r="K71" s="181" t="e">
        <f t="shared" si="14"/>
        <v>#REF!</v>
      </c>
      <c r="L71" s="182" t="e">
        <f t="shared" si="15"/>
        <v>#REF!</v>
      </c>
      <c r="M71" s="238" t="e">
        <f>#REF!+#REF!</f>
        <v>#REF!</v>
      </c>
      <c r="N71" s="238" t="e">
        <f>#REF!+#REF!</f>
        <v>#REF!</v>
      </c>
      <c r="O71" s="238" t="e">
        <f>#REF!+#REF!</f>
        <v>#REF!</v>
      </c>
      <c r="P71" s="181" t="e">
        <f t="shared" si="16"/>
        <v>#REF!</v>
      </c>
      <c r="Q71" s="595" t="e">
        <v>#REF!</v>
      </c>
      <c r="R71" s="595" t="e">
        <v>#REF!</v>
      </c>
    </row>
    <row r="72" spans="1:18" s="194" customFormat="1" ht="15.75" hidden="1" customHeight="1" x14ac:dyDescent="0.25">
      <c r="A72" s="235" t="s">
        <v>672</v>
      </c>
      <c r="B72" s="236" t="s">
        <v>62</v>
      </c>
      <c r="C72" s="237" t="e">
        <f>#REF!+#REF!</f>
        <v>#REF!</v>
      </c>
      <c r="D72" s="238" t="e">
        <f>#REF!+#REF!</f>
        <v>#REF!</v>
      </c>
      <c r="E72" s="238" t="e">
        <f>#REF!+#REF!</f>
        <v>#REF!</v>
      </c>
      <c r="F72" s="238" t="e">
        <f>#REF!+#REF!</f>
        <v>#REF!</v>
      </c>
      <c r="G72" s="181" t="e">
        <f t="shared" si="13"/>
        <v>#REF!</v>
      </c>
      <c r="H72" s="238" t="e">
        <f>#REF!+#REF!</f>
        <v>#REF!</v>
      </c>
      <c r="I72" s="238" t="e">
        <f>#REF!+#REF!</f>
        <v>#REF!</v>
      </c>
      <c r="J72" s="238" t="e">
        <f>#REF!+#REF!</f>
        <v>#REF!</v>
      </c>
      <c r="K72" s="181" t="e">
        <f t="shared" si="14"/>
        <v>#REF!</v>
      </c>
      <c r="L72" s="182" t="e">
        <f t="shared" si="15"/>
        <v>#REF!</v>
      </c>
      <c r="M72" s="238" t="e">
        <f>#REF!+#REF!</f>
        <v>#REF!</v>
      </c>
      <c r="N72" s="238" t="e">
        <f>#REF!+#REF!</f>
        <v>#REF!</v>
      </c>
      <c r="O72" s="238" t="e">
        <f>#REF!+#REF!</f>
        <v>#REF!</v>
      </c>
      <c r="P72" s="181" t="e">
        <f t="shared" si="16"/>
        <v>#REF!</v>
      </c>
      <c r="Q72" s="595" t="e">
        <v>#REF!</v>
      </c>
      <c r="R72" s="595" t="e">
        <v>#REF!</v>
      </c>
    </row>
    <row r="73" spans="1:18" s="194" customFormat="1" ht="15.75" x14ac:dyDescent="0.25">
      <c r="A73" s="235" t="s">
        <v>672</v>
      </c>
      <c r="B73" s="236" t="s">
        <v>63</v>
      </c>
      <c r="C73" s="237">
        <f>C78+C83</f>
        <v>20106100.640000001</v>
      </c>
      <c r="D73" s="237">
        <f t="shared" ref="D73:F73" si="17">D78+D83</f>
        <v>2560000</v>
      </c>
      <c r="E73" s="237">
        <f t="shared" si="17"/>
        <v>17342945.460000001</v>
      </c>
      <c r="F73" s="237">
        <f t="shared" si="17"/>
        <v>0</v>
      </c>
      <c r="G73" s="181">
        <f t="shared" si="13"/>
        <v>19902945.460000001</v>
      </c>
      <c r="H73" s="237">
        <f t="shared" ref="H73:J73" si="18">H78+H83</f>
        <v>2557000</v>
      </c>
      <c r="I73" s="237">
        <f t="shared" si="18"/>
        <v>15118243.460000001</v>
      </c>
      <c r="J73" s="237">
        <f t="shared" si="18"/>
        <v>0</v>
      </c>
      <c r="K73" s="181">
        <f t="shared" si="14"/>
        <v>17675243.460000001</v>
      </c>
      <c r="L73" s="182">
        <f t="shared" si="15"/>
        <v>0.88807174272385314</v>
      </c>
      <c r="M73" s="237">
        <f t="shared" ref="M73:O73" si="19">M78+M83</f>
        <v>2557000</v>
      </c>
      <c r="N73" s="237">
        <f t="shared" si="19"/>
        <v>13786916.91</v>
      </c>
      <c r="O73" s="237">
        <f t="shared" si="19"/>
        <v>1783100.6400000001</v>
      </c>
      <c r="P73" s="181">
        <f t="shared" si="16"/>
        <v>18127017.550000001</v>
      </c>
      <c r="Q73" s="604" t="e">
        <v>#DIV/0!</v>
      </c>
      <c r="R73" s="745"/>
    </row>
    <row r="74" spans="1:18" s="194" customFormat="1" ht="15.75" x14ac:dyDescent="0.25">
      <c r="A74" s="235" t="s">
        <v>672</v>
      </c>
      <c r="B74" s="236" t="s">
        <v>64</v>
      </c>
      <c r="C74" s="237">
        <f t="shared" ref="C74:F74" si="20">C79+C84</f>
        <v>2353000</v>
      </c>
      <c r="D74" s="237">
        <f t="shared" si="20"/>
        <v>0</v>
      </c>
      <c r="E74" s="237">
        <f t="shared" si="20"/>
        <v>1587755.18</v>
      </c>
      <c r="F74" s="237">
        <f t="shared" si="20"/>
        <v>1400000</v>
      </c>
      <c r="G74" s="181">
        <f t="shared" si="13"/>
        <v>2987755.1799999997</v>
      </c>
      <c r="H74" s="237">
        <f t="shared" ref="H74:J74" si="21">H79+H84</f>
        <v>0</v>
      </c>
      <c r="I74" s="237">
        <f t="shared" si="21"/>
        <v>1432655.1800000002</v>
      </c>
      <c r="J74" s="237">
        <f t="shared" si="21"/>
        <v>1400000</v>
      </c>
      <c r="K74" s="181">
        <f t="shared" si="14"/>
        <v>2832655.18</v>
      </c>
      <c r="L74" s="182">
        <f t="shared" si="15"/>
        <v>0.94808811610862986</v>
      </c>
      <c r="M74" s="237">
        <f t="shared" ref="M74:O74" si="22">M79+M84</f>
        <v>0</v>
      </c>
      <c r="N74" s="237">
        <f t="shared" si="22"/>
        <v>1344320.1800000002</v>
      </c>
      <c r="O74" s="237">
        <f t="shared" si="22"/>
        <v>1400000</v>
      </c>
      <c r="P74" s="181">
        <f t="shared" si="16"/>
        <v>2744320.18</v>
      </c>
      <c r="Q74" s="604" t="e">
        <v>#DIV/0!</v>
      </c>
      <c r="R74" s="745"/>
    </row>
    <row r="75" spans="1:18" s="194" customFormat="1" ht="15.75" x14ac:dyDescent="0.25">
      <c r="A75" s="221"/>
      <c r="B75" s="222"/>
      <c r="C75" s="241"/>
      <c r="D75" s="183"/>
      <c r="E75" s="183"/>
      <c r="F75" s="183"/>
      <c r="G75" s="183"/>
      <c r="H75" s="183"/>
      <c r="I75" s="183"/>
      <c r="J75" s="191"/>
      <c r="K75" s="183"/>
      <c r="L75" s="234"/>
      <c r="M75" s="183"/>
      <c r="N75" s="183"/>
      <c r="O75" s="191"/>
      <c r="P75" s="183"/>
      <c r="Q75" s="602"/>
      <c r="R75" s="602"/>
    </row>
    <row r="76" spans="1:18" s="194" customFormat="1" ht="15.75" x14ac:dyDescent="0.25">
      <c r="A76" s="248"/>
      <c r="B76" s="242" t="s">
        <v>670</v>
      </c>
      <c r="C76" s="243">
        <f>SUM(C78:C79)</f>
        <v>22076000</v>
      </c>
      <c r="D76" s="243">
        <f>SUM(D78:D79)</f>
        <v>2560000</v>
      </c>
      <c r="E76" s="243">
        <f>SUM(E78:E79)</f>
        <v>18547600</v>
      </c>
      <c r="F76" s="243">
        <f>SUM(F78:F79)</f>
        <v>1400000</v>
      </c>
      <c r="G76" s="243">
        <f>SUM(D76:F76)</f>
        <v>22507600</v>
      </c>
      <c r="H76" s="243">
        <f>SUM(H78:H79)</f>
        <v>2557000</v>
      </c>
      <c r="I76" s="243">
        <f>SUM(I78:I79)</f>
        <v>16167798</v>
      </c>
      <c r="J76" s="243">
        <f>SUM(J78:J79)</f>
        <v>1400000</v>
      </c>
      <c r="K76" s="243">
        <f>SUM(H76:J76)</f>
        <v>20124798</v>
      </c>
      <c r="L76" s="180">
        <f>+K76/G76</f>
        <v>0.89413344825747743</v>
      </c>
      <c r="M76" s="243">
        <f>SUM(M78:M79)</f>
        <v>2557000</v>
      </c>
      <c r="N76" s="243">
        <f>SUM(N78:N79)</f>
        <v>14748136.449999999</v>
      </c>
      <c r="O76" s="243">
        <f>SUM(O78:O79)</f>
        <v>2800000</v>
      </c>
      <c r="P76" s="243">
        <f>SUM(M76:O76)</f>
        <v>20105136.449999999</v>
      </c>
      <c r="Q76" s="605" t="e">
        <v>#DIV/0!</v>
      </c>
      <c r="R76" s="605"/>
    </row>
    <row r="77" spans="1:18" s="194" customFormat="1" ht="15.75" x14ac:dyDescent="0.25">
      <c r="A77" s="209"/>
      <c r="B77" s="210"/>
      <c r="C77" s="241"/>
      <c r="D77" s="183"/>
      <c r="E77" s="183"/>
      <c r="F77" s="183"/>
      <c r="G77" s="183"/>
      <c r="H77" s="183"/>
      <c r="I77" s="183"/>
      <c r="J77" s="191"/>
      <c r="K77" s="183"/>
      <c r="L77" s="234"/>
      <c r="M77" s="183"/>
      <c r="N77" s="183"/>
      <c r="O77" s="191"/>
      <c r="P77" s="183"/>
      <c r="Q77" s="602"/>
      <c r="R77" s="602"/>
    </row>
    <row r="78" spans="1:18" s="194" customFormat="1" ht="15.75" x14ac:dyDescent="0.25">
      <c r="A78" s="244" t="s">
        <v>672</v>
      </c>
      <c r="B78" s="245" t="s">
        <v>63</v>
      </c>
      <c r="C78" s="241">
        <f>'detailed fund u'!J89+'detailed fund u'!J58</f>
        <v>19723000</v>
      </c>
      <c r="D78" s="183">
        <f>'detailed fund u'!W58+'detailed fund u'!W89</f>
        <v>2560000</v>
      </c>
      <c r="E78" s="183">
        <f>'detailed fund u'!X58+'detailed fund u'!X89</f>
        <v>16959844.82</v>
      </c>
      <c r="F78" s="183">
        <f>'detailed fund u'!Y58+'detailed fund u'!Y89</f>
        <v>0</v>
      </c>
      <c r="G78" s="181">
        <f t="shared" ref="G78" si="23">SUM(D78:F78)</f>
        <v>19519844.82</v>
      </c>
      <c r="H78" s="183">
        <f>'detailed fund u'!AQ58+'detailed fund u'!AQ89</f>
        <v>2557000</v>
      </c>
      <c r="I78" s="183">
        <f>'detailed fund u'!AR58+'detailed fund u'!AR89</f>
        <v>14735142.82</v>
      </c>
      <c r="J78" s="183">
        <f>'detailed fund u'!AS58+'detailed fund u'!AS89</f>
        <v>0</v>
      </c>
      <c r="K78" s="181">
        <f t="shared" ref="K78:K79" si="24">SUM(H78:J78)</f>
        <v>17292142.82</v>
      </c>
      <c r="L78" s="182">
        <f t="shared" ref="L78:L79" si="25">+K78/G78</f>
        <v>0.88587501486090192</v>
      </c>
      <c r="M78" s="183">
        <f>+'detailed fund u'!BK58</f>
        <v>2557000</v>
      </c>
      <c r="N78" s="183">
        <f>+'detailed fund u'!BL58</f>
        <v>13403816.27</v>
      </c>
      <c r="O78" s="183">
        <f>+'detailed fund u'!BM57</f>
        <v>1400000</v>
      </c>
      <c r="P78" s="181">
        <f t="shared" ref="P78:P79" si="26">SUM(M78:O78)</f>
        <v>17360816.27</v>
      </c>
      <c r="Q78" s="604" t="e">
        <v>#DIV/0!</v>
      </c>
      <c r="R78" s="745"/>
    </row>
    <row r="79" spans="1:18" s="194" customFormat="1" ht="15.75" x14ac:dyDescent="0.25">
      <c r="A79" s="244" t="s">
        <v>672</v>
      </c>
      <c r="B79" s="245" t="s">
        <v>64</v>
      </c>
      <c r="C79" s="241">
        <f>'detailed fund u'!J87</f>
        <v>2353000</v>
      </c>
      <c r="D79" s="183">
        <f>'detailed fund u'!W87</f>
        <v>0</v>
      </c>
      <c r="E79" s="183">
        <f>'detailed fund u'!X87</f>
        <v>1587755.18</v>
      </c>
      <c r="F79" s="183">
        <f>'detailed fund u'!Y87</f>
        <v>1400000</v>
      </c>
      <c r="G79" s="181">
        <f>SUM(D79:F79)</f>
        <v>2987755.1799999997</v>
      </c>
      <c r="H79" s="183">
        <f>'detailed fund u'!AQ87</f>
        <v>0</v>
      </c>
      <c r="I79" s="183">
        <f>'detailed fund u'!AR87</f>
        <v>1432655.1800000002</v>
      </c>
      <c r="J79" s="183">
        <f>'detailed fund u'!AS87</f>
        <v>1400000</v>
      </c>
      <c r="K79" s="181">
        <f t="shared" si="24"/>
        <v>2832655.18</v>
      </c>
      <c r="L79" s="182">
        <f t="shared" si="25"/>
        <v>0.94808811610862986</v>
      </c>
      <c r="M79" s="183">
        <f>'detailed fund u'!BK87</f>
        <v>0</v>
      </c>
      <c r="N79" s="183">
        <f>+'detailed fund u'!BL87</f>
        <v>1344320.1800000002</v>
      </c>
      <c r="O79" s="183">
        <f>'detailed fund u'!BM87</f>
        <v>1400000</v>
      </c>
      <c r="P79" s="181">
        <f t="shared" si="26"/>
        <v>2744320.18</v>
      </c>
      <c r="Q79" s="604" t="e">
        <v>#DIV/0!</v>
      </c>
      <c r="R79" s="745"/>
    </row>
    <row r="80" spans="1:18" s="194" customFormat="1" ht="15.75" x14ac:dyDescent="0.25">
      <c r="A80" s="221"/>
      <c r="B80" s="222"/>
      <c r="C80" s="246"/>
      <c r="D80" s="186"/>
      <c r="E80" s="186"/>
      <c r="F80" s="186"/>
      <c r="G80" s="186"/>
      <c r="H80" s="186"/>
      <c r="I80" s="186"/>
      <c r="J80" s="192"/>
      <c r="K80" s="186"/>
      <c r="L80" s="247"/>
      <c r="M80" s="186"/>
      <c r="N80" s="186"/>
      <c r="O80" s="186"/>
      <c r="P80" s="186"/>
      <c r="Q80" s="603"/>
      <c r="R80" s="603"/>
    </row>
    <row r="81" spans="1:18" s="194" customFormat="1" ht="15.75" x14ac:dyDescent="0.25">
      <c r="A81" s="249"/>
      <c r="B81" s="242" t="s">
        <v>671</v>
      </c>
      <c r="C81" s="243">
        <f>SUM(C83:C84)</f>
        <v>383100.64</v>
      </c>
      <c r="D81" s="243">
        <f>SUM(D83:D84)</f>
        <v>0</v>
      </c>
      <c r="E81" s="243">
        <f>SUM(E83:E84)</f>
        <v>383100.64</v>
      </c>
      <c r="F81" s="243">
        <f>SUM(F83:F84)</f>
        <v>0</v>
      </c>
      <c r="G81" s="243">
        <f>SUM(D81:F81)</f>
        <v>383100.64</v>
      </c>
      <c r="H81" s="243">
        <f>SUM(H83:H84)</f>
        <v>0</v>
      </c>
      <c r="I81" s="243">
        <f>SUM(I83:I84)</f>
        <v>383100.64</v>
      </c>
      <c r="J81" s="243">
        <f>SUM(J83:J84)</f>
        <v>0</v>
      </c>
      <c r="K81" s="243">
        <f>SUM(H81:J81)</f>
        <v>383100.64</v>
      </c>
      <c r="L81" s="180">
        <f>+K81/G81</f>
        <v>1</v>
      </c>
      <c r="M81" s="243">
        <f>SUM(M83:M84)</f>
        <v>0</v>
      </c>
      <c r="N81" s="243">
        <f t="shared" ref="N81:O81" si="27">SUM(N83:N84)</f>
        <v>383100.64</v>
      </c>
      <c r="O81" s="243">
        <f t="shared" si="27"/>
        <v>383100.64</v>
      </c>
      <c r="P81" s="243">
        <f>SUM(M81:O81)</f>
        <v>766201.28</v>
      </c>
      <c r="Q81" s="605" t="e">
        <v>#DIV/0!</v>
      </c>
      <c r="R81" s="605"/>
    </row>
    <row r="82" spans="1:18" s="194" customFormat="1" ht="15.75" x14ac:dyDescent="0.25">
      <c r="A82" s="209"/>
      <c r="B82" s="210"/>
      <c r="C82" s="241"/>
      <c r="D82" s="183"/>
      <c r="E82" s="183"/>
      <c r="F82" s="183"/>
      <c r="G82" s="183"/>
      <c r="H82" s="183"/>
      <c r="I82" s="183"/>
      <c r="J82" s="191"/>
      <c r="K82" s="183"/>
      <c r="L82" s="234"/>
      <c r="M82" s="183"/>
      <c r="N82" s="183"/>
      <c r="O82" s="183"/>
      <c r="P82" s="183"/>
      <c r="Q82" s="602"/>
      <c r="R82" s="602"/>
    </row>
    <row r="83" spans="1:18" s="194" customFormat="1" ht="15.75" x14ac:dyDescent="0.25">
      <c r="A83" s="244" t="s">
        <v>672</v>
      </c>
      <c r="B83" s="245" t="s">
        <v>63</v>
      </c>
      <c r="C83" s="241">
        <f>'detailed fund u'!J209+'detailed fund u'!J240</f>
        <v>383100.64</v>
      </c>
      <c r="D83" s="183">
        <f>'detailed fund u'!W209+'detailed fund u'!W240</f>
        <v>0</v>
      </c>
      <c r="E83" s="183">
        <f>'detailed fund u'!X209+'detailed fund u'!X240</f>
        <v>383100.64</v>
      </c>
      <c r="F83" s="183">
        <f>'detailed fund u'!Y209+'detailed fund u'!Y240</f>
        <v>0</v>
      </c>
      <c r="G83" s="181">
        <f t="shared" ref="G83" si="28">SUM(D83:F83)</f>
        <v>383100.64</v>
      </c>
      <c r="H83" s="183">
        <f>'detailed fund u'!AQ209+'detailed fund u'!AQ240</f>
        <v>0</v>
      </c>
      <c r="I83" s="183">
        <f>'detailed fund u'!AR209+'detailed fund u'!AR240</f>
        <v>383100.64</v>
      </c>
      <c r="J83" s="183">
        <f>'detailed fund u'!AS209+'detailed fund u'!AS240</f>
        <v>0</v>
      </c>
      <c r="K83" s="181">
        <f t="shared" ref="K83:K84" si="29">SUM(H83:J83)</f>
        <v>383100.64</v>
      </c>
      <c r="L83" s="182">
        <f t="shared" ref="L83:L84" si="30">+K83/G83</f>
        <v>1</v>
      </c>
      <c r="M83" s="183"/>
      <c r="N83" s="183">
        <f>+'detailed fund u'!BN209</f>
        <v>383100.64</v>
      </c>
      <c r="O83" s="183">
        <f>'detailed fund u'!BN209+'detailed fund u'!BN240</f>
        <v>383100.64</v>
      </c>
      <c r="P83" s="181">
        <f t="shared" ref="P83:P84" si="31">SUM(M83:O83)</f>
        <v>766201.28</v>
      </c>
      <c r="Q83" s="604" t="e">
        <v>#DIV/0!</v>
      </c>
      <c r="R83" s="745"/>
    </row>
    <row r="84" spans="1:18" s="194" customFormat="1" ht="15.75" x14ac:dyDescent="0.25">
      <c r="A84" s="244" t="s">
        <v>672</v>
      </c>
      <c r="B84" s="245" t="s">
        <v>64</v>
      </c>
      <c r="C84" s="241">
        <f>'detailed fund u'!J238</f>
        <v>0</v>
      </c>
      <c r="D84" s="183">
        <f>'detailed fund u'!W238</f>
        <v>0</v>
      </c>
      <c r="E84" s="183">
        <f>'detailed fund u'!X238</f>
        <v>0</v>
      </c>
      <c r="F84" s="183">
        <f>'detailed fund u'!Y238</f>
        <v>0</v>
      </c>
      <c r="G84" s="181">
        <f>SUM(D84:F84)</f>
        <v>0</v>
      </c>
      <c r="H84" s="183">
        <f>'detailed fund u'!AQ238</f>
        <v>0</v>
      </c>
      <c r="I84" s="183">
        <f>'detailed fund u'!AR238</f>
        <v>0</v>
      </c>
      <c r="J84" s="183">
        <f>'detailed fund u'!AS238</f>
        <v>0</v>
      </c>
      <c r="K84" s="181">
        <f t="shared" si="29"/>
        <v>0</v>
      </c>
      <c r="L84" s="182" t="e">
        <f t="shared" si="30"/>
        <v>#DIV/0!</v>
      </c>
      <c r="M84" s="183">
        <f>'detailed fund u'!BM238</f>
        <v>0</v>
      </c>
      <c r="N84" s="183">
        <f>'detailed fund u'!BN238</f>
        <v>0</v>
      </c>
      <c r="O84" s="183">
        <f>'detailed fund u'!BO238</f>
        <v>0</v>
      </c>
      <c r="P84" s="181">
        <f t="shared" si="31"/>
        <v>0</v>
      </c>
      <c r="Q84" s="604" t="e">
        <v>#DIV/0!</v>
      </c>
      <c r="R84" s="745"/>
    </row>
    <row r="85" spans="1:18" s="194" customFormat="1" ht="15.75" x14ac:dyDescent="0.25">
      <c r="A85" s="221"/>
      <c r="B85" s="222"/>
      <c r="C85" s="246"/>
      <c r="D85" s="186"/>
      <c r="E85" s="186"/>
      <c r="F85" s="186"/>
      <c r="G85" s="186"/>
      <c r="H85" s="186"/>
      <c r="I85" s="186"/>
      <c r="J85" s="192"/>
      <c r="K85" s="186"/>
      <c r="L85" s="223"/>
      <c r="M85" s="186"/>
      <c r="N85" s="186"/>
      <c r="O85" s="192"/>
      <c r="P85" s="186"/>
      <c r="Q85" s="599"/>
      <c r="R85" s="599"/>
    </row>
    <row r="87" spans="1:18" x14ac:dyDescent="0.2">
      <c r="B87" s="11" t="s">
        <v>65</v>
      </c>
    </row>
    <row r="88" spans="1:18" x14ac:dyDescent="0.2">
      <c r="B88" s="12"/>
    </row>
    <row r="89" spans="1:18" x14ac:dyDescent="0.2">
      <c r="B89" s="13"/>
    </row>
    <row r="90" spans="1:18" x14ac:dyDescent="0.2">
      <c r="B90" s="14" t="s">
        <v>66</v>
      </c>
    </row>
  </sheetData>
  <mergeCells count="9">
    <mergeCell ref="A54:B54"/>
    <mergeCell ref="A55:B55"/>
    <mergeCell ref="C8:R8"/>
    <mergeCell ref="D11:R11"/>
    <mergeCell ref="A7:B7"/>
    <mergeCell ref="A9:B11"/>
    <mergeCell ref="D9:G9"/>
    <mergeCell ref="H9:K9"/>
    <mergeCell ref="M9:P9"/>
  </mergeCells>
  <printOptions horizontalCentered="1" verticalCentered="1"/>
  <pageMargins left="1.1499999999999999" right="0" top="0.25" bottom="0.25" header="0.3" footer="0.3"/>
  <pageSetup paperSize="9" scale="60" orientation="landscape" r:id="rId1"/>
  <headerFooter alignWithMargins="0">
    <oddFooter>&amp;L&amp;8&amp;Z&amp;F/&amp;F/&amp;D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CM301"/>
  <sheetViews>
    <sheetView topLeftCell="A5" workbookViewId="0">
      <pane xSplit="5" ySplit="11" topLeftCell="BZ291" activePane="bottomRight" state="frozen"/>
      <selection activeCell="A5" sqref="A5"/>
      <selection pane="topRight" activeCell="F5" sqref="F5"/>
      <selection pane="bottomLeft" activeCell="A16" sqref="A16"/>
      <selection pane="bottomRight" activeCell="CC301" sqref="CC301"/>
    </sheetView>
  </sheetViews>
  <sheetFormatPr defaultRowHeight="14.1" customHeight="1" x14ac:dyDescent="0.2"/>
  <cols>
    <col min="1" max="1" width="14" style="57" customWidth="1"/>
    <col min="2" max="2" width="8" style="58" customWidth="1"/>
    <col min="3" max="3" width="5.140625" style="59" customWidth="1"/>
    <col min="4" max="4" width="6.28515625" style="60" customWidth="1"/>
    <col min="5" max="5" width="43.5703125" style="59" customWidth="1"/>
    <col min="6" max="6" width="9.140625" style="59"/>
    <col min="7" max="7" width="14.85546875" style="61" customWidth="1"/>
    <col min="8" max="8" width="13.7109375" style="61" customWidth="1"/>
    <col min="9" max="9" width="13.42578125" style="61" customWidth="1"/>
    <col min="10" max="10" width="15" style="61" customWidth="1"/>
    <col min="11" max="11" width="11.140625" style="61" customWidth="1"/>
    <col min="12" max="12" width="14.140625" style="61" customWidth="1"/>
    <col min="13" max="13" width="9.28515625" style="61" customWidth="1"/>
    <col min="14" max="14" width="11.42578125" style="61" customWidth="1"/>
    <col min="15" max="18" width="9.28515625" style="61" customWidth="1"/>
    <col min="19" max="19" width="12.5703125" style="61" customWidth="1"/>
    <col min="20" max="20" width="11.85546875" style="61" customWidth="1"/>
    <col min="21" max="21" width="11.28515625" style="61" customWidth="1"/>
    <col min="22" max="22" width="12.140625" style="61" customWidth="1"/>
    <col min="23" max="23" width="15.42578125" style="61" customWidth="1"/>
    <col min="24" max="24" width="13.140625" style="61" customWidth="1"/>
    <col min="25" max="25" width="13" style="61" customWidth="1"/>
    <col min="26" max="26" width="14.85546875" style="61" customWidth="1"/>
    <col min="27" max="27" width="12.5703125" style="61" customWidth="1"/>
    <col min="28" max="28" width="12.42578125" style="61" customWidth="1"/>
    <col min="29" max="29" width="9.28515625" style="61" customWidth="1"/>
    <col min="30" max="30" width="14.140625" style="61" customWidth="1"/>
    <col min="31" max="31" width="12.5703125" style="61" customWidth="1"/>
    <col min="32" max="32" width="12.42578125" style="61" customWidth="1"/>
    <col min="33" max="33" width="9.28515625" style="61" customWidth="1"/>
    <col min="34" max="36" width="12.42578125" style="61" customWidth="1"/>
    <col min="37" max="37" width="12.7109375" style="61" customWidth="1"/>
    <col min="38" max="38" width="12.85546875" style="61" customWidth="1"/>
    <col min="39" max="39" width="13.85546875" style="61" customWidth="1"/>
    <col min="40" max="40" width="13.140625" style="61" customWidth="1"/>
    <col min="41" max="41" width="15.42578125" style="61" customWidth="1"/>
    <col min="42" max="43" width="13.140625" style="61" customWidth="1"/>
    <col min="44" max="44" width="13.7109375" style="61" customWidth="1"/>
    <col min="45" max="45" width="12.7109375" style="61" customWidth="1"/>
    <col min="46" max="46" width="13.140625" style="61" customWidth="1"/>
    <col min="47" max="47" width="13.5703125" style="61" hidden="1" customWidth="1"/>
    <col min="48" max="48" width="12.7109375" style="61" hidden="1" customWidth="1"/>
    <col min="49" max="49" width="9.28515625" style="61" hidden="1" customWidth="1"/>
    <col min="50" max="50" width="12.28515625" style="61" hidden="1" customWidth="1"/>
    <col min="51" max="52" width="12.140625" style="61" hidden="1" customWidth="1"/>
    <col min="53" max="53" width="9.28515625" style="61" hidden="1" customWidth="1"/>
    <col min="54" max="54" width="12.7109375" style="61" hidden="1" customWidth="1"/>
    <col min="55" max="55" width="12.28515625" style="61" hidden="1" customWidth="1"/>
    <col min="56" max="57" width="12.5703125" style="61" hidden="1" customWidth="1"/>
    <col min="58" max="58" width="13.5703125" style="61" hidden="1" customWidth="1"/>
    <col min="59" max="59" width="13.140625" style="61" customWidth="1"/>
    <col min="60" max="60" width="13.28515625" style="61" customWidth="1"/>
    <col min="61" max="61" width="13.85546875" style="61" customWidth="1"/>
    <col min="62" max="62" width="13.5703125" style="61" customWidth="1"/>
    <col min="63" max="63" width="13.42578125" style="61" customWidth="1"/>
    <col min="64" max="64" width="13.140625" style="61" customWidth="1"/>
    <col min="65" max="65" width="13.28515625" style="61" customWidth="1"/>
    <col min="66" max="66" width="13.140625" style="61" customWidth="1"/>
    <col min="67" max="67" width="12.28515625" style="61" customWidth="1"/>
    <col min="68" max="68" width="13.42578125" style="61" customWidth="1"/>
    <col min="69" max="69" width="15.28515625" style="61" customWidth="1"/>
    <col min="70" max="70" width="13.5703125" style="61" customWidth="1"/>
    <col min="71" max="71" width="13.85546875" style="61" customWidth="1"/>
    <col min="72" max="75" width="9.28515625" style="61" customWidth="1"/>
    <col min="76" max="76" width="12.85546875" style="61" customWidth="1"/>
    <col min="77" max="77" width="13.85546875" style="61" customWidth="1"/>
    <col min="78" max="78" width="12.28515625" style="61" customWidth="1"/>
    <col min="79" max="79" width="13.140625" style="61" customWidth="1"/>
    <col min="80" max="80" width="10" style="61" bestFit="1" customWidth="1"/>
    <col min="81" max="81" width="12.42578125" style="61" bestFit="1" customWidth="1"/>
    <col min="82" max="91" width="9.140625" style="61"/>
    <col min="92" max="16384" width="9.140625" style="59"/>
  </cols>
  <sheetData>
    <row r="1" spans="1:91" s="23" customFormat="1" ht="12.75" x14ac:dyDescent="0.2">
      <c r="A1" s="16" t="s">
        <v>67</v>
      </c>
      <c r="B1" s="17"/>
      <c r="C1" s="17"/>
      <c r="D1" s="18"/>
      <c r="E1" s="17"/>
      <c r="F1" s="17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1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</row>
    <row r="2" spans="1:91" s="32" customFormat="1" ht="12.75" x14ac:dyDescent="0.2">
      <c r="A2" s="24" t="s">
        <v>68</v>
      </c>
      <c r="B2" s="25"/>
      <c r="C2" s="25"/>
      <c r="D2" s="25"/>
      <c r="E2" s="25"/>
      <c r="F2" s="26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30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</row>
    <row r="3" spans="1:91" s="32" customFormat="1" ht="12.75" x14ac:dyDescent="0.2">
      <c r="A3" s="24" t="s">
        <v>818</v>
      </c>
      <c r="B3" s="25"/>
      <c r="C3" s="25"/>
      <c r="D3" s="25"/>
      <c r="E3" s="25"/>
      <c r="F3" s="26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33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</row>
    <row r="4" spans="1:91" s="23" customFormat="1" ht="12.75" x14ac:dyDescent="0.2">
      <c r="A4" s="34"/>
      <c r="B4" s="35"/>
      <c r="C4" s="35"/>
      <c r="D4" s="35"/>
      <c r="E4" s="35"/>
      <c r="F4" s="35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8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</row>
    <row r="5" spans="1:91" s="32" customFormat="1" ht="12.75" x14ac:dyDescent="0.2">
      <c r="A5" s="24" t="s">
        <v>69</v>
      </c>
      <c r="B5" s="25"/>
      <c r="C5" s="25" t="s">
        <v>70</v>
      </c>
      <c r="D5" s="39" t="s">
        <v>71</v>
      </c>
      <c r="E5" s="39"/>
      <c r="F5" s="35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40"/>
      <c r="BP5" s="27"/>
      <c r="BQ5" s="27"/>
      <c r="BR5" s="27"/>
      <c r="BS5" s="28"/>
      <c r="BT5" s="28"/>
      <c r="BU5" s="28"/>
      <c r="BV5" s="28"/>
      <c r="BW5" s="28"/>
      <c r="BX5" s="28"/>
      <c r="BY5" s="28"/>
      <c r="BZ5" s="28"/>
      <c r="CA5" s="33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</row>
    <row r="6" spans="1:91" s="32" customFormat="1" ht="12.75" x14ac:dyDescent="0.2">
      <c r="A6" s="24" t="s">
        <v>72</v>
      </c>
      <c r="B6" s="25"/>
      <c r="C6" s="25" t="s">
        <v>70</v>
      </c>
      <c r="D6" s="41" t="s">
        <v>73</v>
      </c>
      <c r="E6" s="39"/>
      <c r="F6" s="35"/>
      <c r="G6" s="27"/>
      <c r="H6" s="27"/>
      <c r="I6" s="27"/>
      <c r="J6" s="27"/>
      <c r="K6" s="27"/>
      <c r="L6" s="27"/>
      <c r="M6" s="27"/>
      <c r="N6" s="27"/>
      <c r="O6" s="27"/>
      <c r="P6" s="28"/>
      <c r="Q6" s="28"/>
      <c r="R6" s="27"/>
      <c r="S6" s="27"/>
      <c r="T6" s="42"/>
      <c r="U6" s="43" t="s">
        <v>74</v>
      </c>
      <c r="V6" s="42"/>
      <c r="W6" s="42"/>
      <c r="X6" s="43"/>
      <c r="Y6" s="27"/>
      <c r="Z6" s="27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40"/>
      <c r="BP6" s="27"/>
      <c r="BQ6" s="27"/>
      <c r="BR6" s="27"/>
      <c r="BS6" s="28"/>
      <c r="BT6" s="28"/>
      <c r="BU6" s="28"/>
      <c r="BV6" s="28"/>
      <c r="BW6" s="28"/>
      <c r="BX6" s="28"/>
      <c r="BY6" s="28"/>
      <c r="BZ6" s="28"/>
      <c r="CA6" s="33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</row>
    <row r="7" spans="1:91" s="52" customFormat="1" ht="12.75" x14ac:dyDescent="0.2">
      <c r="A7" s="44" t="s">
        <v>75</v>
      </c>
      <c r="B7" s="45"/>
      <c r="C7" s="25" t="s">
        <v>70</v>
      </c>
      <c r="D7" s="909" t="s">
        <v>739</v>
      </c>
      <c r="E7" s="909"/>
      <c r="F7" s="35"/>
      <c r="G7" s="46"/>
      <c r="H7" s="46"/>
      <c r="I7" s="46"/>
      <c r="J7" s="46"/>
      <c r="K7" s="46"/>
      <c r="L7" s="46"/>
      <c r="M7" s="46"/>
      <c r="N7" s="46"/>
      <c r="O7" s="27"/>
      <c r="P7" s="28"/>
      <c r="Q7" s="28"/>
      <c r="R7" s="46"/>
      <c r="S7" s="46"/>
      <c r="T7" s="47"/>
      <c r="U7" s="43" t="s">
        <v>76</v>
      </c>
      <c r="V7" s="47"/>
      <c r="W7" s="42"/>
      <c r="X7" s="43"/>
      <c r="Y7" s="46"/>
      <c r="Z7" s="46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9"/>
      <c r="BP7" s="46"/>
      <c r="BQ7" s="46"/>
      <c r="BR7" s="46"/>
      <c r="BS7" s="48"/>
      <c r="BT7" s="48"/>
      <c r="BU7" s="48"/>
      <c r="BV7" s="48"/>
      <c r="BW7" s="48"/>
      <c r="BX7" s="48"/>
      <c r="BY7" s="48"/>
      <c r="BZ7" s="48"/>
      <c r="CA7" s="50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</row>
    <row r="8" spans="1:91" s="32" customFormat="1" ht="12.75" x14ac:dyDescent="0.2">
      <c r="A8" s="24" t="s">
        <v>77</v>
      </c>
      <c r="B8" s="25"/>
      <c r="C8" s="25" t="s">
        <v>70</v>
      </c>
      <c r="D8" s="53" t="s">
        <v>740</v>
      </c>
      <c r="E8" s="39"/>
      <c r="F8" s="35"/>
      <c r="G8" s="27"/>
      <c r="H8" s="27"/>
      <c r="I8" s="27"/>
      <c r="J8" s="27"/>
      <c r="K8" s="27"/>
      <c r="L8" s="27"/>
      <c r="M8" s="27"/>
      <c r="N8" s="27"/>
      <c r="O8" s="46"/>
      <c r="P8" s="48"/>
      <c r="Q8" s="48"/>
      <c r="R8" s="27"/>
      <c r="S8" s="27"/>
      <c r="T8" s="42"/>
      <c r="U8" s="54" t="s">
        <v>78</v>
      </c>
      <c r="V8" s="42"/>
      <c r="W8" s="47"/>
      <c r="X8" s="54"/>
      <c r="Y8" s="27"/>
      <c r="Z8" s="27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33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</row>
    <row r="9" spans="1:91" s="32" customFormat="1" ht="12.75" x14ac:dyDescent="0.2">
      <c r="A9" s="24" t="s">
        <v>79</v>
      </c>
      <c r="B9" s="25"/>
      <c r="C9" s="25" t="s">
        <v>70</v>
      </c>
      <c r="D9" s="25" t="s">
        <v>2</v>
      </c>
      <c r="E9" s="25"/>
      <c r="F9" s="35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33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</row>
    <row r="10" spans="1:91" s="32" customFormat="1" ht="12.75" customHeight="1" x14ac:dyDescent="0.2">
      <c r="A10" s="910" t="s">
        <v>80</v>
      </c>
      <c r="B10" s="911"/>
      <c r="C10" s="911"/>
      <c r="D10" s="911"/>
      <c r="E10" s="912"/>
      <c r="F10" s="919" t="s">
        <v>81</v>
      </c>
      <c r="G10" s="922" t="s">
        <v>82</v>
      </c>
      <c r="H10" s="923"/>
      <c r="I10" s="923"/>
      <c r="J10" s="923"/>
      <c r="K10" s="923"/>
      <c r="L10" s="923"/>
      <c r="M10" s="923"/>
      <c r="N10" s="923"/>
      <c r="O10" s="923"/>
      <c r="P10" s="923"/>
      <c r="Q10" s="923"/>
      <c r="R10" s="923"/>
      <c r="S10" s="923"/>
      <c r="T10" s="923"/>
      <c r="U10" s="923"/>
      <c r="V10" s="923"/>
      <c r="W10" s="923"/>
      <c r="X10" s="923"/>
      <c r="Y10" s="923"/>
      <c r="Z10" s="924"/>
      <c r="AA10" s="922" t="s">
        <v>83</v>
      </c>
      <c r="AB10" s="923"/>
      <c r="AC10" s="923"/>
      <c r="AD10" s="923"/>
      <c r="AE10" s="923"/>
      <c r="AF10" s="923"/>
      <c r="AG10" s="923"/>
      <c r="AH10" s="923"/>
      <c r="AI10" s="923"/>
      <c r="AJ10" s="923"/>
      <c r="AK10" s="923"/>
      <c r="AL10" s="923"/>
      <c r="AM10" s="923"/>
      <c r="AN10" s="923"/>
      <c r="AO10" s="923"/>
      <c r="AP10" s="923"/>
      <c r="AQ10" s="923"/>
      <c r="AR10" s="923"/>
      <c r="AS10" s="923"/>
      <c r="AT10" s="924"/>
      <c r="AU10" s="922" t="s">
        <v>84</v>
      </c>
      <c r="AV10" s="923"/>
      <c r="AW10" s="923"/>
      <c r="AX10" s="923"/>
      <c r="AY10" s="923"/>
      <c r="AZ10" s="923"/>
      <c r="BA10" s="923"/>
      <c r="BB10" s="923"/>
      <c r="BC10" s="923"/>
      <c r="BD10" s="923"/>
      <c r="BE10" s="923"/>
      <c r="BF10" s="923"/>
      <c r="BG10" s="923"/>
      <c r="BH10" s="923"/>
      <c r="BI10" s="923"/>
      <c r="BJ10" s="923"/>
      <c r="BK10" s="923"/>
      <c r="BL10" s="923"/>
      <c r="BM10" s="923"/>
      <c r="BN10" s="924"/>
      <c r="BO10" s="931" t="s">
        <v>85</v>
      </c>
      <c r="BP10" s="931"/>
      <c r="BQ10" s="931"/>
      <c r="BR10" s="931"/>
      <c r="BS10" s="931"/>
      <c r="BT10" s="931"/>
      <c r="BU10" s="931"/>
      <c r="BV10" s="931"/>
      <c r="BW10" s="931"/>
      <c r="BX10" s="931"/>
      <c r="BY10" s="931"/>
      <c r="BZ10" s="931"/>
      <c r="CA10" s="932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</row>
    <row r="11" spans="1:91" s="32" customFormat="1" ht="12.75" customHeight="1" x14ac:dyDescent="0.2">
      <c r="A11" s="913"/>
      <c r="B11" s="914"/>
      <c r="C11" s="914"/>
      <c r="D11" s="914"/>
      <c r="E11" s="915"/>
      <c r="F11" s="920"/>
      <c r="G11" s="925" t="s">
        <v>86</v>
      </c>
      <c r="H11" s="926"/>
      <c r="I11" s="926"/>
      <c r="J11" s="927"/>
      <c r="K11" s="925" t="s">
        <v>87</v>
      </c>
      <c r="L11" s="926"/>
      <c r="M11" s="926"/>
      <c r="N11" s="927"/>
      <c r="O11" s="925" t="s">
        <v>88</v>
      </c>
      <c r="P11" s="926"/>
      <c r="Q11" s="926"/>
      <c r="R11" s="927"/>
      <c r="S11" s="925" t="s">
        <v>89</v>
      </c>
      <c r="T11" s="926"/>
      <c r="U11" s="926"/>
      <c r="V11" s="927"/>
      <c r="W11" s="925" t="s">
        <v>90</v>
      </c>
      <c r="X11" s="926"/>
      <c r="Y11" s="926"/>
      <c r="Z11" s="927"/>
      <c r="AA11" s="925" t="s">
        <v>91</v>
      </c>
      <c r="AB11" s="926"/>
      <c r="AC11" s="926"/>
      <c r="AD11" s="927"/>
      <c r="AE11" s="925" t="s">
        <v>92</v>
      </c>
      <c r="AF11" s="926"/>
      <c r="AG11" s="926"/>
      <c r="AH11" s="927"/>
      <c r="AI11" s="925" t="s">
        <v>93</v>
      </c>
      <c r="AJ11" s="926"/>
      <c r="AK11" s="926"/>
      <c r="AL11" s="927"/>
      <c r="AM11" s="925" t="s">
        <v>94</v>
      </c>
      <c r="AN11" s="926"/>
      <c r="AO11" s="926"/>
      <c r="AP11" s="927"/>
      <c r="AQ11" s="925" t="s">
        <v>95</v>
      </c>
      <c r="AR11" s="926"/>
      <c r="AS11" s="926"/>
      <c r="AT11" s="927"/>
      <c r="AU11" s="925" t="s">
        <v>91</v>
      </c>
      <c r="AV11" s="926"/>
      <c r="AW11" s="926"/>
      <c r="AX11" s="927"/>
      <c r="AY11" s="925" t="s">
        <v>92</v>
      </c>
      <c r="AZ11" s="926"/>
      <c r="BA11" s="926"/>
      <c r="BB11" s="927"/>
      <c r="BC11" s="925" t="s">
        <v>93</v>
      </c>
      <c r="BD11" s="926"/>
      <c r="BE11" s="926"/>
      <c r="BF11" s="927"/>
      <c r="BG11" s="925" t="s">
        <v>94</v>
      </c>
      <c r="BH11" s="926"/>
      <c r="BI11" s="926"/>
      <c r="BJ11" s="927"/>
      <c r="BK11" s="925" t="s">
        <v>95</v>
      </c>
      <c r="BL11" s="926"/>
      <c r="BM11" s="926"/>
      <c r="BN11" s="927"/>
      <c r="BO11" s="933" t="s">
        <v>96</v>
      </c>
      <c r="BP11" s="925" t="s">
        <v>97</v>
      </c>
      <c r="BQ11" s="926"/>
      <c r="BR11" s="926"/>
      <c r="BS11" s="927"/>
      <c r="BT11" s="935" t="s">
        <v>98</v>
      </c>
      <c r="BU11" s="936"/>
      <c r="BV11" s="936"/>
      <c r="BW11" s="936"/>
      <c r="BX11" s="936"/>
      <c r="BY11" s="936"/>
      <c r="BZ11" s="936"/>
      <c r="CA11" s="937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</row>
    <row r="12" spans="1:91" s="56" customFormat="1" ht="15" customHeight="1" x14ac:dyDescent="0.2">
      <c r="A12" s="916"/>
      <c r="B12" s="917"/>
      <c r="C12" s="917"/>
      <c r="D12" s="917"/>
      <c r="E12" s="918"/>
      <c r="F12" s="921"/>
      <c r="G12" s="928"/>
      <c r="H12" s="929"/>
      <c r="I12" s="929"/>
      <c r="J12" s="930"/>
      <c r="K12" s="928"/>
      <c r="L12" s="929"/>
      <c r="M12" s="929"/>
      <c r="N12" s="930"/>
      <c r="O12" s="928"/>
      <c r="P12" s="929"/>
      <c r="Q12" s="929"/>
      <c r="R12" s="930"/>
      <c r="S12" s="928"/>
      <c r="T12" s="929"/>
      <c r="U12" s="929"/>
      <c r="V12" s="930"/>
      <c r="W12" s="928"/>
      <c r="X12" s="929"/>
      <c r="Y12" s="929"/>
      <c r="Z12" s="930"/>
      <c r="AA12" s="928"/>
      <c r="AB12" s="929"/>
      <c r="AC12" s="929"/>
      <c r="AD12" s="930"/>
      <c r="AE12" s="928"/>
      <c r="AF12" s="929"/>
      <c r="AG12" s="929"/>
      <c r="AH12" s="930"/>
      <c r="AI12" s="928"/>
      <c r="AJ12" s="929"/>
      <c r="AK12" s="929"/>
      <c r="AL12" s="930"/>
      <c r="AM12" s="928"/>
      <c r="AN12" s="929"/>
      <c r="AO12" s="929"/>
      <c r="AP12" s="930"/>
      <c r="AQ12" s="928"/>
      <c r="AR12" s="929"/>
      <c r="AS12" s="929"/>
      <c r="AT12" s="930"/>
      <c r="AU12" s="928"/>
      <c r="AV12" s="929"/>
      <c r="AW12" s="929"/>
      <c r="AX12" s="930"/>
      <c r="AY12" s="928"/>
      <c r="AZ12" s="929"/>
      <c r="BA12" s="929"/>
      <c r="BB12" s="930"/>
      <c r="BC12" s="928"/>
      <c r="BD12" s="929"/>
      <c r="BE12" s="929"/>
      <c r="BF12" s="930"/>
      <c r="BG12" s="928"/>
      <c r="BH12" s="929"/>
      <c r="BI12" s="929"/>
      <c r="BJ12" s="930"/>
      <c r="BK12" s="928"/>
      <c r="BL12" s="929"/>
      <c r="BM12" s="929"/>
      <c r="BN12" s="930"/>
      <c r="BO12" s="934"/>
      <c r="BP12" s="928"/>
      <c r="BQ12" s="929"/>
      <c r="BR12" s="929"/>
      <c r="BS12" s="930"/>
      <c r="BT12" s="938" t="s">
        <v>99</v>
      </c>
      <c r="BU12" s="939"/>
      <c r="BV12" s="939"/>
      <c r="BW12" s="940"/>
      <c r="BX12" s="938" t="s">
        <v>100</v>
      </c>
      <c r="BY12" s="939"/>
      <c r="BZ12" s="939"/>
      <c r="CA12" s="941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</row>
    <row r="13" spans="1:91" s="56" customFormat="1" ht="12.75" x14ac:dyDescent="0.2">
      <c r="A13" s="571"/>
      <c r="B13" s="572"/>
      <c r="C13" s="572"/>
      <c r="D13" s="572"/>
      <c r="E13" s="573"/>
      <c r="F13" s="505"/>
      <c r="G13" s="569" t="s">
        <v>11</v>
      </c>
      <c r="H13" s="570" t="s">
        <v>12</v>
      </c>
      <c r="I13" s="569" t="s">
        <v>13</v>
      </c>
      <c r="J13" s="569" t="s">
        <v>14</v>
      </c>
      <c r="K13" s="569" t="s">
        <v>11</v>
      </c>
      <c r="L13" s="569" t="s">
        <v>12</v>
      </c>
      <c r="M13" s="569" t="s">
        <v>13</v>
      </c>
      <c r="N13" s="569" t="s">
        <v>14</v>
      </c>
      <c r="O13" s="569" t="s">
        <v>11</v>
      </c>
      <c r="P13" s="569" t="s">
        <v>12</v>
      </c>
      <c r="Q13" s="569" t="s">
        <v>13</v>
      </c>
      <c r="R13" s="569" t="s">
        <v>14</v>
      </c>
      <c r="S13" s="569" t="s">
        <v>11</v>
      </c>
      <c r="T13" s="569" t="s">
        <v>12</v>
      </c>
      <c r="U13" s="569" t="s">
        <v>13</v>
      </c>
      <c r="V13" s="569" t="s">
        <v>14</v>
      </c>
      <c r="W13" s="569" t="s">
        <v>11</v>
      </c>
      <c r="X13" s="569" t="s">
        <v>12</v>
      </c>
      <c r="Y13" s="569" t="s">
        <v>13</v>
      </c>
      <c r="Z13" s="569" t="s">
        <v>14</v>
      </c>
      <c r="AA13" s="569" t="s">
        <v>11</v>
      </c>
      <c r="AB13" s="569" t="s">
        <v>12</v>
      </c>
      <c r="AC13" s="569" t="s">
        <v>13</v>
      </c>
      <c r="AD13" s="569" t="s">
        <v>14</v>
      </c>
      <c r="AE13" s="569" t="s">
        <v>11</v>
      </c>
      <c r="AF13" s="569" t="s">
        <v>12</v>
      </c>
      <c r="AG13" s="569" t="s">
        <v>13</v>
      </c>
      <c r="AH13" s="569" t="s">
        <v>14</v>
      </c>
      <c r="AI13" s="569" t="s">
        <v>11</v>
      </c>
      <c r="AJ13" s="569" t="s">
        <v>12</v>
      </c>
      <c r="AK13" s="569" t="s">
        <v>13</v>
      </c>
      <c r="AL13" s="569" t="s">
        <v>14</v>
      </c>
      <c r="AM13" s="569" t="s">
        <v>11</v>
      </c>
      <c r="AN13" s="569" t="s">
        <v>12</v>
      </c>
      <c r="AO13" s="569" t="s">
        <v>13</v>
      </c>
      <c r="AP13" s="569" t="s">
        <v>14</v>
      </c>
      <c r="AQ13" s="569" t="s">
        <v>11</v>
      </c>
      <c r="AR13" s="569" t="s">
        <v>12</v>
      </c>
      <c r="AS13" s="569" t="s">
        <v>13</v>
      </c>
      <c r="AT13" s="569" t="s">
        <v>14</v>
      </c>
      <c r="AU13" s="569" t="s">
        <v>11</v>
      </c>
      <c r="AV13" s="569" t="s">
        <v>12</v>
      </c>
      <c r="AW13" s="569" t="s">
        <v>13</v>
      </c>
      <c r="AX13" s="569" t="s">
        <v>14</v>
      </c>
      <c r="AY13" s="569" t="s">
        <v>11</v>
      </c>
      <c r="AZ13" s="569" t="s">
        <v>12</v>
      </c>
      <c r="BA13" s="569" t="s">
        <v>13</v>
      </c>
      <c r="BB13" s="569" t="s">
        <v>14</v>
      </c>
      <c r="BC13" s="569" t="s">
        <v>11</v>
      </c>
      <c r="BD13" s="569" t="s">
        <v>12</v>
      </c>
      <c r="BE13" s="569" t="s">
        <v>13</v>
      </c>
      <c r="BF13" s="569" t="s">
        <v>14</v>
      </c>
      <c r="BG13" s="569" t="s">
        <v>11</v>
      </c>
      <c r="BH13" s="569" t="s">
        <v>12</v>
      </c>
      <c r="BI13" s="569" t="s">
        <v>13</v>
      </c>
      <c r="BJ13" s="569" t="s">
        <v>14</v>
      </c>
      <c r="BK13" s="569" t="s">
        <v>11</v>
      </c>
      <c r="BL13" s="569" t="s">
        <v>12</v>
      </c>
      <c r="BM13" s="569" t="s">
        <v>13</v>
      </c>
      <c r="BN13" s="569" t="s">
        <v>14</v>
      </c>
      <c r="BO13" s="569"/>
      <c r="BP13" s="569" t="s">
        <v>11</v>
      </c>
      <c r="BQ13" s="569" t="s">
        <v>12</v>
      </c>
      <c r="BR13" s="569" t="s">
        <v>13</v>
      </c>
      <c r="BS13" s="569" t="s">
        <v>14</v>
      </c>
      <c r="BT13" s="569" t="s">
        <v>11</v>
      </c>
      <c r="BU13" s="569" t="s">
        <v>12</v>
      </c>
      <c r="BV13" s="569" t="s">
        <v>13</v>
      </c>
      <c r="BW13" s="569" t="s">
        <v>14</v>
      </c>
      <c r="BX13" s="569" t="s">
        <v>11</v>
      </c>
      <c r="BY13" s="569" t="s">
        <v>12</v>
      </c>
      <c r="BZ13" s="569" t="s">
        <v>13</v>
      </c>
      <c r="CA13" s="506" t="s">
        <v>14</v>
      </c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</row>
    <row r="14" spans="1:91" s="56" customFormat="1" ht="25.5" customHeight="1" x14ac:dyDescent="0.2">
      <c r="A14" s="904" t="s">
        <v>675</v>
      </c>
      <c r="B14" s="905"/>
      <c r="C14" s="905"/>
      <c r="D14" s="905"/>
      <c r="E14" s="905"/>
      <c r="F14" s="107"/>
      <c r="G14" s="150">
        <f t="shared" ref="G14:AL14" si="0">G15+G145+G153</f>
        <v>19093300</v>
      </c>
      <c r="H14" s="150">
        <f t="shared" si="0"/>
        <v>29212000</v>
      </c>
      <c r="I14" s="150">
        <f t="shared" si="0"/>
        <v>1400000</v>
      </c>
      <c r="J14" s="150">
        <f t="shared" si="0"/>
        <v>49705300</v>
      </c>
      <c r="K14" s="150">
        <f t="shared" si="0"/>
        <v>975000</v>
      </c>
      <c r="L14" s="150">
        <f t="shared" si="0"/>
        <v>-975000</v>
      </c>
      <c r="M14" s="150">
        <f t="shared" si="0"/>
        <v>0</v>
      </c>
      <c r="N14" s="150">
        <f t="shared" si="0"/>
        <v>0</v>
      </c>
      <c r="O14" s="150">
        <f t="shared" si="0"/>
        <v>0</v>
      </c>
      <c r="P14" s="150">
        <f t="shared" si="0"/>
        <v>0</v>
      </c>
      <c r="Q14" s="150">
        <f t="shared" si="0"/>
        <v>0</v>
      </c>
      <c r="R14" s="150">
        <f t="shared" si="0"/>
        <v>0</v>
      </c>
      <c r="S14" s="150">
        <f t="shared" si="0"/>
        <v>2581793.06</v>
      </c>
      <c r="T14" s="150">
        <f t="shared" si="0"/>
        <v>617216</v>
      </c>
      <c r="U14" s="150">
        <f t="shared" si="0"/>
        <v>190000</v>
      </c>
      <c r="V14" s="150">
        <f t="shared" si="0"/>
        <v>3389009.06</v>
      </c>
      <c r="W14" s="150">
        <f t="shared" si="0"/>
        <v>22650093.059999999</v>
      </c>
      <c r="X14" s="150">
        <f t="shared" si="0"/>
        <v>28854216</v>
      </c>
      <c r="Y14" s="150">
        <f t="shared" si="0"/>
        <v>1590000</v>
      </c>
      <c r="Z14" s="108">
        <f t="shared" si="0"/>
        <v>53094309.060000002</v>
      </c>
      <c r="AA14" s="150">
        <f t="shared" si="0"/>
        <v>5651194.3200000003</v>
      </c>
      <c r="AB14" s="150">
        <f t="shared" si="0"/>
        <v>2504663.2399999998</v>
      </c>
      <c r="AC14" s="150">
        <f t="shared" si="0"/>
        <v>0</v>
      </c>
      <c r="AD14" s="150">
        <f t="shared" si="0"/>
        <v>8155857.5599999996</v>
      </c>
      <c r="AE14" s="150">
        <f t="shared" si="0"/>
        <v>5267178.7</v>
      </c>
      <c r="AF14" s="150">
        <f t="shared" si="0"/>
        <v>2175769.1999999997</v>
      </c>
      <c r="AG14" s="150">
        <f t="shared" si="0"/>
        <v>0</v>
      </c>
      <c r="AH14" s="150">
        <f t="shared" si="0"/>
        <v>7442947.9000000004</v>
      </c>
      <c r="AI14" s="150">
        <f t="shared" si="0"/>
        <v>4844776.1100000003</v>
      </c>
      <c r="AJ14" s="150">
        <f t="shared" si="0"/>
        <v>4664923.3</v>
      </c>
      <c r="AK14" s="150">
        <f t="shared" si="0"/>
        <v>1532049.84</v>
      </c>
      <c r="AL14" s="150">
        <f t="shared" si="0"/>
        <v>11041749.25</v>
      </c>
      <c r="AM14" s="150">
        <f t="shared" ref="AM14:BR14" si="1">AM15+AM145+AM153</f>
        <v>6580580.9299999997</v>
      </c>
      <c r="AN14" s="150">
        <f t="shared" si="1"/>
        <v>15001296.25</v>
      </c>
      <c r="AO14" s="150">
        <f t="shared" si="1"/>
        <v>0</v>
      </c>
      <c r="AP14" s="150">
        <f t="shared" si="1"/>
        <v>21581877.180000003</v>
      </c>
      <c r="AQ14" s="150">
        <f t="shared" si="1"/>
        <v>22343730.059999999</v>
      </c>
      <c r="AR14" s="150">
        <f t="shared" si="1"/>
        <v>24346651.990000002</v>
      </c>
      <c r="AS14" s="150">
        <f t="shared" si="1"/>
        <v>1532049.84</v>
      </c>
      <c r="AT14" s="108">
        <f t="shared" si="1"/>
        <v>48222431.889999993</v>
      </c>
      <c r="AU14" s="150">
        <f t="shared" si="1"/>
        <v>4298259.6399999997</v>
      </c>
      <c r="AV14" s="150">
        <f t="shared" si="1"/>
        <v>2277759.3200000003</v>
      </c>
      <c r="AW14" s="150">
        <f t="shared" si="1"/>
        <v>0</v>
      </c>
      <c r="AX14" s="150">
        <f t="shared" si="1"/>
        <v>6576018.959999999</v>
      </c>
      <c r="AY14" s="150">
        <f t="shared" si="1"/>
        <v>5723381.3400000008</v>
      </c>
      <c r="AZ14" s="150">
        <f t="shared" si="1"/>
        <v>2401773.1199999996</v>
      </c>
      <c r="BA14" s="150">
        <f t="shared" si="1"/>
        <v>0</v>
      </c>
      <c r="BB14" s="150">
        <f t="shared" si="1"/>
        <v>8125154.4600000009</v>
      </c>
      <c r="BC14" s="150">
        <f t="shared" si="1"/>
        <v>4950205.63</v>
      </c>
      <c r="BD14" s="150">
        <f t="shared" si="1"/>
        <v>4445848.3</v>
      </c>
      <c r="BE14" s="150">
        <f t="shared" si="1"/>
        <v>1532049.84</v>
      </c>
      <c r="BF14" s="150">
        <f t="shared" si="1"/>
        <v>10928103.77</v>
      </c>
      <c r="BG14" s="150">
        <f t="shared" si="1"/>
        <v>7371882.4500000002</v>
      </c>
      <c r="BH14" s="150">
        <f t="shared" si="1"/>
        <v>12663705.800000001</v>
      </c>
      <c r="BI14" s="150">
        <f t="shared" si="1"/>
        <v>0</v>
      </c>
      <c r="BJ14" s="150">
        <f t="shared" si="1"/>
        <v>20035588.25</v>
      </c>
      <c r="BK14" s="150">
        <f t="shared" si="1"/>
        <v>22343729.059999999</v>
      </c>
      <c r="BL14" s="150">
        <f t="shared" si="1"/>
        <v>21789086.539999995</v>
      </c>
      <c r="BM14" s="150">
        <f t="shared" si="1"/>
        <v>1532049.84</v>
      </c>
      <c r="BN14" s="150">
        <f t="shared" si="1"/>
        <v>45664865.43999999</v>
      </c>
      <c r="BO14" s="166">
        <f t="shared" si="1"/>
        <v>0</v>
      </c>
      <c r="BP14" s="150">
        <f t="shared" si="1"/>
        <v>306362.99999999942</v>
      </c>
      <c r="BQ14" s="150">
        <f t="shared" si="1"/>
        <v>4507564.01</v>
      </c>
      <c r="BR14" s="150">
        <f t="shared" si="1"/>
        <v>57950.16</v>
      </c>
      <c r="BS14" s="108">
        <f t="shared" ref="BS14:CA14" si="2">BS15+BS145+BS153</f>
        <v>4871877.169999999</v>
      </c>
      <c r="BT14" s="150">
        <f t="shared" si="2"/>
        <v>1</v>
      </c>
      <c r="BU14" s="150">
        <f t="shared" si="2"/>
        <v>0</v>
      </c>
      <c r="BV14" s="150">
        <f t="shared" si="2"/>
        <v>0</v>
      </c>
      <c r="BW14" s="150">
        <f t="shared" si="2"/>
        <v>1</v>
      </c>
      <c r="BX14" s="150">
        <f t="shared" si="2"/>
        <v>-3.4924596548080444E-10</v>
      </c>
      <c r="BY14" s="150">
        <f t="shared" si="2"/>
        <v>2557565.4500000016</v>
      </c>
      <c r="BZ14" s="150">
        <f t="shared" si="2"/>
        <v>0</v>
      </c>
      <c r="CA14" s="108">
        <f t="shared" si="2"/>
        <v>2557565.4500000011</v>
      </c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</row>
    <row r="15" spans="1:91" ht="14.1" customHeight="1" x14ac:dyDescent="0.2">
      <c r="A15" s="106" t="s">
        <v>668</v>
      </c>
      <c r="B15" s="102"/>
      <c r="C15" s="103"/>
      <c r="D15" s="104"/>
      <c r="E15" s="103"/>
      <c r="F15" s="103"/>
      <c r="G15" s="151">
        <f t="shared" ref="G15:AL15" si="3">G16+G26+G30</f>
        <v>16976000</v>
      </c>
      <c r="H15" s="151">
        <f t="shared" si="3"/>
        <v>29212000</v>
      </c>
      <c r="I15" s="151">
        <f t="shared" si="3"/>
        <v>1400000</v>
      </c>
      <c r="J15" s="151">
        <f t="shared" si="3"/>
        <v>47588000</v>
      </c>
      <c r="K15" s="151">
        <f t="shared" si="3"/>
        <v>975000</v>
      </c>
      <c r="L15" s="151">
        <f t="shared" si="3"/>
        <v>-975000</v>
      </c>
      <c r="M15" s="151">
        <f t="shared" si="3"/>
        <v>0</v>
      </c>
      <c r="N15" s="151">
        <f t="shared" si="3"/>
        <v>0</v>
      </c>
      <c r="O15" s="151">
        <f t="shared" si="3"/>
        <v>0</v>
      </c>
      <c r="P15" s="151">
        <f t="shared" si="3"/>
        <v>0</v>
      </c>
      <c r="Q15" s="151">
        <f t="shared" si="3"/>
        <v>0</v>
      </c>
      <c r="R15" s="151">
        <f t="shared" si="3"/>
        <v>0</v>
      </c>
      <c r="S15" s="151">
        <f t="shared" si="3"/>
        <v>218365.06</v>
      </c>
      <c r="T15" s="151">
        <f t="shared" si="3"/>
        <v>369216</v>
      </c>
      <c r="U15" s="151">
        <f t="shared" si="3"/>
        <v>190000</v>
      </c>
      <c r="V15" s="151">
        <f t="shared" si="3"/>
        <v>777581.06</v>
      </c>
      <c r="W15" s="151">
        <f t="shared" si="3"/>
        <v>18169365.059999999</v>
      </c>
      <c r="X15" s="151">
        <f>X16+X26+X30</f>
        <v>28606216</v>
      </c>
      <c r="Y15" s="151">
        <f t="shared" si="3"/>
        <v>1590000</v>
      </c>
      <c r="Z15" s="105">
        <f t="shared" si="3"/>
        <v>48365581.060000002</v>
      </c>
      <c r="AA15" s="151">
        <f t="shared" si="3"/>
        <v>5113836</v>
      </c>
      <c r="AB15" s="151">
        <f t="shared" si="3"/>
        <v>2504663.2399999998</v>
      </c>
      <c r="AC15" s="151">
        <f t="shared" si="3"/>
        <v>0</v>
      </c>
      <c r="AD15" s="151">
        <f t="shared" si="3"/>
        <v>7618499.2399999993</v>
      </c>
      <c r="AE15" s="151">
        <f t="shared" si="3"/>
        <v>4862404.8</v>
      </c>
      <c r="AF15" s="151">
        <f t="shared" si="3"/>
        <v>2175769.1999999997</v>
      </c>
      <c r="AG15" s="151">
        <f t="shared" si="3"/>
        <v>0</v>
      </c>
      <c r="AH15" s="151">
        <f t="shared" si="3"/>
        <v>7038174</v>
      </c>
      <c r="AI15" s="151">
        <f t="shared" si="3"/>
        <v>3447069.15</v>
      </c>
      <c r="AJ15" s="151">
        <f t="shared" si="3"/>
        <v>4613923.3</v>
      </c>
      <c r="AK15" s="151">
        <f t="shared" si="3"/>
        <v>1532049.84</v>
      </c>
      <c r="AL15" s="151">
        <f t="shared" si="3"/>
        <v>9593042.2899999991</v>
      </c>
      <c r="AM15" s="151">
        <f t="shared" ref="AM15:BR15" si="4">AM16+AM26+AM30</f>
        <v>4624104.95</v>
      </c>
      <c r="AN15" s="151">
        <f t="shared" si="4"/>
        <v>14972902.779999999</v>
      </c>
      <c r="AO15" s="151">
        <f t="shared" si="4"/>
        <v>0</v>
      </c>
      <c r="AP15" s="151">
        <f t="shared" si="4"/>
        <v>19597007.730000004</v>
      </c>
      <c r="AQ15" s="151">
        <f t="shared" si="4"/>
        <v>18047414.899999999</v>
      </c>
      <c r="AR15" s="151">
        <f t="shared" si="4"/>
        <v>24267258.520000003</v>
      </c>
      <c r="AS15" s="151">
        <f t="shared" si="4"/>
        <v>1532049.84</v>
      </c>
      <c r="AT15" s="105">
        <f t="shared" si="4"/>
        <v>43846723.259999998</v>
      </c>
      <c r="AU15" s="151">
        <f t="shared" si="4"/>
        <v>3895747</v>
      </c>
      <c r="AV15" s="151">
        <f t="shared" si="4"/>
        <v>2277759.3200000003</v>
      </c>
      <c r="AW15" s="151">
        <f t="shared" si="4"/>
        <v>0</v>
      </c>
      <c r="AX15" s="151">
        <f t="shared" si="4"/>
        <v>6173506.3199999994</v>
      </c>
      <c r="AY15" s="151">
        <f t="shared" si="4"/>
        <v>5183941.9800000004</v>
      </c>
      <c r="AZ15" s="151">
        <f t="shared" si="4"/>
        <v>2401773.1199999996</v>
      </c>
      <c r="BA15" s="151">
        <f t="shared" si="4"/>
        <v>0</v>
      </c>
      <c r="BB15" s="151">
        <f t="shared" si="4"/>
        <v>7585715.1000000006</v>
      </c>
      <c r="BC15" s="151">
        <f t="shared" si="4"/>
        <v>4323056.3100000005</v>
      </c>
      <c r="BD15" s="151">
        <f t="shared" si="4"/>
        <v>4394848.3</v>
      </c>
      <c r="BE15" s="151">
        <f t="shared" si="4"/>
        <v>1532049.84</v>
      </c>
      <c r="BF15" s="151">
        <f t="shared" si="4"/>
        <v>10249954.449999999</v>
      </c>
      <c r="BG15" s="151">
        <f t="shared" si="4"/>
        <v>4644669.6100000003</v>
      </c>
      <c r="BH15" s="151">
        <f t="shared" si="4"/>
        <v>12635312.33</v>
      </c>
      <c r="BI15" s="151">
        <f t="shared" si="4"/>
        <v>0</v>
      </c>
      <c r="BJ15" s="151">
        <f t="shared" si="4"/>
        <v>17279981.940000001</v>
      </c>
      <c r="BK15" s="151">
        <f t="shared" si="4"/>
        <v>18047414.899999999</v>
      </c>
      <c r="BL15" s="151">
        <f t="shared" si="4"/>
        <v>21709693.069999997</v>
      </c>
      <c r="BM15" s="151">
        <f t="shared" si="4"/>
        <v>1532049.84</v>
      </c>
      <c r="BN15" s="151">
        <f t="shared" si="4"/>
        <v>41289157.809999995</v>
      </c>
      <c r="BO15" s="167">
        <f t="shared" si="4"/>
        <v>0</v>
      </c>
      <c r="BP15" s="151">
        <f t="shared" si="4"/>
        <v>121950.15999999922</v>
      </c>
      <c r="BQ15" s="151">
        <f t="shared" si="4"/>
        <v>4338957.4799999995</v>
      </c>
      <c r="BR15" s="151">
        <f t="shared" si="4"/>
        <v>57950.16</v>
      </c>
      <c r="BS15" s="105">
        <f t="shared" ref="BS15:CA15" si="5">BS16+BS26+BS30</f>
        <v>4518857.7999999989</v>
      </c>
      <c r="BT15" s="151">
        <f t="shared" si="5"/>
        <v>0</v>
      </c>
      <c r="BU15" s="151">
        <f t="shared" si="5"/>
        <v>0</v>
      </c>
      <c r="BV15" s="151">
        <f t="shared" si="5"/>
        <v>0</v>
      </c>
      <c r="BW15" s="151">
        <f t="shared" si="5"/>
        <v>0</v>
      </c>
      <c r="BX15" s="151">
        <f t="shared" si="5"/>
        <v>0</v>
      </c>
      <c r="BY15" s="151">
        <f t="shared" si="5"/>
        <v>2557565.4500000016</v>
      </c>
      <c r="BZ15" s="151">
        <f t="shared" si="5"/>
        <v>0</v>
      </c>
      <c r="CA15" s="120">
        <f t="shared" si="5"/>
        <v>2557565.4500000016</v>
      </c>
    </row>
    <row r="16" spans="1:91" ht="14.1" customHeight="1" x14ac:dyDescent="0.2">
      <c r="A16" s="511" t="s">
        <v>101</v>
      </c>
      <c r="B16" s="512" t="s">
        <v>102</v>
      </c>
      <c r="C16" s="512"/>
      <c r="D16" s="512"/>
      <c r="E16" s="513"/>
      <c r="F16" s="514"/>
      <c r="G16" s="584">
        <f>G17+G22+G24</f>
        <v>7013000</v>
      </c>
      <c r="H16" s="584">
        <f t="shared" ref="H16:BS16" si="6">H17+H22+H24</f>
        <v>2833000</v>
      </c>
      <c r="I16" s="584">
        <f t="shared" si="6"/>
        <v>0</v>
      </c>
      <c r="J16" s="584">
        <f t="shared" si="6"/>
        <v>9846000</v>
      </c>
      <c r="K16" s="584">
        <f t="shared" si="6"/>
        <v>0</v>
      </c>
      <c r="L16" s="584">
        <f t="shared" si="6"/>
        <v>0</v>
      </c>
      <c r="M16" s="584">
        <f t="shared" si="6"/>
        <v>0</v>
      </c>
      <c r="N16" s="584">
        <f t="shared" si="6"/>
        <v>0</v>
      </c>
      <c r="O16" s="584">
        <f t="shared" si="6"/>
        <v>0</v>
      </c>
      <c r="P16" s="584">
        <f t="shared" si="6"/>
        <v>0</v>
      </c>
      <c r="Q16" s="584">
        <f t="shared" si="6"/>
        <v>0</v>
      </c>
      <c r="R16" s="584">
        <f t="shared" si="6"/>
        <v>0</v>
      </c>
      <c r="S16" s="584">
        <f t="shared" si="6"/>
        <v>218365.06</v>
      </c>
      <c r="T16" s="584">
        <f t="shared" si="6"/>
        <v>105616</v>
      </c>
      <c r="U16" s="584">
        <f t="shared" si="6"/>
        <v>190000</v>
      </c>
      <c r="V16" s="584">
        <f t="shared" si="6"/>
        <v>513981.06</v>
      </c>
      <c r="W16" s="584">
        <f t="shared" si="6"/>
        <v>7231365.0599999996</v>
      </c>
      <c r="X16" s="584">
        <f t="shared" si="6"/>
        <v>2938616</v>
      </c>
      <c r="Y16" s="584">
        <f t="shared" si="6"/>
        <v>190000</v>
      </c>
      <c r="Z16" s="584">
        <f t="shared" si="6"/>
        <v>10359981.059999999</v>
      </c>
      <c r="AA16" s="584">
        <f t="shared" si="6"/>
        <v>1159201</v>
      </c>
      <c r="AB16" s="584">
        <f t="shared" si="6"/>
        <v>1063853.0499999998</v>
      </c>
      <c r="AC16" s="584">
        <f t="shared" si="6"/>
        <v>0</v>
      </c>
      <c r="AD16" s="584">
        <f t="shared" si="6"/>
        <v>2223054.0499999998</v>
      </c>
      <c r="AE16" s="584">
        <f t="shared" si="6"/>
        <v>1074726</v>
      </c>
      <c r="AF16" s="584">
        <f t="shared" si="6"/>
        <v>403010.34</v>
      </c>
      <c r="AG16" s="584">
        <f t="shared" si="6"/>
        <v>0</v>
      </c>
      <c r="AH16" s="584">
        <f t="shared" si="6"/>
        <v>1477736.3399999999</v>
      </c>
      <c r="AI16" s="584">
        <f t="shared" si="6"/>
        <v>1412610.15</v>
      </c>
      <c r="AJ16" s="584">
        <f t="shared" si="6"/>
        <v>393485.05</v>
      </c>
      <c r="AK16" s="584">
        <f t="shared" si="6"/>
        <v>132049.84</v>
      </c>
      <c r="AL16" s="584">
        <f t="shared" si="6"/>
        <v>1938145.04</v>
      </c>
      <c r="AM16" s="584">
        <f t="shared" si="6"/>
        <v>3483877.75</v>
      </c>
      <c r="AN16" s="584">
        <f t="shared" si="6"/>
        <v>523066.15</v>
      </c>
      <c r="AO16" s="584">
        <f t="shared" si="6"/>
        <v>0</v>
      </c>
      <c r="AP16" s="584">
        <f t="shared" si="6"/>
        <v>4006943.9000000004</v>
      </c>
      <c r="AQ16" s="584">
        <f t="shared" si="6"/>
        <v>7130414.9000000004</v>
      </c>
      <c r="AR16" s="584">
        <f t="shared" si="6"/>
        <v>2383414.59</v>
      </c>
      <c r="AS16" s="584">
        <f t="shared" si="6"/>
        <v>132049.84</v>
      </c>
      <c r="AT16" s="584">
        <f t="shared" si="6"/>
        <v>9645879.3300000001</v>
      </c>
      <c r="AU16" s="584">
        <f t="shared" si="6"/>
        <v>889057</v>
      </c>
      <c r="AV16" s="584">
        <f t="shared" si="6"/>
        <v>1049516.05</v>
      </c>
      <c r="AW16" s="584">
        <f t="shared" si="6"/>
        <v>0</v>
      </c>
      <c r="AX16" s="584">
        <f t="shared" si="6"/>
        <v>1938573.0499999998</v>
      </c>
      <c r="AY16" s="584">
        <f t="shared" si="6"/>
        <v>1143182.46</v>
      </c>
      <c r="AZ16" s="584">
        <f t="shared" si="6"/>
        <v>416947.33999999997</v>
      </c>
      <c r="BA16" s="584">
        <f t="shared" si="6"/>
        <v>0</v>
      </c>
      <c r="BB16" s="584">
        <f t="shared" si="6"/>
        <v>1560129.7999999998</v>
      </c>
      <c r="BC16" s="584">
        <f t="shared" si="6"/>
        <v>1608669.15</v>
      </c>
      <c r="BD16" s="584">
        <f t="shared" si="6"/>
        <v>393885.05000000005</v>
      </c>
      <c r="BE16" s="584">
        <f t="shared" si="6"/>
        <v>132049.84</v>
      </c>
      <c r="BF16" s="584">
        <f t="shared" si="6"/>
        <v>2134604.04</v>
      </c>
      <c r="BG16" s="584">
        <f t="shared" si="6"/>
        <v>3489506.29</v>
      </c>
      <c r="BH16" s="584">
        <f t="shared" si="6"/>
        <v>523066.15</v>
      </c>
      <c r="BI16" s="584">
        <f t="shared" si="6"/>
        <v>0</v>
      </c>
      <c r="BJ16" s="584">
        <f t="shared" si="6"/>
        <v>4012572.4400000004</v>
      </c>
      <c r="BK16" s="584">
        <f t="shared" si="6"/>
        <v>7130414.9000000004</v>
      </c>
      <c r="BL16" s="584">
        <f t="shared" si="6"/>
        <v>2383414.59</v>
      </c>
      <c r="BM16" s="584">
        <f t="shared" si="6"/>
        <v>132049.84</v>
      </c>
      <c r="BN16" s="584">
        <f t="shared" si="6"/>
        <v>9645879.3300000001</v>
      </c>
      <c r="BO16" s="584">
        <f t="shared" si="6"/>
        <v>0</v>
      </c>
      <c r="BP16" s="584">
        <f t="shared" si="6"/>
        <v>100950.15999999922</v>
      </c>
      <c r="BQ16" s="584">
        <f t="shared" si="6"/>
        <v>555201.41000000015</v>
      </c>
      <c r="BR16" s="584">
        <f t="shared" si="6"/>
        <v>57950.16</v>
      </c>
      <c r="BS16" s="584">
        <f t="shared" si="6"/>
        <v>714101.7299999994</v>
      </c>
      <c r="BT16" s="584">
        <f t="shared" ref="BT16:CA16" si="7">BT17+BT22+BT24</f>
        <v>0</v>
      </c>
      <c r="BU16" s="584">
        <f t="shared" si="7"/>
        <v>0</v>
      </c>
      <c r="BV16" s="584">
        <f t="shared" si="7"/>
        <v>0</v>
      </c>
      <c r="BW16" s="584">
        <f t="shared" si="7"/>
        <v>0</v>
      </c>
      <c r="BX16" s="584">
        <f t="shared" si="7"/>
        <v>0</v>
      </c>
      <c r="BY16" s="584">
        <f t="shared" si="7"/>
        <v>0</v>
      </c>
      <c r="BZ16" s="584">
        <f t="shared" si="7"/>
        <v>0</v>
      </c>
      <c r="CA16" s="584">
        <f t="shared" si="7"/>
        <v>0</v>
      </c>
    </row>
    <row r="17" spans="1:79" ht="14.1" customHeight="1" x14ac:dyDescent="0.2">
      <c r="A17" s="542" t="s">
        <v>103</v>
      </c>
      <c r="B17" s="535" t="s">
        <v>104</v>
      </c>
      <c r="C17" s="535"/>
      <c r="D17" s="535"/>
      <c r="E17" s="543"/>
      <c r="F17" s="537"/>
      <c r="G17" s="538">
        <f t="shared" ref="G17:BR17" si="8">SUM(G18:G21)</f>
        <v>6927000</v>
      </c>
      <c r="H17" s="538">
        <f t="shared" ref="H17:I17" si="9">SUM(H18:H21)</f>
        <v>2833000</v>
      </c>
      <c r="I17" s="538">
        <f t="shared" si="9"/>
        <v>0</v>
      </c>
      <c r="J17" s="538">
        <f t="shared" si="8"/>
        <v>9760000</v>
      </c>
      <c r="K17" s="538">
        <f t="shared" ref="K17:V17" si="10">SUM(K18:K21)</f>
        <v>0</v>
      </c>
      <c r="L17" s="538">
        <f t="shared" si="10"/>
        <v>0</v>
      </c>
      <c r="M17" s="538">
        <f t="shared" si="10"/>
        <v>0</v>
      </c>
      <c r="N17" s="538">
        <f t="shared" si="10"/>
        <v>0</v>
      </c>
      <c r="O17" s="538">
        <f t="shared" si="10"/>
        <v>0</v>
      </c>
      <c r="P17" s="538">
        <f t="shared" si="10"/>
        <v>0</v>
      </c>
      <c r="Q17" s="538">
        <f t="shared" si="10"/>
        <v>0</v>
      </c>
      <c r="R17" s="538">
        <f t="shared" si="10"/>
        <v>0</v>
      </c>
      <c r="S17" s="538">
        <f t="shared" si="10"/>
        <v>218365.06</v>
      </c>
      <c r="T17" s="538">
        <f t="shared" si="10"/>
        <v>0</v>
      </c>
      <c r="U17" s="538">
        <f t="shared" si="10"/>
        <v>190000</v>
      </c>
      <c r="V17" s="538">
        <f t="shared" si="10"/>
        <v>408365.06</v>
      </c>
      <c r="W17" s="538">
        <f t="shared" si="8"/>
        <v>7145365.0599999996</v>
      </c>
      <c r="X17" s="538">
        <f t="shared" si="8"/>
        <v>2833000</v>
      </c>
      <c r="Y17" s="538">
        <f t="shared" si="8"/>
        <v>190000</v>
      </c>
      <c r="Z17" s="540">
        <f t="shared" si="8"/>
        <v>10168365.059999999</v>
      </c>
      <c r="AA17" s="538">
        <f t="shared" ref="AA17:AP17" si="11">SUM(AA18:AA21)</f>
        <v>1159201</v>
      </c>
      <c r="AB17" s="538">
        <f t="shared" si="11"/>
        <v>1063853.0499999998</v>
      </c>
      <c r="AC17" s="538">
        <f t="shared" si="11"/>
        <v>0</v>
      </c>
      <c r="AD17" s="538">
        <f t="shared" si="11"/>
        <v>2223054.0499999998</v>
      </c>
      <c r="AE17" s="538">
        <f t="shared" si="11"/>
        <v>1074726</v>
      </c>
      <c r="AF17" s="538">
        <f t="shared" si="11"/>
        <v>379705.66000000003</v>
      </c>
      <c r="AG17" s="538">
        <f t="shared" si="11"/>
        <v>0</v>
      </c>
      <c r="AH17" s="538">
        <f t="shared" si="11"/>
        <v>1454431.66</v>
      </c>
      <c r="AI17" s="538">
        <f t="shared" si="11"/>
        <v>1412610.15</v>
      </c>
      <c r="AJ17" s="538">
        <f t="shared" si="11"/>
        <v>384485.05</v>
      </c>
      <c r="AK17" s="538">
        <f t="shared" si="11"/>
        <v>132049.84</v>
      </c>
      <c r="AL17" s="538">
        <f t="shared" si="11"/>
        <v>1929145.04</v>
      </c>
      <c r="AM17" s="538">
        <f t="shared" si="11"/>
        <v>3483877.75</v>
      </c>
      <c r="AN17" s="538">
        <f t="shared" si="11"/>
        <v>479438.97000000003</v>
      </c>
      <c r="AO17" s="538">
        <f t="shared" si="11"/>
        <v>0</v>
      </c>
      <c r="AP17" s="538">
        <f t="shared" si="11"/>
        <v>3963316.72</v>
      </c>
      <c r="AQ17" s="538">
        <f t="shared" si="8"/>
        <v>7130414.9000000004</v>
      </c>
      <c r="AR17" s="538">
        <f t="shared" si="8"/>
        <v>2307482.73</v>
      </c>
      <c r="AS17" s="538">
        <f t="shared" si="8"/>
        <v>132049.84</v>
      </c>
      <c r="AT17" s="540">
        <f t="shared" si="8"/>
        <v>9569947.4700000007</v>
      </c>
      <c r="AU17" s="538">
        <f t="shared" ref="AU17:BJ17" si="12">SUM(AU18:AU21)</f>
        <v>889057</v>
      </c>
      <c r="AV17" s="538">
        <f t="shared" si="12"/>
        <v>1049516.05</v>
      </c>
      <c r="AW17" s="538">
        <f t="shared" si="12"/>
        <v>0</v>
      </c>
      <c r="AX17" s="538">
        <f t="shared" si="12"/>
        <v>1938573.0499999998</v>
      </c>
      <c r="AY17" s="538">
        <f t="shared" si="12"/>
        <v>1143182.46</v>
      </c>
      <c r="AZ17" s="538">
        <f t="shared" si="12"/>
        <v>393642.66</v>
      </c>
      <c r="BA17" s="538">
        <f t="shared" si="12"/>
        <v>0</v>
      </c>
      <c r="BB17" s="538">
        <f t="shared" si="12"/>
        <v>1536825.1199999999</v>
      </c>
      <c r="BC17" s="538">
        <f t="shared" si="12"/>
        <v>1608669.15</v>
      </c>
      <c r="BD17" s="538">
        <f t="shared" si="12"/>
        <v>384885.05000000005</v>
      </c>
      <c r="BE17" s="538">
        <f t="shared" si="12"/>
        <v>132049.84</v>
      </c>
      <c r="BF17" s="538">
        <f t="shared" si="12"/>
        <v>2125604.04</v>
      </c>
      <c r="BG17" s="538">
        <f t="shared" si="12"/>
        <v>3489506.29</v>
      </c>
      <c r="BH17" s="538">
        <f t="shared" si="12"/>
        <v>479438.97000000003</v>
      </c>
      <c r="BI17" s="538">
        <f t="shared" si="12"/>
        <v>0</v>
      </c>
      <c r="BJ17" s="538">
        <f t="shared" si="12"/>
        <v>3968945.2600000002</v>
      </c>
      <c r="BK17" s="538">
        <f t="shared" si="8"/>
        <v>7130414.9000000004</v>
      </c>
      <c r="BL17" s="538">
        <f t="shared" si="8"/>
        <v>2307482.73</v>
      </c>
      <c r="BM17" s="538">
        <f t="shared" si="8"/>
        <v>132049.84</v>
      </c>
      <c r="BN17" s="538">
        <f t="shared" si="8"/>
        <v>9569947.4700000007</v>
      </c>
      <c r="BO17" s="540">
        <f t="shared" si="8"/>
        <v>0</v>
      </c>
      <c r="BP17" s="538">
        <f t="shared" si="8"/>
        <v>14950.159999999218</v>
      </c>
      <c r="BQ17" s="538">
        <f t="shared" si="8"/>
        <v>525517.27000000014</v>
      </c>
      <c r="BR17" s="538">
        <f t="shared" si="8"/>
        <v>57950.16</v>
      </c>
      <c r="BS17" s="540">
        <f t="shared" ref="BS17" si="13">SUM(BS18:BS21)</f>
        <v>598417.58999999939</v>
      </c>
      <c r="BT17" s="538">
        <f t="shared" ref="BT17:BW17" si="14">SUM(BT18:BT21)</f>
        <v>0</v>
      </c>
      <c r="BU17" s="538">
        <f t="shared" si="14"/>
        <v>0</v>
      </c>
      <c r="BV17" s="538">
        <f t="shared" si="14"/>
        <v>0</v>
      </c>
      <c r="BW17" s="538">
        <f t="shared" si="14"/>
        <v>0</v>
      </c>
      <c r="BX17" s="538">
        <f t="shared" ref="BX17:CA17" si="15">SUM(BX18:BX21)</f>
        <v>0</v>
      </c>
      <c r="BY17" s="538">
        <f t="shared" si="15"/>
        <v>0</v>
      </c>
      <c r="BZ17" s="538">
        <f t="shared" si="15"/>
        <v>0</v>
      </c>
      <c r="CA17" s="541">
        <f t="shared" si="15"/>
        <v>0</v>
      </c>
    </row>
    <row r="18" spans="1:79" ht="14.1" customHeight="1" x14ac:dyDescent="0.2">
      <c r="A18" s="121" t="s">
        <v>105</v>
      </c>
      <c r="B18" s="71">
        <v>1</v>
      </c>
      <c r="C18" s="568" t="s">
        <v>106</v>
      </c>
      <c r="D18" s="568"/>
      <c r="E18" s="72"/>
      <c r="G18" s="152">
        <f>6927000</f>
        <v>6927000</v>
      </c>
      <c r="H18" s="152">
        <v>1204000</v>
      </c>
      <c r="I18" s="152"/>
      <c r="J18" s="152">
        <f>SUM(G18:I18)</f>
        <v>8131000</v>
      </c>
      <c r="K18" s="152"/>
      <c r="L18" s="152"/>
      <c r="M18" s="152"/>
      <c r="N18" s="152">
        <f>SUM(K18:M18)</f>
        <v>0</v>
      </c>
      <c r="O18" s="152"/>
      <c r="P18" s="152"/>
      <c r="Q18" s="152"/>
      <c r="R18" s="152">
        <f>SUM(O18:Q18)</f>
        <v>0</v>
      </c>
      <c r="S18" s="152">
        <v>218365.06</v>
      </c>
      <c r="T18" s="152"/>
      <c r="U18" s="152">
        <v>190000</v>
      </c>
      <c r="V18" s="152">
        <f>SUM(S18:U18)</f>
        <v>408365.06</v>
      </c>
      <c r="W18" s="152">
        <f>G18-O18+S18+K18</f>
        <v>7145365.0599999996</v>
      </c>
      <c r="X18" s="152">
        <f t="shared" ref="X18:Y21" si="16">H18-P18+T18+L18</f>
        <v>1204000</v>
      </c>
      <c r="Y18" s="152">
        <f t="shared" si="16"/>
        <v>190000</v>
      </c>
      <c r="Z18" s="168">
        <f>SUM(W18:Y18)</f>
        <v>8539365.0599999987</v>
      </c>
      <c r="AA18" s="152">
        <f>1000+2612.5+1000+10000+20000+228925+50000+20000+228925+1000+2612.5+1000+10000+20000+245119+1000+2750+1000+32388+20000+10000+245119+1000+2750+1000</f>
        <v>1159201</v>
      </c>
      <c r="AB18" s="152">
        <f>2533.95+4950+3506.15+4572+4500+6445.4+12846+3581+22000+18959+1360+20150+5510+20150+5510+5687.85+4400+3600+4000+4064+13950+1515.8+1224+1000+2171.29+335+4572+2880.62+4390.87+6000+4612.9+4464.28+6600+11460+7828.02+1254.19+8348+560+4128.75+3300+4497.18+4349.9+4465.22+16929+5000+5352.15+5588+4400+4000+3997.51+560+201000+4480+720+7047+750+2255.6+1000+17600+400+7353+11000+6961.84+8463.6+8100+8000+7200+7200+8636+8401.78+10700.03+7503.85+17799.08+2757.6+1000+4480+560+1600</f>
        <v>671029.40999999992</v>
      </c>
      <c r="AC18" s="152"/>
      <c r="AD18" s="152">
        <f>SUM(AA18:AC18)</f>
        <v>1830230.41</v>
      </c>
      <c r="AE18" s="152">
        <f>554988+245119+1000+2750+1000+20000+1000+2750+1000+245119</f>
        <v>1074726</v>
      </c>
      <c r="AF18" s="152">
        <f>65593.55+1000+3016.68</f>
        <v>69610.23</v>
      </c>
      <c r="AG18" s="152"/>
      <c r="AH18" s="152">
        <f>SUM(AE18:AG18)</f>
        <v>1144336.23</v>
      </c>
      <c r="AI18" s="152">
        <f>319869+245119+1000+2750+1000+10000+556930.35+20000+131186+1000+2750+1000+18654.9+55282.4+46068.5</f>
        <v>1412610.15</v>
      </c>
      <c r="AJ18" s="152">
        <f>82864.51+1000+16084.32+2050+8200+1972.7+8500+3275+40+1400+500+30000-1000</f>
        <v>154886.52999999997</v>
      </c>
      <c r="AK18" s="152">
        <v>132049.84</v>
      </c>
      <c r="AL18" s="152">
        <f>SUM(AI18:AK18)</f>
        <v>1699546.52</v>
      </c>
      <c r="AM18" s="152">
        <f>883421.55+559830.2+10000+68599.5+1351820.5+166000+122000+25000+28286+25000+25000-60000-60000+183595+35000+35000+35000-5000+8300+5700+28275+4750+8300</f>
        <v>3483877.75</v>
      </c>
      <c r="AN18" s="152">
        <f>82532.52+18485.72+999+3746+32717.3+7800+1993.15+40000+1515.23</f>
        <v>189788.92</v>
      </c>
      <c r="AO18" s="152"/>
      <c r="AP18" s="152">
        <f>SUM(AM18:AO18)</f>
        <v>3673666.67</v>
      </c>
      <c r="AQ18" s="152">
        <f t="shared" ref="AQ18:AS21" si="17">AA18+AE18+AI18+AM18</f>
        <v>7130414.9000000004</v>
      </c>
      <c r="AR18" s="152">
        <f t="shared" si="17"/>
        <v>1085315.0899999999</v>
      </c>
      <c r="AS18" s="152">
        <f t="shared" si="17"/>
        <v>132049.84</v>
      </c>
      <c r="AT18" s="168">
        <f>SUM(AQ18:AS18)</f>
        <v>8347779.8300000001</v>
      </c>
      <c r="AU18" s="152">
        <f>1000+2612.5+1000+10000+20000+228925+50000+20000+228925+1000+2612.5+1000+10000+32113+10000+245119+20000+1000+2750+1000</f>
        <v>889057</v>
      </c>
      <c r="AV18" s="152">
        <f>2533.95+4950+3506.15+4572+4500+6445.4+12846+3581+22000+18959+1360+20150+5510+20150+5510+5687.85+4400+3600+4000+4064+13950+1515.8+1224+1000+2171.29+335+4572+2880.62+4390.87+6000+4612.9+4464.28+6600+11460+7828.02+1254.19+8348+560+4128.75+3300+4497.18+4349.9+4465.22+16929+5000+5352.15+5588+4400+4000+3997.51+560+201000+4480+720+7047+750+2255.6+1000+17600+400+7353+11000+6961.84+8463.6+8100+8000+7200+7200+8636+8401.78+10700.03+7503.85+17799.08+2757.6+1000+4480+560+1600</f>
        <v>671029.40999999992</v>
      </c>
      <c r="AW18" s="152"/>
      <c r="AX18" s="152">
        <f>SUM(AU18:AW18)</f>
        <v>1560086.41</v>
      </c>
      <c r="AY18" s="152">
        <f>640217.73+2978.54+157185.73+1000+2750+1000+17677.02+17021.46+1000+2750+1000+245119+2322.98+51160</f>
        <v>1143182.46</v>
      </c>
      <c r="AZ18" s="152">
        <f>61077.05+4516.5+1000+3016.68</f>
        <v>69610.23</v>
      </c>
      <c r="BA18" s="152"/>
      <c r="BB18" s="152">
        <f>SUM(AY18:BA18)</f>
        <v>1212792.69</v>
      </c>
      <c r="BC18" s="152">
        <f>518578+10000+2978.54+245119+1000+556930.35+55282.4+18654.9+46068.5+1000+2750+1000+18121.46+131186</f>
        <v>1608669.15</v>
      </c>
      <c r="BD18" s="152">
        <f>81193.66+283.6+592.25+795+1000+16084.32+2050+8200+1972.7+8500+3275+40+500+1400+30000-1000</f>
        <v>154886.53000000003</v>
      </c>
      <c r="BE18" s="152">
        <v>132049.84</v>
      </c>
      <c r="BF18" s="152">
        <f>SUM(BC18:BE18)</f>
        <v>1895605.52</v>
      </c>
      <c r="BG18" s="152">
        <f>586073.87+50000+3078.54+28.68+245119+1000+2750+1000+559830.2+10000+68599.5+1351820.5+166000+122000+25000+28286+25000+25000-60000-60000+183595+35000+35000+35000-5000+8300+5700+28275+4750+8300</f>
        <v>3489506.29</v>
      </c>
      <c r="BH18" s="152">
        <f>82532.52+18485.72+999+3746+32717.3+7800+1993.15+40000+1515.23</f>
        <v>189788.92</v>
      </c>
      <c r="BI18" s="152"/>
      <c r="BJ18" s="152">
        <f>SUM(BG18:BI18)</f>
        <v>3679295.21</v>
      </c>
      <c r="BK18" s="152">
        <f t="shared" ref="BK18:BM21" si="18">AU18+AY18+BC18+BG18</f>
        <v>7130414.9000000004</v>
      </c>
      <c r="BL18" s="152">
        <f t="shared" si="18"/>
        <v>1085315.0899999999</v>
      </c>
      <c r="BM18" s="152">
        <f t="shared" si="18"/>
        <v>132049.84</v>
      </c>
      <c r="BN18" s="152">
        <f>SUM(BK18:BM18)</f>
        <v>8347779.8300000001</v>
      </c>
      <c r="BO18" s="168"/>
      <c r="BP18" s="152">
        <f t="shared" ref="BP18:BR21" si="19">W18-AQ18</f>
        <v>14950.159999999218</v>
      </c>
      <c r="BQ18" s="152">
        <f t="shared" si="19"/>
        <v>118684.91000000015</v>
      </c>
      <c r="BR18" s="152">
        <f t="shared" si="19"/>
        <v>57950.16</v>
      </c>
      <c r="BS18" s="168">
        <f>SUM(BP18:BR18)</f>
        <v>191585.22999999937</v>
      </c>
      <c r="BT18" s="152"/>
      <c r="BU18" s="152"/>
      <c r="BV18" s="152"/>
      <c r="BW18" s="152">
        <f>SUM(BT18:BV18)</f>
        <v>0</v>
      </c>
      <c r="BX18" s="152">
        <f t="shared" ref="BX18:BX81" si="20">AQ18-BK18-BT18</f>
        <v>0</v>
      </c>
      <c r="BY18" s="152">
        <f t="shared" ref="BY18:BY81" si="21">AR18-BL18-BU18</f>
        <v>0</v>
      </c>
      <c r="BZ18" s="152">
        <f t="shared" ref="BZ18:BZ81" si="22">AS18-BM18-BV18</f>
        <v>0</v>
      </c>
      <c r="CA18" s="587">
        <f t="shared" ref="CA18:CA81" si="23">SUM(BX18:BZ18)</f>
        <v>0</v>
      </c>
    </row>
    <row r="19" spans="1:79" ht="14.1" customHeight="1" x14ac:dyDescent="0.2">
      <c r="A19" s="121" t="s">
        <v>107</v>
      </c>
      <c r="B19" s="71">
        <v>2</v>
      </c>
      <c r="C19" s="69" t="s">
        <v>108</v>
      </c>
      <c r="D19" s="78"/>
      <c r="E19" s="75"/>
      <c r="G19" s="152"/>
      <c r="H19" s="152">
        <v>987000</v>
      </c>
      <c r="I19" s="152"/>
      <c r="J19" s="152">
        <f t="shared" ref="J19:J83" si="24">SUM(G19:I19)</f>
        <v>987000</v>
      </c>
      <c r="K19" s="152"/>
      <c r="L19" s="152"/>
      <c r="M19" s="152"/>
      <c r="N19" s="152">
        <f t="shared" ref="N19:N21" si="25">SUM(K19:M19)</f>
        <v>0</v>
      </c>
      <c r="O19" s="152"/>
      <c r="P19" s="152"/>
      <c r="Q19" s="152"/>
      <c r="R19" s="152">
        <f t="shared" ref="R19:R21" si="26">SUM(O19:Q19)</f>
        <v>0</v>
      </c>
      <c r="S19" s="152"/>
      <c r="T19" s="152"/>
      <c r="U19" s="152"/>
      <c r="V19" s="152">
        <f t="shared" ref="V19:V21" si="27">SUM(S19:U19)</f>
        <v>0</v>
      </c>
      <c r="W19" s="152">
        <f>G19-O19+S19+K19</f>
        <v>0</v>
      </c>
      <c r="X19" s="152">
        <f t="shared" si="16"/>
        <v>987000</v>
      </c>
      <c r="Y19" s="152">
        <f t="shared" si="16"/>
        <v>0</v>
      </c>
      <c r="Z19" s="168">
        <f>SUM(W19:Y19)</f>
        <v>987000</v>
      </c>
      <c r="AA19" s="152"/>
      <c r="AB19" s="152">
        <f>3940.24+2400+2322.92+11811.05+14337+7316.5+48415.44+1158.32+1617.75+7036.5+7869.68+1000+52324.56+1089.55+4480+1911.08+4800+296+689.2+3200+3200+3200+4800+4800+1460+1272.89+60</f>
        <v>196808.68</v>
      </c>
      <c r="AC19" s="152"/>
      <c r="AD19" s="152">
        <f t="shared" ref="AD19:AD21" si="28">SUM(AA19:AC19)</f>
        <v>196808.68</v>
      </c>
      <c r="AE19" s="152"/>
      <c r="AF19" s="152">
        <f>135348.48+1253.74+8355+10438+2200+8200+2015+3400+2000</f>
        <v>173210.22</v>
      </c>
      <c r="AG19" s="152"/>
      <c r="AH19" s="152">
        <f t="shared" ref="AH19:AH21" si="29">SUM(AE19:AG19)</f>
        <v>173210.22</v>
      </c>
      <c r="AI19" s="152"/>
      <c r="AJ19" s="152">
        <f>38999.05+1955.5+899.6+16768+1378.67+12797.05+1000+5000+360+10017.71+4982.29-1000</f>
        <v>93157.869999999981</v>
      </c>
      <c r="AK19" s="152"/>
      <c r="AL19" s="152">
        <f t="shared" ref="AL19:AL21" si="30">SUM(AI19:AK19)</f>
        <v>93157.869999999981</v>
      </c>
      <c r="AM19" s="152"/>
      <c r="AN19" s="152">
        <f>90949.31+3814.28+7185.72+1034+1200+49000+28001.84+1856.72+10766</f>
        <v>193807.87</v>
      </c>
      <c r="AO19" s="152"/>
      <c r="AP19" s="152">
        <f t="shared" ref="AP19:AP21" si="31">SUM(AM19:AO19)</f>
        <v>193807.87</v>
      </c>
      <c r="AQ19" s="152">
        <f t="shared" si="17"/>
        <v>0</v>
      </c>
      <c r="AR19" s="152">
        <f t="shared" si="17"/>
        <v>656984.64</v>
      </c>
      <c r="AS19" s="152">
        <f t="shared" si="17"/>
        <v>0</v>
      </c>
      <c r="AT19" s="168">
        <f>SUM(AQ19:AS19)</f>
        <v>656984.64</v>
      </c>
      <c r="AU19" s="152"/>
      <c r="AV19" s="152">
        <f>3940.24+48415.44+1158.32+1617.75+7036.5+7869.68+1000+52324.56+1089.55+4480+1911.08+4800+296+689.2+3200+3200+3200+4800+4800+1460+1332.89+7316.5+11811.05+2400+2322.92</f>
        <v>182471.68000000002</v>
      </c>
      <c r="AW19" s="152"/>
      <c r="AX19" s="152">
        <f t="shared" ref="AX19:AX21" si="32">SUM(AU19:AW19)</f>
        <v>182471.68000000002</v>
      </c>
      <c r="AY19" s="152"/>
      <c r="AZ19" s="152">
        <f>137496.52+200+200+200+200+250+8200+2538.96+200+200+1253.74+8355+10438+3400+2015+2200+8200+2000</f>
        <v>187547.21999999997</v>
      </c>
      <c r="BA19" s="152"/>
      <c r="BB19" s="152">
        <f t="shared" ref="BB19:BB21" si="33">SUM(AY19:BA19)</f>
        <v>187547.21999999997</v>
      </c>
      <c r="BC19" s="152"/>
      <c r="BD19" s="152">
        <f>24616.8+8460+3181.25+741+2000+1955.5+899.6+16768+1378.67+12797.05+1000+5000+360+10017.71+4982.29-1000</f>
        <v>93157.869999999981</v>
      </c>
      <c r="BE19" s="152"/>
      <c r="BF19" s="152">
        <f t="shared" ref="BF19:BF21" si="34">SUM(BC19:BE19)</f>
        <v>93157.869999999981</v>
      </c>
      <c r="BG19" s="152"/>
      <c r="BH19" s="152">
        <f>90949.31+3814.28+7185.72+834+1200+49000+200+28001.84+1856.72+10766</f>
        <v>193807.87</v>
      </c>
      <c r="BI19" s="152"/>
      <c r="BJ19" s="152">
        <f t="shared" ref="BJ19:BJ21" si="35">SUM(BG19:BI19)</f>
        <v>193807.87</v>
      </c>
      <c r="BK19" s="152">
        <f t="shared" si="18"/>
        <v>0</v>
      </c>
      <c r="BL19" s="152">
        <f t="shared" si="18"/>
        <v>656984.64</v>
      </c>
      <c r="BM19" s="152">
        <f t="shared" si="18"/>
        <v>0</v>
      </c>
      <c r="BN19" s="152">
        <f>SUM(BK19:BM19)</f>
        <v>656984.64</v>
      </c>
      <c r="BO19" s="168"/>
      <c r="BP19" s="152">
        <f t="shared" si="19"/>
        <v>0</v>
      </c>
      <c r="BQ19" s="152">
        <f t="shared" si="19"/>
        <v>330015.35999999999</v>
      </c>
      <c r="BR19" s="152">
        <f t="shared" si="19"/>
        <v>0</v>
      </c>
      <c r="BS19" s="168">
        <f>SUM(BP19:BR19)</f>
        <v>330015.35999999999</v>
      </c>
      <c r="BT19" s="152"/>
      <c r="BU19" s="152"/>
      <c r="BV19" s="152"/>
      <c r="BW19" s="152">
        <f t="shared" ref="BW19:BW21" si="36">SUM(BT19:BV19)</f>
        <v>0</v>
      </c>
      <c r="BX19" s="152">
        <f t="shared" si="20"/>
        <v>0</v>
      </c>
      <c r="BY19" s="152">
        <f t="shared" si="21"/>
        <v>0</v>
      </c>
      <c r="BZ19" s="152">
        <f t="shared" si="22"/>
        <v>0</v>
      </c>
      <c r="CA19" s="587">
        <f t="shared" si="23"/>
        <v>0</v>
      </c>
    </row>
    <row r="20" spans="1:79" ht="14.1" customHeight="1" x14ac:dyDescent="0.2">
      <c r="A20" s="121" t="s">
        <v>109</v>
      </c>
      <c r="B20" s="71">
        <v>3</v>
      </c>
      <c r="C20" s="69" t="s">
        <v>115</v>
      </c>
      <c r="D20" s="69"/>
      <c r="E20" s="79"/>
      <c r="G20" s="152"/>
      <c r="H20" s="152">
        <v>642000</v>
      </c>
      <c r="I20" s="152"/>
      <c r="J20" s="152">
        <f t="shared" si="24"/>
        <v>642000</v>
      </c>
      <c r="K20" s="152"/>
      <c r="L20" s="152"/>
      <c r="M20" s="152"/>
      <c r="N20" s="152">
        <f t="shared" si="25"/>
        <v>0</v>
      </c>
      <c r="O20" s="152"/>
      <c r="P20" s="152"/>
      <c r="Q20" s="152"/>
      <c r="R20" s="152">
        <f t="shared" si="26"/>
        <v>0</v>
      </c>
      <c r="S20" s="152"/>
      <c r="T20" s="152"/>
      <c r="U20" s="152"/>
      <c r="V20" s="152">
        <f t="shared" si="27"/>
        <v>0</v>
      </c>
      <c r="W20" s="152">
        <f>G20-O20+S20+K20</f>
        <v>0</v>
      </c>
      <c r="X20" s="152">
        <f t="shared" si="16"/>
        <v>642000</v>
      </c>
      <c r="Y20" s="152">
        <f t="shared" si="16"/>
        <v>0</v>
      </c>
      <c r="Z20" s="168">
        <f>SUM(W20:Y20)</f>
        <v>642000</v>
      </c>
      <c r="AA20" s="152"/>
      <c r="AB20" s="152">
        <f>3600+851.35+1176+3636+2000+8200+14666+4480+1518.5+1048.78+95906.29+1048.78+1328.82+2000+8200+30018.71+2066.95+1048.78+3020+8200+2000</f>
        <v>196014.96</v>
      </c>
      <c r="AC20" s="152"/>
      <c r="AD20" s="152">
        <f t="shared" si="28"/>
        <v>196014.96</v>
      </c>
      <c r="AE20" s="152"/>
      <c r="AF20" s="152">
        <f>91317.52+6600+5389.66+6000+5198.55+5337.2+2533.64+5000+4008.64+5500</f>
        <v>136885.21000000002</v>
      </c>
      <c r="AG20" s="152"/>
      <c r="AH20" s="152">
        <f t="shared" si="29"/>
        <v>136885.21000000002</v>
      </c>
      <c r="AI20" s="152"/>
      <c r="AJ20" s="152">
        <f>86446.56+1237.14+241.31+29000+757.82+19000-242.18</f>
        <v>136440.65000000002</v>
      </c>
      <c r="AK20" s="152"/>
      <c r="AL20" s="152">
        <f t="shared" si="30"/>
        <v>136440.65000000002</v>
      </c>
      <c r="AM20" s="152"/>
      <c r="AN20" s="152">
        <f>4242.18+2354.28+8890+2000+755.72+26598.36+34401.64+16600</f>
        <v>95842.18</v>
      </c>
      <c r="AO20" s="152"/>
      <c r="AP20" s="152">
        <f t="shared" si="31"/>
        <v>95842.18</v>
      </c>
      <c r="AQ20" s="152">
        <f t="shared" si="17"/>
        <v>0</v>
      </c>
      <c r="AR20" s="152">
        <f t="shared" si="17"/>
        <v>565183</v>
      </c>
      <c r="AS20" s="152">
        <f t="shared" si="17"/>
        <v>0</v>
      </c>
      <c r="AT20" s="168">
        <f>SUM(AQ20:AS20)</f>
        <v>565183</v>
      </c>
      <c r="AU20" s="152"/>
      <c r="AV20" s="152">
        <f>3636+2000+8200+14666+4480+1518.5+1048.78+95906.29+1048.78+1328.82+30018.71+8200+2000+2066.95+1048.78+3020+8200+2000+1176+851.35+3600</f>
        <v>196014.96000000002</v>
      </c>
      <c r="AW20" s="152"/>
      <c r="AX20" s="152">
        <f t="shared" si="32"/>
        <v>196014.96000000002</v>
      </c>
      <c r="AY20" s="152"/>
      <c r="AZ20" s="152">
        <f>81656.38+2000+2640.79+250+4770.35+6400+5189.66+5800+4998.55+5337.2+2533.64+4800+4008.64+5300+200+200+200+200</f>
        <v>136485.21000000002</v>
      </c>
      <c r="BA20" s="152"/>
      <c r="BB20" s="152">
        <f t="shared" si="33"/>
        <v>136485.21000000002</v>
      </c>
      <c r="BC20" s="152"/>
      <c r="BD20" s="152">
        <f>86846.56+1237.14+241.31+29000+757.82+19000-242.18</f>
        <v>136840.65000000002</v>
      </c>
      <c r="BE20" s="152"/>
      <c r="BF20" s="152">
        <f t="shared" si="34"/>
        <v>136840.65000000002</v>
      </c>
      <c r="BG20" s="152"/>
      <c r="BH20" s="152">
        <f>4242.18+2354.28+8890+2000+755.72+26598.36+34401.64+16600</f>
        <v>95842.18</v>
      </c>
      <c r="BI20" s="152"/>
      <c r="BJ20" s="152">
        <f t="shared" si="35"/>
        <v>95842.18</v>
      </c>
      <c r="BK20" s="152">
        <f t="shared" si="18"/>
        <v>0</v>
      </c>
      <c r="BL20" s="152">
        <f t="shared" si="18"/>
        <v>565183</v>
      </c>
      <c r="BM20" s="152">
        <f t="shared" si="18"/>
        <v>0</v>
      </c>
      <c r="BN20" s="152">
        <f>SUM(BK20:BM20)</f>
        <v>565183</v>
      </c>
      <c r="BO20" s="168"/>
      <c r="BP20" s="152">
        <f t="shared" si="19"/>
        <v>0</v>
      </c>
      <c r="BQ20" s="152">
        <f t="shared" si="19"/>
        <v>76817</v>
      </c>
      <c r="BR20" s="152">
        <f t="shared" si="19"/>
        <v>0</v>
      </c>
      <c r="BS20" s="168">
        <f>SUM(BP20:BR20)</f>
        <v>76817</v>
      </c>
      <c r="BT20" s="152"/>
      <c r="BU20" s="152"/>
      <c r="BV20" s="152"/>
      <c r="BW20" s="152">
        <f t="shared" si="36"/>
        <v>0</v>
      </c>
      <c r="BX20" s="152">
        <f t="shared" si="20"/>
        <v>0</v>
      </c>
      <c r="BY20" s="152">
        <f t="shared" si="21"/>
        <v>0</v>
      </c>
      <c r="BZ20" s="152">
        <f t="shared" si="22"/>
        <v>0</v>
      </c>
      <c r="CA20" s="587">
        <f t="shared" si="23"/>
        <v>0</v>
      </c>
    </row>
    <row r="21" spans="1:79" ht="14.1" customHeight="1" x14ac:dyDescent="0.2">
      <c r="A21" s="121" t="s">
        <v>522</v>
      </c>
      <c r="B21" s="71">
        <v>4</v>
      </c>
      <c r="C21" s="69" t="s">
        <v>529</v>
      </c>
      <c r="D21" s="69"/>
      <c r="E21" s="79"/>
      <c r="G21" s="152"/>
      <c r="H21" s="152"/>
      <c r="I21" s="152"/>
      <c r="J21" s="152">
        <f t="shared" si="24"/>
        <v>0</v>
      </c>
      <c r="K21" s="152"/>
      <c r="L21" s="152"/>
      <c r="M21" s="152"/>
      <c r="N21" s="152">
        <f t="shared" si="25"/>
        <v>0</v>
      </c>
      <c r="O21" s="152"/>
      <c r="P21" s="152"/>
      <c r="Q21" s="152"/>
      <c r="R21" s="152">
        <f t="shared" si="26"/>
        <v>0</v>
      </c>
      <c r="S21" s="152"/>
      <c r="T21" s="152"/>
      <c r="U21" s="152"/>
      <c r="V21" s="152">
        <f t="shared" si="27"/>
        <v>0</v>
      </c>
      <c r="W21" s="152">
        <f>G21-O21+S21+K21</f>
        <v>0</v>
      </c>
      <c r="X21" s="152">
        <f t="shared" si="16"/>
        <v>0</v>
      </c>
      <c r="Y21" s="152">
        <f t="shared" si="16"/>
        <v>0</v>
      </c>
      <c r="Z21" s="168">
        <f>SUM(W21:Y21)</f>
        <v>0</v>
      </c>
      <c r="AA21" s="152"/>
      <c r="AB21" s="152"/>
      <c r="AC21" s="152"/>
      <c r="AD21" s="152">
        <f t="shared" si="28"/>
        <v>0</v>
      </c>
      <c r="AE21" s="152"/>
      <c r="AF21" s="152"/>
      <c r="AG21" s="152"/>
      <c r="AH21" s="152">
        <f t="shared" si="29"/>
        <v>0</v>
      </c>
      <c r="AI21" s="152"/>
      <c r="AJ21" s="152">
        <v>0</v>
      </c>
      <c r="AK21" s="152"/>
      <c r="AL21" s="152">
        <f t="shared" si="30"/>
        <v>0</v>
      </c>
      <c r="AM21" s="152"/>
      <c r="AN21" s="152"/>
      <c r="AO21" s="152"/>
      <c r="AP21" s="152">
        <f t="shared" si="31"/>
        <v>0</v>
      </c>
      <c r="AQ21" s="152">
        <f t="shared" si="17"/>
        <v>0</v>
      </c>
      <c r="AR21" s="152">
        <f t="shared" si="17"/>
        <v>0</v>
      </c>
      <c r="AS21" s="152">
        <f t="shared" si="17"/>
        <v>0</v>
      </c>
      <c r="AT21" s="168">
        <f>SUM(AQ21:AS21)</f>
        <v>0</v>
      </c>
      <c r="AU21" s="152"/>
      <c r="AV21" s="152"/>
      <c r="AW21" s="152"/>
      <c r="AX21" s="152">
        <f t="shared" si="32"/>
        <v>0</v>
      </c>
      <c r="AY21" s="152"/>
      <c r="AZ21" s="152"/>
      <c r="BA21" s="152"/>
      <c r="BB21" s="152">
        <f t="shared" si="33"/>
        <v>0</v>
      </c>
      <c r="BC21" s="152"/>
      <c r="BD21" s="152"/>
      <c r="BE21" s="152"/>
      <c r="BF21" s="152">
        <f t="shared" si="34"/>
        <v>0</v>
      </c>
      <c r="BG21" s="152"/>
      <c r="BH21" s="152"/>
      <c r="BI21" s="152"/>
      <c r="BJ21" s="152">
        <f t="shared" si="35"/>
        <v>0</v>
      </c>
      <c r="BK21" s="152">
        <f t="shared" si="18"/>
        <v>0</v>
      </c>
      <c r="BL21" s="152">
        <f t="shared" si="18"/>
        <v>0</v>
      </c>
      <c r="BM21" s="152">
        <f t="shared" si="18"/>
        <v>0</v>
      </c>
      <c r="BN21" s="152">
        <f>SUM(BK21:BM21)</f>
        <v>0</v>
      </c>
      <c r="BO21" s="168"/>
      <c r="BP21" s="152">
        <f t="shared" si="19"/>
        <v>0</v>
      </c>
      <c r="BQ21" s="152">
        <f t="shared" si="19"/>
        <v>0</v>
      </c>
      <c r="BR21" s="152">
        <f t="shared" si="19"/>
        <v>0</v>
      </c>
      <c r="BS21" s="168">
        <f>SUM(BP21:BR21)</f>
        <v>0</v>
      </c>
      <c r="BT21" s="152"/>
      <c r="BU21" s="152"/>
      <c r="BV21" s="152"/>
      <c r="BW21" s="152">
        <f t="shared" si="36"/>
        <v>0</v>
      </c>
      <c r="BX21" s="152">
        <f t="shared" si="20"/>
        <v>0</v>
      </c>
      <c r="BY21" s="152">
        <f t="shared" si="21"/>
        <v>0</v>
      </c>
      <c r="BZ21" s="152">
        <f t="shared" si="22"/>
        <v>0</v>
      </c>
      <c r="CA21" s="587">
        <f t="shared" si="23"/>
        <v>0</v>
      </c>
    </row>
    <row r="22" spans="1:79" ht="14.1" customHeight="1" x14ac:dyDescent="0.2">
      <c r="A22" s="542" t="s">
        <v>110</v>
      </c>
      <c r="B22" s="535" t="s">
        <v>111</v>
      </c>
      <c r="C22" s="535"/>
      <c r="D22" s="535"/>
      <c r="E22" s="543"/>
      <c r="F22" s="537"/>
      <c r="G22" s="538">
        <f t="shared" ref="G22:BU24" si="37">G23</f>
        <v>0</v>
      </c>
      <c r="H22" s="538">
        <f t="shared" si="37"/>
        <v>0</v>
      </c>
      <c r="I22" s="538">
        <f t="shared" si="37"/>
        <v>0</v>
      </c>
      <c r="J22" s="538">
        <f t="shared" si="37"/>
        <v>0</v>
      </c>
      <c r="K22" s="538">
        <f t="shared" si="37"/>
        <v>0</v>
      </c>
      <c r="L22" s="538">
        <f t="shared" si="37"/>
        <v>0</v>
      </c>
      <c r="M22" s="538">
        <f t="shared" si="37"/>
        <v>0</v>
      </c>
      <c r="N22" s="538">
        <f t="shared" si="37"/>
        <v>0</v>
      </c>
      <c r="O22" s="538">
        <f t="shared" si="37"/>
        <v>0</v>
      </c>
      <c r="P22" s="538">
        <f t="shared" si="37"/>
        <v>0</v>
      </c>
      <c r="Q22" s="538">
        <f t="shared" si="37"/>
        <v>0</v>
      </c>
      <c r="R22" s="538">
        <f t="shared" si="37"/>
        <v>0</v>
      </c>
      <c r="S22" s="538">
        <f t="shared" si="37"/>
        <v>0</v>
      </c>
      <c r="T22" s="538">
        <f t="shared" si="37"/>
        <v>105616</v>
      </c>
      <c r="U22" s="538">
        <f t="shared" si="37"/>
        <v>0</v>
      </c>
      <c r="V22" s="538">
        <f t="shared" si="37"/>
        <v>105616</v>
      </c>
      <c r="W22" s="538">
        <f t="shared" si="37"/>
        <v>0</v>
      </c>
      <c r="X22" s="538">
        <f t="shared" si="37"/>
        <v>105616</v>
      </c>
      <c r="Y22" s="538">
        <f t="shared" si="37"/>
        <v>0</v>
      </c>
      <c r="Z22" s="540">
        <f t="shared" si="37"/>
        <v>105616</v>
      </c>
      <c r="AA22" s="538">
        <f t="shared" si="37"/>
        <v>0</v>
      </c>
      <c r="AB22" s="538">
        <f t="shared" si="37"/>
        <v>0</v>
      </c>
      <c r="AC22" s="538">
        <f t="shared" si="37"/>
        <v>0</v>
      </c>
      <c r="AD22" s="538">
        <f t="shared" si="37"/>
        <v>0</v>
      </c>
      <c r="AE22" s="538">
        <f t="shared" si="37"/>
        <v>0</v>
      </c>
      <c r="AF22" s="538">
        <f t="shared" si="37"/>
        <v>23304.68</v>
      </c>
      <c r="AG22" s="538">
        <f t="shared" si="37"/>
        <v>0</v>
      </c>
      <c r="AH22" s="538">
        <f t="shared" si="37"/>
        <v>23304.68</v>
      </c>
      <c r="AI22" s="538">
        <f t="shared" si="37"/>
        <v>0</v>
      </c>
      <c r="AJ22" s="538">
        <f t="shared" si="37"/>
        <v>9000</v>
      </c>
      <c r="AK22" s="538">
        <f t="shared" si="37"/>
        <v>0</v>
      </c>
      <c r="AL22" s="538">
        <f t="shared" si="37"/>
        <v>9000</v>
      </c>
      <c r="AM22" s="538">
        <f t="shared" si="37"/>
        <v>0</v>
      </c>
      <c r="AN22" s="538">
        <f t="shared" si="37"/>
        <v>43627.18</v>
      </c>
      <c r="AO22" s="538">
        <f t="shared" si="37"/>
        <v>0</v>
      </c>
      <c r="AP22" s="538">
        <f t="shared" si="37"/>
        <v>43627.18</v>
      </c>
      <c r="AQ22" s="538">
        <f t="shared" si="37"/>
        <v>0</v>
      </c>
      <c r="AR22" s="538">
        <f t="shared" si="37"/>
        <v>75931.86</v>
      </c>
      <c r="AS22" s="538">
        <f t="shared" si="37"/>
        <v>0</v>
      </c>
      <c r="AT22" s="540">
        <f t="shared" si="37"/>
        <v>75931.86</v>
      </c>
      <c r="AU22" s="538">
        <f t="shared" si="37"/>
        <v>0</v>
      </c>
      <c r="AV22" s="538">
        <f t="shared" si="37"/>
        <v>0</v>
      </c>
      <c r="AW22" s="538">
        <f t="shared" si="37"/>
        <v>0</v>
      </c>
      <c r="AX22" s="538">
        <f t="shared" si="37"/>
        <v>0</v>
      </c>
      <c r="AY22" s="538">
        <f t="shared" si="37"/>
        <v>0</v>
      </c>
      <c r="AZ22" s="538">
        <f t="shared" si="37"/>
        <v>23304.68</v>
      </c>
      <c r="BA22" s="538">
        <f t="shared" si="37"/>
        <v>0</v>
      </c>
      <c r="BB22" s="538">
        <f t="shared" si="37"/>
        <v>23304.68</v>
      </c>
      <c r="BC22" s="538">
        <f t="shared" si="37"/>
        <v>0</v>
      </c>
      <c r="BD22" s="538">
        <f t="shared" si="37"/>
        <v>9000</v>
      </c>
      <c r="BE22" s="538">
        <f t="shared" si="37"/>
        <v>0</v>
      </c>
      <c r="BF22" s="538">
        <f t="shared" si="37"/>
        <v>9000</v>
      </c>
      <c r="BG22" s="538">
        <f t="shared" si="37"/>
        <v>0</v>
      </c>
      <c r="BH22" s="538">
        <f t="shared" si="37"/>
        <v>43627.18</v>
      </c>
      <c r="BI22" s="538">
        <f t="shared" si="37"/>
        <v>0</v>
      </c>
      <c r="BJ22" s="538">
        <f t="shared" si="37"/>
        <v>43627.18</v>
      </c>
      <c r="BK22" s="538">
        <f t="shared" si="37"/>
        <v>0</v>
      </c>
      <c r="BL22" s="538">
        <f t="shared" si="37"/>
        <v>75931.86</v>
      </c>
      <c r="BM22" s="538">
        <f t="shared" si="37"/>
        <v>0</v>
      </c>
      <c r="BN22" s="538">
        <f t="shared" si="37"/>
        <v>75931.86</v>
      </c>
      <c r="BO22" s="540">
        <f t="shared" si="37"/>
        <v>0</v>
      </c>
      <c r="BP22" s="538">
        <f t="shared" si="37"/>
        <v>0</v>
      </c>
      <c r="BQ22" s="538">
        <f t="shared" si="37"/>
        <v>29684.14</v>
      </c>
      <c r="BR22" s="538">
        <f t="shared" si="37"/>
        <v>0</v>
      </c>
      <c r="BS22" s="540">
        <f t="shared" si="37"/>
        <v>29684.14</v>
      </c>
      <c r="BT22" s="538">
        <f t="shared" si="37"/>
        <v>0</v>
      </c>
      <c r="BU22" s="538">
        <f t="shared" si="37"/>
        <v>0</v>
      </c>
      <c r="BV22" s="538">
        <f t="shared" ref="BV22:BW24" si="38">BV23</f>
        <v>0</v>
      </c>
      <c r="BW22" s="538">
        <f t="shared" si="38"/>
        <v>0</v>
      </c>
      <c r="BX22" s="538">
        <f t="shared" ref="BX22:CA24" si="39">BX23</f>
        <v>0</v>
      </c>
      <c r="BY22" s="538">
        <f t="shared" si="39"/>
        <v>0</v>
      </c>
      <c r="BZ22" s="538">
        <f t="shared" si="39"/>
        <v>0</v>
      </c>
      <c r="CA22" s="541">
        <f t="shared" si="39"/>
        <v>0</v>
      </c>
    </row>
    <row r="23" spans="1:79" ht="14.1" customHeight="1" x14ac:dyDescent="0.2">
      <c r="A23" s="121" t="s">
        <v>530</v>
      </c>
      <c r="B23" s="71">
        <v>1</v>
      </c>
      <c r="C23" s="907" t="s">
        <v>531</v>
      </c>
      <c r="D23" s="907"/>
      <c r="E23" s="908"/>
      <c r="G23" s="152"/>
      <c r="H23" s="152"/>
      <c r="I23" s="152"/>
      <c r="J23" s="152">
        <f t="shared" si="24"/>
        <v>0</v>
      </c>
      <c r="K23" s="152"/>
      <c r="L23" s="152"/>
      <c r="M23" s="152"/>
      <c r="N23" s="152">
        <f t="shared" ref="N23" si="40">SUM(K23:M23)</f>
        <v>0</v>
      </c>
      <c r="O23" s="152"/>
      <c r="P23" s="152"/>
      <c r="Q23" s="152"/>
      <c r="R23" s="152">
        <f t="shared" ref="R23" si="41">SUM(O23:Q23)</f>
        <v>0</v>
      </c>
      <c r="S23" s="152"/>
      <c r="T23" s="152">
        <v>105616</v>
      </c>
      <c r="U23" s="152"/>
      <c r="V23" s="152">
        <f t="shared" ref="V23" si="42">SUM(S23:U23)</f>
        <v>105616</v>
      </c>
      <c r="W23" s="152">
        <f>G23-O23+S23+K23</f>
        <v>0</v>
      </c>
      <c r="X23" s="152">
        <f t="shared" ref="X23:Y23" si="43">H23-P23+T23+L23</f>
        <v>105616</v>
      </c>
      <c r="Y23" s="152">
        <f t="shared" si="43"/>
        <v>0</v>
      </c>
      <c r="Z23" s="168">
        <f>SUM(W23:Y23)</f>
        <v>105616</v>
      </c>
      <c r="AA23" s="152"/>
      <c r="AB23" s="152"/>
      <c r="AC23" s="152"/>
      <c r="AD23" s="152">
        <f t="shared" ref="AD23" si="44">SUM(AA23:AC23)</f>
        <v>0</v>
      </c>
      <c r="AE23" s="152"/>
      <c r="AF23" s="152">
        <f>3197.07+20107.61</f>
        <v>23304.68</v>
      </c>
      <c r="AG23" s="152"/>
      <c r="AH23" s="152">
        <f t="shared" ref="AH23" si="45">SUM(AE23:AG23)</f>
        <v>23304.68</v>
      </c>
      <c r="AI23" s="152"/>
      <c r="AJ23" s="152">
        <f>6000+3000</f>
        <v>9000</v>
      </c>
      <c r="AK23" s="152"/>
      <c r="AL23" s="152">
        <f t="shared" ref="AL23" si="46">SUM(AI23:AK23)</f>
        <v>9000</v>
      </c>
      <c r="AM23" s="152"/>
      <c r="AN23" s="152">
        <f>34627.18+9000</f>
        <v>43627.18</v>
      </c>
      <c r="AO23" s="152"/>
      <c r="AP23" s="152">
        <f t="shared" ref="AP23" si="47">SUM(AM23:AO23)</f>
        <v>43627.18</v>
      </c>
      <c r="AQ23" s="152">
        <f t="shared" ref="AQ23:AS23" si="48">AA23+AE23+AI23+AM23</f>
        <v>0</v>
      </c>
      <c r="AR23" s="152">
        <f t="shared" si="48"/>
        <v>75931.86</v>
      </c>
      <c r="AS23" s="152">
        <f t="shared" si="48"/>
        <v>0</v>
      </c>
      <c r="AT23" s="168">
        <f>SUM(AQ23:AS23)</f>
        <v>75931.86</v>
      </c>
      <c r="AU23" s="152"/>
      <c r="AV23" s="152"/>
      <c r="AW23" s="152"/>
      <c r="AX23" s="152">
        <f t="shared" ref="AX23" si="49">SUM(AU23:AW23)</f>
        <v>0</v>
      </c>
      <c r="AY23" s="152"/>
      <c r="AZ23" s="152">
        <f>3197.07+20107.61</f>
        <v>23304.68</v>
      </c>
      <c r="BA23" s="152"/>
      <c r="BB23" s="152">
        <f t="shared" ref="BB23" si="50">SUM(AY23:BA23)</f>
        <v>23304.68</v>
      </c>
      <c r="BC23" s="152"/>
      <c r="BD23" s="152">
        <f>6000+3000</f>
        <v>9000</v>
      </c>
      <c r="BE23" s="152"/>
      <c r="BF23" s="152">
        <f t="shared" ref="BF23" si="51">SUM(BC23:BE23)</f>
        <v>9000</v>
      </c>
      <c r="BG23" s="152"/>
      <c r="BH23" s="152">
        <f>34627.18+9000</f>
        <v>43627.18</v>
      </c>
      <c r="BI23" s="152"/>
      <c r="BJ23" s="152">
        <f t="shared" ref="BJ23" si="52">SUM(BG23:BI23)</f>
        <v>43627.18</v>
      </c>
      <c r="BK23" s="152">
        <f t="shared" ref="BK23:BM23" si="53">AU23+AY23+BC23+BG23</f>
        <v>0</v>
      </c>
      <c r="BL23" s="152">
        <f t="shared" si="53"/>
        <v>75931.86</v>
      </c>
      <c r="BM23" s="152">
        <f t="shared" si="53"/>
        <v>0</v>
      </c>
      <c r="BN23" s="152">
        <f>SUM(BK23:BM23)</f>
        <v>75931.86</v>
      </c>
      <c r="BO23" s="168"/>
      <c r="BP23" s="152">
        <f t="shared" ref="BP23:BR23" si="54">W23-AQ23</f>
        <v>0</v>
      </c>
      <c r="BQ23" s="152">
        <f t="shared" si="54"/>
        <v>29684.14</v>
      </c>
      <c r="BR23" s="152">
        <f t="shared" si="54"/>
        <v>0</v>
      </c>
      <c r="BS23" s="168">
        <f>SUM(BP23:BR23)</f>
        <v>29684.14</v>
      </c>
      <c r="BT23" s="152"/>
      <c r="BU23" s="152"/>
      <c r="BV23" s="152"/>
      <c r="BW23" s="152">
        <f t="shared" ref="BW23" si="55">SUM(BT23:BV23)</f>
        <v>0</v>
      </c>
      <c r="BX23" s="152">
        <f t="shared" si="20"/>
        <v>0</v>
      </c>
      <c r="BY23" s="152">
        <f t="shared" si="21"/>
        <v>0</v>
      </c>
      <c r="BZ23" s="152">
        <f t="shared" si="22"/>
        <v>0</v>
      </c>
      <c r="CA23" s="587">
        <f t="shared" si="23"/>
        <v>0</v>
      </c>
    </row>
    <row r="24" spans="1:79" ht="14.1" customHeight="1" x14ac:dyDescent="0.2">
      <c r="A24" s="542"/>
      <c r="B24" s="535" t="s">
        <v>715</v>
      </c>
      <c r="C24" s="535"/>
      <c r="D24" s="535"/>
      <c r="E24" s="543"/>
      <c r="F24" s="537"/>
      <c r="G24" s="538">
        <f t="shared" si="37"/>
        <v>86000</v>
      </c>
      <c r="H24" s="538">
        <f t="shared" si="37"/>
        <v>0</v>
      </c>
      <c r="I24" s="538">
        <f t="shared" si="37"/>
        <v>0</v>
      </c>
      <c r="J24" s="538">
        <f t="shared" si="37"/>
        <v>86000</v>
      </c>
      <c r="K24" s="538">
        <f t="shared" si="37"/>
        <v>0</v>
      </c>
      <c r="L24" s="538">
        <f t="shared" si="37"/>
        <v>0</v>
      </c>
      <c r="M24" s="538">
        <f t="shared" si="37"/>
        <v>0</v>
      </c>
      <c r="N24" s="538">
        <f t="shared" si="37"/>
        <v>0</v>
      </c>
      <c r="O24" s="538">
        <f t="shared" si="37"/>
        <v>0</v>
      </c>
      <c r="P24" s="538">
        <f t="shared" si="37"/>
        <v>0</v>
      </c>
      <c r="Q24" s="538">
        <f t="shared" si="37"/>
        <v>0</v>
      </c>
      <c r="R24" s="538">
        <f t="shared" si="37"/>
        <v>0</v>
      </c>
      <c r="S24" s="538">
        <f t="shared" si="37"/>
        <v>0</v>
      </c>
      <c r="T24" s="538">
        <f t="shared" si="37"/>
        <v>0</v>
      </c>
      <c r="U24" s="538">
        <f t="shared" si="37"/>
        <v>0</v>
      </c>
      <c r="V24" s="538">
        <f t="shared" si="37"/>
        <v>0</v>
      </c>
      <c r="W24" s="538">
        <f t="shared" si="37"/>
        <v>86000</v>
      </c>
      <c r="X24" s="538">
        <f t="shared" si="37"/>
        <v>0</v>
      </c>
      <c r="Y24" s="538">
        <f t="shared" si="37"/>
        <v>0</v>
      </c>
      <c r="Z24" s="540">
        <f t="shared" si="37"/>
        <v>86000</v>
      </c>
      <c r="AA24" s="538">
        <f t="shared" si="37"/>
        <v>0</v>
      </c>
      <c r="AB24" s="538">
        <f t="shared" si="37"/>
        <v>0</v>
      </c>
      <c r="AC24" s="538">
        <f t="shared" si="37"/>
        <v>0</v>
      </c>
      <c r="AD24" s="538">
        <f t="shared" si="37"/>
        <v>0</v>
      </c>
      <c r="AE24" s="538">
        <f t="shared" si="37"/>
        <v>0</v>
      </c>
      <c r="AF24" s="538">
        <f t="shared" si="37"/>
        <v>0</v>
      </c>
      <c r="AG24" s="538">
        <f t="shared" si="37"/>
        <v>0</v>
      </c>
      <c r="AH24" s="538">
        <f t="shared" si="37"/>
        <v>0</v>
      </c>
      <c r="AI24" s="538">
        <f t="shared" si="37"/>
        <v>0</v>
      </c>
      <c r="AJ24" s="538">
        <f t="shared" si="37"/>
        <v>0</v>
      </c>
      <c r="AK24" s="538">
        <f t="shared" si="37"/>
        <v>0</v>
      </c>
      <c r="AL24" s="538">
        <f t="shared" si="37"/>
        <v>0</v>
      </c>
      <c r="AM24" s="538">
        <f t="shared" si="37"/>
        <v>0</v>
      </c>
      <c r="AN24" s="538">
        <f t="shared" si="37"/>
        <v>0</v>
      </c>
      <c r="AO24" s="538">
        <f t="shared" si="37"/>
        <v>0</v>
      </c>
      <c r="AP24" s="538">
        <f t="shared" si="37"/>
        <v>0</v>
      </c>
      <c r="AQ24" s="538">
        <f t="shared" si="37"/>
        <v>0</v>
      </c>
      <c r="AR24" s="538">
        <f t="shared" si="37"/>
        <v>0</v>
      </c>
      <c r="AS24" s="538">
        <f t="shared" si="37"/>
        <v>0</v>
      </c>
      <c r="AT24" s="540">
        <f t="shared" si="37"/>
        <v>0</v>
      </c>
      <c r="AU24" s="538">
        <f t="shared" si="37"/>
        <v>0</v>
      </c>
      <c r="AV24" s="538">
        <f t="shared" si="37"/>
        <v>0</v>
      </c>
      <c r="AW24" s="538">
        <f t="shared" si="37"/>
        <v>0</v>
      </c>
      <c r="AX24" s="538">
        <f t="shared" si="37"/>
        <v>0</v>
      </c>
      <c r="AY24" s="538">
        <f t="shared" si="37"/>
        <v>0</v>
      </c>
      <c r="AZ24" s="538">
        <f t="shared" si="37"/>
        <v>0</v>
      </c>
      <c r="BA24" s="538">
        <f t="shared" si="37"/>
        <v>0</v>
      </c>
      <c r="BB24" s="538">
        <f t="shared" si="37"/>
        <v>0</v>
      </c>
      <c r="BC24" s="538">
        <f t="shared" si="37"/>
        <v>0</v>
      </c>
      <c r="BD24" s="538">
        <f t="shared" si="37"/>
        <v>0</v>
      </c>
      <c r="BE24" s="538">
        <f t="shared" si="37"/>
        <v>0</v>
      </c>
      <c r="BF24" s="538">
        <f t="shared" si="37"/>
        <v>0</v>
      </c>
      <c r="BG24" s="538">
        <f t="shared" si="37"/>
        <v>0</v>
      </c>
      <c r="BH24" s="538">
        <f t="shared" si="37"/>
        <v>0</v>
      </c>
      <c r="BI24" s="538">
        <f t="shared" si="37"/>
        <v>0</v>
      </c>
      <c r="BJ24" s="538">
        <f t="shared" si="37"/>
        <v>0</v>
      </c>
      <c r="BK24" s="538">
        <f t="shared" si="37"/>
        <v>0</v>
      </c>
      <c r="BL24" s="538">
        <f t="shared" si="37"/>
        <v>0</v>
      </c>
      <c r="BM24" s="538">
        <f t="shared" si="37"/>
        <v>0</v>
      </c>
      <c r="BN24" s="538">
        <f t="shared" si="37"/>
        <v>0</v>
      </c>
      <c r="BO24" s="540">
        <f t="shared" si="37"/>
        <v>0</v>
      </c>
      <c r="BP24" s="538">
        <f t="shared" si="37"/>
        <v>86000</v>
      </c>
      <c r="BQ24" s="538">
        <f t="shared" si="37"/>
        <v>0</v>
      </c>
      <c r="BR24" s="538">
        <f t="shared" si="37"/>
        <v>0</v>
      </c>
      <c r="BS24" s="540">
        <f t="shared" si="37"/>
        <v>86000</v>
      </c>
      <c r="BT24" s="538">
        <f t="shared" si="37"/>
        <v>0</v>
      </c>
      <c r="BU24" s="538">
        <f t="shared" si="37"/>
        <v>0</v>
      </c>
      <c r="BV24" s="538">
        <f t="shared" si="38"/>
        <v>0</v>
      </c>
      <c r="BW24" s="538">
        <f t="shared" si="38"/>
        <v>0</v>
      </c>
      <c r="BX24" s="538">
        <f t="shared" si="39"/>
        <v>0</v>
      </c>
      <c r="BY24" s="538">
        <f t="shared" si="39"/>
        <v>0</v>
      </c>
      <c r="BZ24" s="538">
        <f t="shared" si="39"/>
        <v>0</v>
      </c>
      <c r="CA24" s="541">
        <f t="shared" si="39"/>
        <v>0</v>
      </c>
    </row>
    <row r="25" spans="1:79" ht="14.1" customHeight="1" x14ac:dyDescent="0.2">
      <c r="A25" s="121"/>
      <c r="B25" s="71">
        <v>1</v>
      </c>
      <c r="C25" s="907" t="s">
        <v>273</v>
      </c>
      <c r="D25" s="907"/>
      <c r="E25" s="908"/>
      <c r="G25" s="152">
        <v>86000</v>
      </c>
      <c r="H25" s="152"/>
      <c r="I25" s="152"/>
      <c r="J25" s="152">
        <f t="shared" ref="J25" si="56">SUM(G25:I25)</f>
        <v>86000</v>
      </c>
      <c r="K25" s="152"/>
      <c r="L25" s="152"/>
      <c r="M25" s="152"/>
      <c r="N25" s="152">
        <f t="shared" ref="N25" si="57">SUM(K25:M25)</f>
        <v>0</v>
      </c>
      <c r="O25" s="152"/>
      <c r="P25" s="152"/>
      <c r="Q25" s="152"/>
      <c r="R25" s="152">
        <f t="shared" ref="R25" si="58">SUM(O25:Q25)</f>
        <v>0</v>
      </c>
      <c r="S25" s="152"/>
      <c r="T25" s="152"/>
      <c r="U25" s="152"/>
      <c r="V25" s="152">
        <f t="shared" ref="V25" si="59">SUM(S25:U25)</f>
        <v>0</v>
      </c>
      <c r="W25" s="152">
        <f>G25-O25+S25+K25</f>
        <v>86000</v>
      </c>
      <c r="X25" s="152">
        <f t="shared" ref="X25" si="60">H25-P25+T25+L25</f>
        <v>0</v>
      </c>
      <c r="Y25" s="152">
        <f t="shared" ref="Y25" si="61">I25-Q25+U25+M25</f>
        <v>0</v>
      </c>
      <c r="Z25" s="168">
        <f>SUM(W25:Y25)</f>
        <v>86000</v>
      </c>
      <c r="AA25" s="152"/>
      <c r="AB25" s="152"/>
      <c r="AC25" s="152"/>
      <c r="AD25" s="152">
        <f t="shared" ref="AD25" si="62">SUM(AA25:AC25)</f>
        <v>0</v>
      </c>
      <c r="AE25" s="152"/>
      <c r="AF25" s="152"/>
      <c r="AG25" s="152"/>
      <c r="AH25" s="152">
        <f t="shared" ref="AH25" si="63">SUM(AE25:AG25)</f>
        <v>0</v>
      </c>
      <c r="AI25" s="152"/>
      <c r="AJ25" s="152"/>
      <c r="AK25" s="152"/>
      <c r="AL25" s="152">
        <f t="shared" ref="AL25" si="64">SUM(AI25:AK25)</f>
        <v>0</v>
      </c>
      <c r="AM25" s="152"/>
      <c r="AN25" s="152"/>
      <c r="AO25" s="152"/>
      <c r="AP25" s="152">
        <f t="shared" ref="AP25" si="65">SUM(AM25:AO25)</f>
        <v>0</v>
      </c>
      <c r="AQ25" s="152">
        <f t="shared" ref="AQ25:AS25" si="66">AA25+AE25+AI25+AM25</f>
        <v>0</v>
      </c>
      <c r="AR25" s="152">
        <f t="shared" si="66"/>
        <v>0</v>
      </c>
      <c r="AS25" s="152">
        <f t="shared" si="66"/>
        <v>0</v>
      </c>
      <c r="AT25" s="168">
        <f>SUM(AQ25:AS25)</f>
        <v>0</v>
      </c>
      <c r="AU25" s="152"/>
      <c r="AV25" s="152"/>
      <c r="AW25" s="152"/>
      <c r="AX25" s="152">
        <f t="shared" ref="AX25" si="67">SUM(AU25:AW25)</f>
        <v>0</v>
      </c>
      <c r="AY25" s="152"/>
      <c r="AZ25" s="152"/>
      <c r="BA25" s="152"/>
      <c r="BB25" s="152">
        <f t="shared" ref="BB25" si="68">SUM(AY25:BA25)</f>
        <v>0</v>
      </c>
      <c r="BC25" s="152"/>
      <c r="BD25" s="152"/>
      <c r="BE25" s="152"/>
      <c r="BF25" s="152">
        <f t="shared" ref="BF25" si="69">SUM(BC25:BE25)</f>
        <v>0</v>
      </c>
      <c r="BG25" s="152"/>
      <c r="BH25" s="152"/>
      <c r="BI25" s="152"/>
      <c r="BJ25" s="152">
        <f t="shared" ref="BJ25" si="70">SUM(BG25:BI25)</f>
        <v>0</v>
      </c>
      <c r="BK25" s="152">
        <f t="shared" ref="BK25" si="71">AU25+AY25+BC25+BG25</f>
        <v>0</v>
      </c>
      <c r="BL25" s="152">
        <f t="shared" ref="BL25" si="72">AV25+AZ25+BD25+BH25</f>
        <v>0</v>
      </c>
      <c r="BM25" s="152">
        <f t="shared" ref="BM25" si="73">AW25+BA25+BE25+BI25</f>
        <v>0</v>
      </c>
      <c r="BN25" s="152">
        <f>SUM(BK25:BM25)</f>
        <v>0</v>
      </c>
      <c r="BO25" s="168"/>
      <c r="BP25" s="152">
        <f t="shared" ref="BP25" si="74">W25-AQ25</f>
        <v>86000</v>
      </c>
      <c r="BQ25" s="152">
        <f t="shared" ref="BQ25" si="75">X25-AR25</f>
        <v>0</v>
      </c>
      <c r="BR25" s="152">
        <f t="shared" ref="BR25" si="76">Y25-AS25</f>
        <v>0</v>
      </c>
      <c r="BS25" s="168">
        <f>SUM(BP25:BR25)</f>
        <v>86000</v>
      </c>
      <c r="BT25" s="152"/>
      <c r="BU25" s="152"/>
      <c r="BV25" s="152"/>
      <c r="BW25" s="152">
        <f t="shared" ref="BW25" si="77">SUM(BT25:BV25)</f>
        <v>0</v>
      </c>
      <c r="BX25" s="152">
        <f t="shared" ref="BX25" si="78">AQ25-BK25-BT25</f>
        <v>0</v>
      </c>
      <c r="BY25" s="152">
        <f t="shared" ref="BY25" si="79">AR25-BL25-BU25</f>
        <v>0</v>
      </c>
      <c r="BZ25" s="152">
        <f t="shared" ref="BZ25" si="80">AS25-BM25-BV25</f>
        <v>0</v>
      </c>
      <c r="CA25" s="587">
        <f t="shared" ref="CA25" si="81">SUM(BX25:BZ25)</f>
        <v>0</v>
      </c>
    </row>
    <row r="26" spans="1:79" ht="14.1" customHeight="1" x14ac:dyDescent="0.2">
      <c r="A26" s="515" t="s">
        <v>112</v>
      </c>
      <c r="B26" s="898" t="s">
        <v>532</v>
      </c>
      <c r="C26" s="898"/>
      <c r="D26" s="898"/>
      <c r="E26" s="898"/>
      <c r="F26" s="514"/>
      <c r="G26" s="584">
        <f>SUM(G27:G29)</f>
        <v>0</v>
      </c>
      <c r="H26" s="584">
        <f t="shared" ref="H26:I26" si="82">SUM(H27:H29)</f>
        <v>0</v>
      </c>
      <c r="I26" s="584">
        <f t="shared" si="82"/>
        <v>0</v>
      </c>
      <c r="J26" s="584">
        <f t="shared" ref="J26:BS26" si="83">SUM(J27:J29)</f>
        <v>0</v>
      </c>
      <c r="K26" s="584">
        <f>SUM(K27:K29)</f>
        <v>0</v>
      </c>
      <c r="L26" s="584">
        <f t="shared" ref="L26" si="84">SUM(L27:L29)</f>
        <v>0</v>
      </c>
      <c r="M26" s="584">
        <f t="shared" ref="M26:N26" si="85">SUM(M27:M29)</f>
        <v>0</v>
      </c>
      <c r="N26" s="584">
        <f t="shared" si="85"/>
        <v>0</v>
      </c>
      <c r="O26" s="584">
        <f>SUM(O27:O29)</f>
        <v>0</v>
      </c>
      <c r="P26" s="584">
        <f t="shared" ref="P26" si="86">SUM(P27:P29)</f>
        <v>0</v>
      </c>
      <c r="Q26" s="584">
        <f t="shared" ref="Q26:R26" si="87">SUM(Q27:Q29)</f>
        <v>0</v>
      </c>
      <c r="R26" s="584">
        <f t="shared" si="87"/>
        <v>0</v>
      </c>
      <c r="S26" s="584">
        <f>SUM(S27:S29)</f>
        <v>0</v>
      </c>
      <c r="T26" s="584">
        <f t="shared" ref="T26" si="88">SUM(T27:T29)</f>
        <v>0</v>
      </c>
      <c r="U26" s="584">
        <f t="shared" ref="U26:V26" si="89">SUM(U27:U29)</f>
        <v>0</v>
      </c>
      <c r="V26" s="584">
        <f t="shared" si="89"/>
        <v>0</v>
      </c>
      <c r="W26" s="584">
        <f t="shared" si="83"/>
        <v>0</v>
      </c>
      <c r="X26" s="584">
        <f t="shared" si="83"/>
        <v>0</v>
      </c>
      <c r="Y26" s="584">
        <f t="shared" si="83"/>
        <v>0</v>
      </c>
      <c r="Z26" s="585">
        <f t="shared" si="83"/>
        <v>0</v>
      </c>
      <c r="AA26" s="584">
        <f t="shared" si="83"/>
        <v>0</v>
      </c>
      <c r="AB26" s="584">
        <f t="shared" si="83"/>
        <v>0</v>
      </c>
      <c r="AC26" s="584">
        <f t="shared" si="83"/>
        <v>0</v>
      </c>
      <c r="AD26" s="584">
        <f t="shared" si="83"/>
        <v>0</v>
      </c>
      <c r="AE26" s="584">
        <f>SUM(AE27:AE29)</f>
        <v>0</v>
      </c>
      <c r="AF26" s="584">
        <f t="shared" ref="AF26:AH26" si="90">SUM(AF27:AF29)</f>
        <v>0</v>
      </c>
      <c r="AG26" s="584">
        <f t="shared" si="90"/>
        <v>0</v>
      </c>
      <c r="AH26" s="584">
        <f t="shared" si="90"/>
        <v>0</v>
      </c>
      <c r="AI26" s="584">
        <f>SUM(AI27:AI29)</f>
        <v>0</v>
      </c>
      <c r="AJ26" s="584">
        <f t="shared" ref="AJ26:AL26" si="91">SUM(AJ27:AJ29)</f>
        <v>0</v>
      </c>
      <c r="AK26" s="584">
        <f t="shared" si="91"/>
        <v>0</v>
      </c>
      <c r="AL26" s="584">
        <f t="shared" si="91"/>
        <v>0</v>
      </c>
      <c r="AM26" s="584">
        <f>SUM(AM27:AM29)</f>
        <v>0</v>
      </c>
      <c r="AN26" s="584">
        <f t="shared" ref="AN26:AP26" si="92">SUM(AN27:AN29)</f>
        <v>0</v>
      </c>
      <c r="AO26" s="584">
        <f t="shared" si="92"/>
        <v>0</v>
      </c>
      <c r="AP26" s="584">
        <f t="shared" si="92"/>
        <v>0</v>
      </c>
      <c r="AQ26" s="584">
        <f t="shared" si="83"/>
        <v>0</v>
      </c>
      <c r="AR26" s="584">
        <f t="shared" si="83"/>
        <v>0</v>
      </c>
      <c r="AS26" s="584">
        <f t="shared" si="83"/>
        <v>0</v>
      </c>
      <c r="AT26" s="585">
        <f t="shared" si="83"/>
        <v>0</v>
      </c>
      <c r="AU26" s="584">
        <f t="shared" si="83"/>
        <v>0</v>
      </c>
      <c r="AV26" s="584">
        <f t="shared" si="83"/>
        <v>0</v>
      </c>
      <c r="AW26" s="584">
        <f t="shared" si="83"/>
        <v>0</v>
      </c>
      <c r="AX26" s="584">
        <f t="shared" si="83"/>
        <v>0</v>
      </c>
      <c r="AY26" s="584">
        <f>SUM(AY27:AY29)</f>
        <v>0</v>
      </c>
      <c r="AZ26" s="584">
        <f t="shared" ref="AZ26" si="93">SUM(AZ27:AZ29)</f>
        <v>0</v>
      </c>
      <c r="BA26" s="584">
        <f t="shared" ref="BA26:BB26" si="94">SUM(BA27:BA29)</f>
        <v>0</v>
      </c>
      <c r="BB26" s="584">
        <f t="shared" si="94"/>
        <v>0</v>
      </c>
      <c r="BC26" s="584">
        <f>SUM(BC27:BC29)</f>
        <v>0</v>
      </c>
      <c r="BD26" s="584">
        <f t="shared" ref="BD26" si="95">SUM(BD27:BD29)</f>
        <v>0</v>
      </c>
      <c r="BE26" s="584">
        <f t="shared" ref="BE26:BF26" si="96">SUM(BE27:BE29)</f>
        <v>0</v>
      </c>
      <c r="BF26" s="584">
        <f t="shared" si="96"/>
        <v>0</v>
      </c>
      <c r="BG26" s="584">
        <f>SUM(BG27:BG29)</f>
        <v>0</v>
      </c>
      <c r="BH26" s="584">
        <f t="shared" ref="BH26" si="97">SUM(BH27:BH29)</f>
        <v>0</v>
      </c>
      <c r="BI26" s="584">
        <f t="shared" ref="BI26:BJ26" si="98">SUM(BI27:BI29)</f>
        <v>0</v>
      </c>
      <c r="BJ26" s="584">
        <f t="shared" si="98"/>
        <v>0</v>
      </c>
      <c r="BK26" s="584">
        <f t="shared" si="83"/>
        <v>0</v>
      </c>
      <c r="BL26" s="584">
        <f t="shared" si="83"/>
        <v>0</v>
      </c>
      <c r="BM26" s="584">
        <f t="shared" si="83"/>
        <v>0</v>
      </c>
      <c r="BN26" s="584">
        <f t="shared" si="83"/>
        <v>0</v>
      </c>
      <c r="BO26" s="585">
        <f t="shared" si="83"/>
        <v>0</v>
      </c>
      <c r="BP26" s="584">
        <f t="shared" si="83"/>
        <v>0</v>
      </c>
      <c r="BQ26" s="584">
        <f>SUM(BQ27:BQ29)</f>
        <v>0</v>
      </c>
      <c r="BR26" s="584">
        <f t="shared" si="83"/>
        <v>0</v>
      </c>
      <c r="BS26" s="585">
        <f t="shared" si="83"/>
        <v>0</v>
      </c>
      <c r="BT26" s="584">
        <f>SUM(BT27:BT29)</f>
        <v>0</v>
      </c>
      <c r="BU26" s="584">
        <f t="shared" ref="BU26" si="99">SUM(BU27:BU29)</f>
        <v>0</v>
      </c>
      <c r="BV26" s="584">
        <f t="shared" ref="BV26:BW26" si="100">SUM(BV27:BV29)</f>
        <v>0</v>
      </c>
      <c r="BW26" s="584">
        <f t="shared" si="100"/>
        <v>0</v>
      </c>
      <c r="BX26" s="584">
        <f t="shared" ref="BX26:CA26" si="101">SUM(BX27:BX29)</f>
        <v>0</v>
      </c>
      <c r="BY26" s="584">
        <f t="shared" si="101"/>
        <v>0</v>
      </c>
      <c r="BZ26" s="584">
        <f t="shared" si="101"/>
        <v>0</v>
      </c>
      <c r="CA26" s="586">
        <f t="shared" si="101"/>
        <v>0</v>
      </c>
    </row>
    <row r="27" spans="1:79" ht="14.1" customHeight="1" x14ac:dyDescent="0.2">
      <c r="A27" s="122" t="s">
        <v>114</v>
      </c>
      <c r="B27" s="80" t="s">
        <v>126</v>
      </c>
      <c r="C27" s="568" t="s">
        <v>115</v>
      </c>
      <c r="D27" s="568"/>
      <c r="E27" s="75"/>
      <c r="G27" s="152"/>
      <c r="H27" s="152"/>
      <c r="I27" s="152"/>
      <c r="J27" s="152">
        <f t="shared" si="24"/>
        <v>0</v>
      </c>
      <c r="K27" s="152"/>
      <c r="L27" s="152"/>
      <c r="M27" s="152"/>
      <c r="N27" s="152">
        <f t="shared" ref="N27:N29" si="102">SUM(K27:M27)</f>
        <v>0</v>
      </c>
      <c r="O27" s="152"/>
      <c r="P27" s="152"/>
      <c r="Q27" s="152"/>
      <c r="R27" s="152">
        <f t="shared" ref="R27:R29" si="103">SUM(O27:Q27)</f>
        <v>0</v>
      </c>
      <c r="S27" s="152"/>
      <c r="T27" s="152"/>
      <c r="U27" s="152"/>
      <c r="V27" s="152">
        <f t="shared" ref="V27:V29" si="104">SUM(S27:U27)</f>
        <v>0</v>
      </c>
      <c r="W27" s="152">
        <f>G27-O27+S27+K27</f>
        <v>0</v>
      </c>
      <c r="X27" s="152">
        <f t="shared" ref="X27:Y29" si="105">H27-P27+T27+L27</f>
        <v>0</v>
      </c>
      <c r="Y27" s="152">
        <f t="shared" si="105"/>
        <v>0</v>
      </c>
      <c r="Z27" s="168">
        <f>SUM(W27:Y27)</f>
        <v>0</v>
      </c>
      <c r="AA27" s="152"/>
      <c r="AB27" s="152"/>
      <c r="AC27" s="152"/>
      <c r="AD27" s="152">
        <f t="shared" ref="AD27:AD29" si="106">SUM(AA27:AC27)</f>
        <v>0</v>
      </c>
      <c r="AE27" s="152"/>
      <c r="AF27" s="152"/>
      <c r="AG27" s="152"/>
      <c r="AH27" s="152">
        <f t="shared" ref="AH27:AH29" si="107">SUM(AE27:AG27)</f>
        <v>0</v>
      </c>
      <c r="AI27" s="152"/>
      <c r="AJ27" s="152"/>
      <c r="AK27" s="152"/>
      <c r="AL27" s="152">
        <f t="shared" ref="AL27:AL29" si="108">SUM(AI27:AK27)</f>
        <v>0</v>
      </c>
      <c r="AM27" s="152"/>
      <c r="AN27" s="152"/>
      <c r="AO27" s="152"/>
      <c r="AP27" s="152">
        <f t="shared" ref="AP27:AP29" si="109">SUM(AM27:AO27)</f>
        <v>0</v>
      </c>
      <c r="AQ27" s="152">
        <f t="shared" ref="AQ27:AS29" si="110">AA27+AE27+AI27+AM27</f>
        <v>0</v>
      </c>
      <c r="AR27" s="152">
        <f t="shared" si="110"/>
        <v>0</v>
      </c>
      <c r="AS27" s="152">
        <f t="shared" si="110"/>
        <v>0</v>
      </c>
      <c r="AT27" s="168">
        <f>SUM(AQ27:AS27)</f>
        <v>0</v>
      </c>
      <c r="AU27" s="152"/>
      <c r="AV27" s="152"/>
      <c r="AW27" s="152"/>
      <c r="AX27" s="152">
        <f t="shared" ref="AX27:AX29" si="111">SUM(AU27:AW27)</f>
        <v>0</v>
      </c>
      <c r="AY27" s="152"/>
      <c r="AZ27" s="152"/>
      <c r="BA27" s="152"/>
      <c r="BB27" s="152">
        <f t="shared" ref="BB27:BB29" si="112">SUM(AY27:BA27)</f>
        <v>0</v>
      </c>
      <c r="BC27" s="152"/>
      <c r="BD27" s="152"/>
      <c r="BE27" s="152"/>
      <c r="BF27" s="152">
        <f t="shared" ref="BF27:BF29" si="113">SUM(BC27:BE27)</f>
        <v>0</v>
      </c>
      <c r="BG27" s="152"/>
      <c r="BH27" s="152"/>
      <c r="BI27" s="152"/>
      <c r="BJ27" s="152">
        <f t="shared" ref="BJ27:BJ29" si="114">SUM(BG27:BI27)</f>
        <v>0</v>
      </c>
      <c r="BK27" s="152">
        <f t="shared" ref="BK27:BM29" si="115">AU27+AY27+BC27+BG27</f>
        <v>0</v>
      </c>
      <c r="BL27" s="152">
        <f t="shared" si="115"/>
        <v>0</v>
      </c>
      <c r="BM27" s="152">
        <f t="shared" si="115"/>
        <v>0</v>
      </c>
      <c r="BN27" s="152">
        <f>SUM(BK27:BM27)</f>
        <v>0</v>
      </c>
      <c r="BO27" s="168"/>
      <c r="BP27" s="152">
        <f t="shared" ref="BP27:BR29" si="116">W27-AQ27</f>
        <v>0</v>
      </c>
      <c r="BQ27" s="152">
        <f t="shared" si="116"/>
        <v>0</v>
      </c>
      <c r="BR27" s="152">
        <f t="shared" si="116"/>
        <v>0</v>
      </c>
      <c r="BS27" s="168">
        <f>SUM(BP27:BR27)</f>
        <v>0</v>
      </c>
      <c r="BT27" s="152"/>
      <c r="BU27" s="152"/>
      <c r="BV27" s="152"/>
      <c r="BW27" s="152">
        <f t="shared" ref="BW27:BW29" si="117">SUM(BT27:BV27)</f>
        <v>0</v>
      </c>
      <c r="BX27" s="152">
        <f t="shared" si="20"/>
        <v>0</v>
      </c>
      <c r="BY27" s="152">
        <f t="shared" si="21"/>
        <v>0</v>
      </c>
      <c r="BZ27" s="152">
        <f t="shared" si="22"/>
        <v>0</v>
      </c>
      <c r="CA27" s="587">
        <f t="shared" si="23"/>
        <v>0</v>
      </c>
    </row>
    <row r="28" spans="1:79" ht="14.1" customHeight="1" x14ac:dyDescent="0.2">
      <c r="A28" s="122" t="s">
        <v>116</v>
      </c>
      <c r="B28" s="80" t="s">
        <v>131</v>
      </c>
      <c r="C28" s="568" t="s">
        <v>252</v>
      </c>
      <c r="D28" s="568"/>
      <c r="E28" s="75"/>
      <c r="G28" s="152"/>
      <c r="H28" s="152"/>
      <c r="I28" s="152"/>
      <c r="J28" s="152">
        <f t="shared" si="24"/>
        <v>0</v>
      </c>
      <c r="K28" s="152"/>
      <c r="L28" s="152"/>
      <c r="M28" s="152"/>
      <c r="N28" s="152">
        <f t="shared" si="102"/>
        <v>0</v>
      </c>
      <c r="O28" s="152"/>
      <c r="P28" s="152"/>
      <c r="Q28" s="152"/>
      <c r="R28" s="152">
        <f t="shared" si="103"/>
        <v>0</v>
      </c>
      <c r="S28" s="152"/>
      <c r="T28" s="152"/>
      <c r="U28" s="152"/>
      <c r="V28" s="152">
        <f t="shared" si="104"/>
        <v>0</v>
      </c>
      <c r="W28" s="152">
        <f>G28-O28+S28+K28</f>
        <v>0</v>
      </c>
      <c r="X28" s="152">
        <f t="shared" si="105"/>
        <v>0</v>
      </c>
      <c r="Y28" s="152">
        <f t="shared" si="105"/>
        <v>0</v>
      </c>
      <c r="Z28" s="168">
        <f>SUM(W28:Y28)</f>
        <v>0</v>
      </c>
      <c r="AA28" s="152"/>
      <c r="AB28" s="152"/>
      <c r="AC28" s="152"/>
      <c r="AD28" s="152">
        <f t="shared" si="106"/>
        <v>0</v>
      </c>
      <c r="AE28" s="152"/>
      <c r="AF28" s="152"/>
      <c r="AG28" s="152"/>
      <c r="AH28" s="152">
        <f t="shared" si="107"/>
        <v>0</v>
      </c>
      <c r="AI28" s="152"/>
      <c r="AJ28" s="152"/>
      <c r="AK28" s="152"/>
      <c r="AL28" s="152">
        <f t="shared" si="108"/>
        <v>0</v>
      </c>
      <c r="AM28" s="152"/>
      <c r="AN28" s="152"/>
      <c r="AO28" s="152"/>
      <c r="AP28" s="152">
        <f t="shared" si="109"/>
        <v>0</v>
      </c>
      <c r="AQ28" s="152">
        <f t="shared" si="110"/>
        <v>0</v>
      </c>
      <c r="AR28" s="152">
        <f t="shared" si="110"/>
        <v>0</v>
      </c>
      <c r="AS28" s="152">
        <f t="shared" si="110"/>
        <v>0</v>
      </c>
      <c r="AT28" s="168">
        <f>SUM(AQ28:AS28)</f>
        <v>0</v>
      </c>
      <c r="AU28" s="152"/>
      <c r="AV28" s="152"/>
      <c r="AW28" s="152"/>
      <c r="AX28" s="152">
        <f t="shared" si="111"/>
        <v>0</v>
      </c>
      <c r="AY28" s="152"/>
      <c r="AZ28" s="152"/>
      <c r="BA28" s="152"/>
      <c r="BB28" s="152">
        <f t="shared" si="112"/>
        <v>0</v>
      </c>
      <c r="BC28" s="152"/>
      <c r="BD28" s="152"/>
      <c r="BE28" s="152"/>
      <c r="BF28" s="152">
        <f t="shared" si="113"/>
        <v>0</v>
      </c>
      <c r="BG28" s="152"/>
      <c r="BH28" s="152"/>
      <c r="BI28" s="152"/>
      <c r="BJ28" s="152">
        <f t="shared" si="114"/>
        <v>0</v>
      </c>
      <c r="BK28" s="152">
        <f t="shared" si="115"/>
        <v>0</v>
      </c>
      <c r="BL28" s="152">
        <f t="shared" si="115"/>
        <v>0</v>
      </c>
      <c r="BM28" s="152">
        <f t="shared" si="115"/>
        <v>0</v>
      </c>
      <c r="BN28" s="152">
        <f>SUM(BK28:BM28)</f>
        <v>0</v>
      </c>
      <c r="BO28" s="168"/>
      <c r="BP28" s="152">
        <f t="shared" si="116"/>
        <v>0</v>
      </c>
      <c r="BQ28" s="152">
        <f t="shared" si="116"/>
        <v>0</v>
      </c>
      <c r="BR28" s="152">
        <f t="shared" si="116"/>
        <v>0</v>
      </c>
      <c r="BS28" s="168">
        <f>SUM(BP28:BR28)</f>
        <v>0</v>
      </c>
      <c r="BT28" s="152"/>
      <c r="BU28" s="152"/>
      <c r="BV28" s="152"/>
      <c r="BW28" s="152">
        <f t="shared" si="117"/>
        <v>0</v>
      </c>
      <c r="BX28" s="152">
        <f t="shared" si="20"/>
        <v>0</v>
      </c>
      <c r="BY28" s="152">
        <f t="shared" si="21"/>
        <v>0</v>
      </c>
      <c r="BZ28" s="152">
        <f t="shared" si="22"/>
        <v>0</v>
      </c>
      <c r="CA28" s="587">
        <f t="shared" si="23"/>
        <v>0</v>
      </c>
    </row>
    <row r="29" spans="1:79" ht="14.1" customHeight="1" x14ac:dyDescent="0.2">
      <c r="A29" s="122" t="s">
        <v>117</v>
      </c>
      <c r="B29" s="80" t="s">
        <v>134</v>
      </c>
      <c r="C29" s="568" t="s">
        <v>118</v>
      </c>
      <c r="D29" s="568"/>
      <c r="E29" s="75"/>
      <c r="G29" s="152"/>
      <c r="H29" s="152"/>
      <c r="I29" s="152"/>
      <c r="J29" s="152">
        <f t="shared" si="24"/>
        <v>0</v>
      </c>
      <c r="K29" s="152"/>
      <c r="L29" s="152"/>
      <c r="M29" s="152"/>
      <c r="N29" s="152">
        <f t="shared" si="102"/>
        <v>0</v>
      </c>
      <c r="O29" s="152"/>
      <c r="P29" s="152"/>
      <c r="Q29" s="152"/>
      <c r="R29" s="152">
        <f t="shared" si="103"/>
        <v>0</v>
      </c>
      <c r="S29" s="152"/>
      <c r="T29" s="152"/>
      <c r="U29" s="152"/>
      <c r="V29" s="152">
        <f t="shared" si="104"/>
        <v>0</v>
      </c>
      <c r="W29" s="152">
        <f>G29-O29+S29+K29</f>
        <v>0</v>
      </c>
      <c r="X29" s="152">
        <f t="shared" si="105"/>
        <v>0</v>
      </c>
      <c r="Y29" s="152">
        <f t="shared" si="105"/>
        <v>0</v>
      </c>
      <c r="Z29" s="168">
        <f>SUM(W29:Y29)</f>
        <v>0</v>
      </c>
      <c r="AA29" s="152"/>
      <c r="AB29" s="152"/>
      <c r="AC29" s="152"/>
      <c r="AD29" s="152">
        <f t="shared" si="106"/>
        <v>0</v>
      </c>
      <c r="AE29" s="152"/>
      <c r="AF29" s="152"/>
      <c r="AG29" s="152"/>
      <c r="AH29" s="152">
        <f t="shared" si="107"/>
        <v>0</v>
      </c>
      <c r="AI29" s="152"/>
      <c r="AJ29" s="152"/>
      <c r="AK29" s="152"/>
      <c r="AL29" s="152">
        <f t="shared" si="108"/>
        <v>0</v>
      </c>
      <c r="AM29" s="152"/>
      <c r="AN29" s="152"/>
      <c r="AO29" s="152"/>
      <c r="AP29" s="152">
        <f t="shared" si="109"/>
        <v>0</v>
      </c>
      <c r="AQ29" s="152">
        <f t="shared" si="110"/>
        <v>0</v>
      </c>
      <c r="AR29" s="152">
        <f t="shared" si="110"/>
        <v>0</v>
      </c>
      <c r="AS29" s="152">
        <f t="shared" si="110"/>
        <v>0</v>
      </c>
      <c r="AT29" s="168">
        <f>SUM(AQ29:AS29)</f>
        <v>0</v>
      </c>
      <c r="AU29" s="152"/>
      <c r="AV29" s="152"/>
      <c r="AW29" s="152"/>
      <c r="AX29" s="152">
        <f t="shared" si="111"/>
        <v>0</v>
      </c>
      <c r="AY29" s="152"/>
      <c r="AZ29" s="152"/>
      <c r="BA29" s="152"/>
      <c r="BB29" s="152">
        <f t="shared" si="112"/>
        <v>0</v>
      </c>
      <c r="BC29" s="152"/>
      <c r="BD29" s="152"/>
      <c r="BE29" s="152"/>
      <c r="BF29" s="152">
        <f t="shared" si="113"/>
        <v>0</v>
      </c>
      <c r="BG29" s="152"/>
      <c r="BH29" s="152"/>
      <c r="BI29" s="152"/>
      <c r="BJ29" s="152">
        <f t="shared" si="114"/>
        <v>0</v>
      </c>
      <c r="BK29" s="152">
        <f t="shared" si="115"/>
        <v>0</v>
      </c>
      <c r="BL29" s="152">
        <f t="shared" si="115"/>
        <v>0</v>
      </c>
      <c r="BM29" s="152">
        <f t="shared" si="115"/>
        <v>0</v>
      </c>
      <c r="BN29" s="152">
        <f>SUM(BK29:BM29)</f>
        <v>0</v>
      </c>
      <c r="BO29" s="168"/>
      <c r="BP29" s="152">
        <f t="shared" si="116"/>
        <v>0</v>
      </c>
      <c r="BQ29" s="152">
        <f t="shared" si="116"/>
        <v>0</v>
      </c>
      <c r="BR29" s="152">
        <f t="shared" si="116"/>
        <v>0</v>
      </c>
      <c r="BS29" s="168">
        <f>SUM(BP29:BR29)</f>
        <v>0</v>
      </c>
      <c r="BT29" s="152"/>
      <c r="BU29" s="152"/>
      <c r="BV29" s="152"/>
      <c r="BW29" s="152">
        <f t="shared" si="117"/>
        <v>0</v>
      </c>
      <c r="BX29" s="152">
        <f t="shared" si="20"/>
        <v>0</v>
      </c>
      <c r="BY29" s="152">
        <f t="shared" si="21"/>
        <v>0</v>
      </c>
      <c r="BZ29" s="152">
        <f t="shared" si="22"/>
        <v>0</v>
      </c>
      <c r="CA29" s="587">
        <f t="shared" si="23"/>
        <v>0</v>
      </c>
    </row>
    <row r="30" spans="1:79" ht="14.1" customHeight="1" x14ac:dyDescent="0.2">
      <c r="A30" s="511" t="s">
        <v>119</v>
      </c>
      <c r="B30" s="516" t="s">
        <v>120</v>
      </c>
      <c r="C30" s="516"/>
      <c r="D30" s="516"/>
      <c r="E30" s="517"/>
      <c r="F30" s="514"/>
      <c r="G30" s="518">
        <f>G31+G57+G91</f>
        <v>9963000</v>
      </c>
      <c r="H30" s="518">
        <f t="shared" ref="H30:I30" si="118">H31+H57+H91</f>
        <v>26379000</v>
      </c>
      <c r="I30" s="518">
        <f t="shared" si="118"/>
        <v>1400000</v>
      </c>
      <c r="J30" s="518">
        <f t="shared" ref="J30:BS30" si="119">J31+J57+J91</f>
        <v>37742000</v>
      </c>
      <c r="K30" s="518">
        <f>K31+K57+K91</f>
        <v>975000</v>
      </c>
      <c r="L30" s="518">
        <f t="shared" ref="L30" si="120">L31+L57+L91</f>
        <v>-975000</v>
      </c>
      <c r="M30" s="518">
        <f t="shared" ref="M30" si="121">M31+M57+M91</f>
        <v>0</v>
      </c>
      <c r="N30" s="518">
        <f t="shared" ref="N30" si="122">N31+N57+N91</f>
        <v>0</v>
      </c>
      <c r="O30" s="518">
        <f>O31+O57+O91</f>
        <v>0</v>
      </c>
      <c r="P30" s="518">
        <f t="shared" ref="P30" si="123">P31+P57+P91</f>
        <v>0</v>
      </c>
      <c r="Q30" s="518">
        <f t="shared" ref="Q30" si="124">Q31+Q57+Q91</f>
        <v>0</v>
      </c>
      <c r="R30" s="518">
        <f t="shared" ref="R30" si="125">R31+R57+R91</f>
        <v>0</v>
      </c>
      <c r="S30" s="518">
        <f>S31+S57+S91</f>
        <v>0</v>
      </c>
      <c r="T30" s="518">
        <f t="shared" ref="T30" si="126">T31+T57+T91</f>
        <v>263600</v>
      </c>
      <c r="U30" s="518">
        <f t="shared" ref="U30" si="127">U31+U57+U91</f>
        <v>0</v>
      </c>
      <c r="V30" s="518">
        <f t="shared" ref="V30" si="128">V31+V57+V91</f>
        <v>263600</v>
      </c>
      <c r="W30" s="518">
        <f t="shared" si="119"/>
        <v>10938000</v>
      </c>
      <c r="X30" s="518">
        <f t="shared" si="119"/>
        <v>25667600</v>
      </c>
      <c r="Y30" s="518">
        <f t="shared" si="119"/>
        <v>1400000</v>
      </c>
      <c r="Z30" s="519">
        <f t="shared" si="119"/>
        <v>38005600</v>
      </c>
      <c r="AA30" s="518">
        <f t="shared" si="119"/>
        <v>3954635</v>
      </c>
      <c r="AB30" s="518">
        <f t="shared" si="119"/>
        <v>1440810.19</v>
      </c>
      <c r="AC30" s="518">
        <f t="shared" si="119"/>
        <v>0</v>
      </c>
      <c r="AD30" s="518">
        <f t="shared" si="119"/>
        <v>5395445.1899999995</v>
      </c>
      <c r="AE30" s="518">
        <f>AE31+AE57+AE91</f>
        <v>3787678.8</v>
      </c>
      <c r="AF30" s="518">
        <f t="shared" ref="AF30:AH30" si="129">AF31+AF57+AF91</f>
        <v>1772758.8599999999</v>
      </c>
      <c r="AG30" s="518">
        <f t="shared" si="129"/>
        <v>0</v>
      </c>
      <c r="AH30" s="518">
        <f t="shared" si="129"/>
        <v>5560437.6600000001</v>
      </c>
      <c r="AI30" s="518">
        <f>AI31+AI57+AI91</f>
        <v>2034459</v>
      </c>
      <c r="AJ30" s="518">
        <f t="shared" ref="AJ30:AL30" si="130">AJ31+AJ57+AJ91</f>
        <v>4220438.25</v>
      </c>
      <c r="AK30" s="518">
        <f t="shared" si="130"/>
        <v>1400000</v>
      </c>
      <c r="AL30" s="518">
        <f t="shared" si="130"/>
        <v>7654897.25</v>
      </c>
      <c r="AM30" s="518">
        <f>AM31+AM57+AM91</f>
        <v>1140227.2</v>
      </c>
      <c r="AN30" s="518">
        <f t="shared" ref="AN30:AP30" si="131">AN31+AN57+AN91</f>
        <v>14449836.629999999</v>
      </c>
      <c r="AO30" s="518">
        <f t="shared" si="131"/>
        <v>0</v>
      </c>
      <c r="AP30" s="518">
        <f t="shared" si="131"/>
        <v>15590063.830000002</v>
      </c>
      <c r="AQ30" s="518">
        <f t="shared" si="119"/>
        <v>10917000</v>
      </c>
      <c r="AR30" s="518">
        <f t="shared" si="119"/>
        <v>21883843.930000003</v>
      </c>
      <c r="AS30" s="518">
        <f t="shared" si="119"/>
        <v>1400000</v>
      </c>
      <c r="AT30" s="519">
        <f t="shared" si="119"/>
        <v>34200843.93</v>
      </c>
      <c r="AU30" s="518">
        <f t="shared" si="119"/>
        <v>3006690</v>
      </c>
      <c r="AV30" s="518">
        <f t="shared" si="119"/>
        <v>1228243.27</v>
      </c>
      <c r="AW30" s="518">
        <f t="shared" si="119"/>
        <v>0</v>
      </c>
      <c r="AX30" s="518">
        <f t="shared" si="119"/>
        <v>4234933.2699999996</v>
      </c>
      <c r="AY30" s="518">
        <f>AY31+AY57+AY91</f>
        <v>4040759.52</v>
      </c>
      <c r="AZ30" s="518">
        <f t="shared" ref="AZ30" si="132">AZ31+AZ57+AZ91</f>
        <v>1984825.7799999998</v>
      </c>
      <c r="BA30" s="518">
        <f t="shared" ref="BA30" si="133">BA31+BA57+BA91</f>
        <v>0</v>
      </c>
      <c r="BB30" s="518">
        <f t="shared" ref="BB30" si="134">BB31+BB57+BB91</f>
        <v>6025585.3000000007</v>
      </c>
      <c r="BC30" s="518">
        <f>BC31+BC57+BC91</f>
        <v>2714387.16</v>
      </c>
      <c r="BD30" s="518">
        <f t="shared" ref="BD30" si="135">BD31+BD57+BD91</f>
        <v>4000963.2499999995</v>
      </c>
      <c r="BE30" s="518">
        <f t="shared" ref="BE30" si="136">BE31+BE57+BE91</f>
        <v>1400000</v>
      </c>
      <c r="BF30" s="518">
        <f t="shared" ref="BF30" si="137">BF31+BF57+BF91</f>
        <v>8115350.4100000001</v>
      </c>
      <c r="BG30" s="518">
        <f>BG31+BG57+BG91</f>
        <v>1155163.32</v>
      </c>
      <c r="BH30" s="518">
        <f t="shared" ref="BH30" si="138">BH31+BH57+BH91</f>
        <v>12112246.18</v>
      </c>
      <c r="BI30" s="518">
        <f t="shared" ref="BI30" si="139">BI31+BI57+BI91</f>
        <v>0</v>
      </c>
      <c r="BJ30" s="518">
        <f t="shared" ref="BJ30" si="140">BJ31+BJ57+BJ91</f>
        <v>13267409.5</v>
      </c>
      <c r="BK30" s="518">
        <f t="shared" si="119"/>
        <v>10917000</v>
      </c>
      <c r="BL30" s="518">
        <f t="shared" si="119"/>
        <v>19326278.479999997</v>
      </c>
      <c r="BM30" s="518">
        <f t="shared" si="119"/>
        <v>1400000</v>
      </c>
      <c r="BN30" s="518">
        <f t="shared" si="119"/>
        <v>31643278.479999997</v>
      </c>
      <c r="BO30" s="520">
        <f t="shared" si="119"/>
        <v>0</v>
      </c>
      <c r="BP30" s="518">
        <f t="shared" si="119"/>
        <v>21000</v>
      </c>
      <c r="BQ30" s="518">
        <f t="shared" si="119"/>
        <v>3783756.0699999994</v>
      </c>
      <c r="BR30" s="518">
        <f t="shared" si="119"/>
        <v>0</v>
      </c>
      <c r="BS30" s="519">
        <f t="shared" si="119"/>
        <v>3804756.0699999994</v>
      </c>
      <c r="BT30" s="518">
        <f>BT31+BT57+BT91</f>
        <v>0</v>
      </c>
      <c r="BU30" s="518">
        <f t="shared" ref="BU30" si="141">BU31+BU57+BU91</f>
        <v>0</v>
      </c>
      <c r="BV30" s="518">
        <f t="shared" ref="BV30" si="142">BV31+BV57+BV91</f>
        <v>0</v>
      </c>
      <c r="BW30" s="518">
        <f t="shared" ref="BW30" si="143">BW31+BW57+BW91</f>
        <v>0</v>
      </c>
      <c r="BX30" s="518">
        <f t="shared" ref="BX30:CA30" si="144">BX31+BX57+BX91</f>
        <v>0</v>
      </c>
      <c r="BY30" s="518">
        <f t="shared" si="144"/>
        <v>2557565.4500000016</v>
      </c>
      <c r="BZ30" s="518">
        <f t="shared" si="144"/>
        <v>0</v>
      </c>
      <c r="CA30" s="521">
        <f t="shared" si="144"/>
        <v>2557565.4500000016</v>
      </c>
    </row>
    <row r="31" spans="1:79" ht="14.1" customHeight="1" x14ac:dyDescent="0.2">
      <c r="A31" s="534" t="s">
        <v>121</v>
      </c>
      <c r="B31" s="535" t="s">
        <v>122</v>
      </c>
      <c r="C31" s="535"/>
      <c r="D31" s="535"/>
      <c r="E31" s="536"/>
      <c r="F31" s="537"/>
      <c r="G31" s="538">
        <f>G32+G52</f>
        <v>0</v>
      </c>
      <c r="H31" s="538">
        <f t="shared" ref="H31:I31" si="145">H32+H52</f>
        <v>543000</v>
      </c>
      <c r="I31" s="538">
        <f t="shared" si="145"/>
        <v>0</v>
      </c>
      <c r="J31" s="538">
        <f t="shared" ref="J31:BS31" si="146">J32+J52</f>
        <v>543000</v>
      </c>
      <c r="K31" s="538">
        <f>K32+K52</f>
        <v>0</v>
      </c>
      <c r="L31" s="538">
        <f t="shared" ref="L31" si="147">L32+L52</f>
        <v>0</v>
      </c>
      <c r="M31" s="538">
        <f t="shared" ref="M31:N31" si="148">M32+M52</f>
        <v>0</v>
      </c>
      <c r="N31" s="538">
        <f t="shared" si="148"/>
        <v>0</v>
      </c>
      <c r="O31" s="538">
        <f>O32+O52</f>
        <v>0</v>
      </c>
      <c r="P31" s="538">
        <f t="shared" ref="P31" si="149">P32+P52</f>
        <v>0</v>
      </c>
      <c r="Q31" s="538">
        <f t="shared" ref="Q31:R31" si="150">Q32+Q52</f>
        <v>0</v>
      </c>
      <c r="R31" s="538">
        <f t="shared" si="150"/>
        <v>0</v>
      </c>
      <c r="S31" s="538">
        <f>S32+S52</f>
        <v>0</v>
      </c>
      <c r="T31" s="538">
        <f t="shared" ref="T31" si="151">T32+T52</f>
        <v>0</v>
      </c>
      <c r="U31" s="538">
        <f t="shared" ref="U31:V31" si="152">U32+U52</f>
        <v>0</v>
      </c>
      <c r="V31" s="538">
        <f t="shared" si="152"/>
        <v>0</v>
      </c>
      <c r="W31" s="538">
        <f t="shared" si="146"/>
        <v>0</v>
      </c>
      <c r="X31" s="538">
        <f t="shared" si="146"/>
        <v>543000</v>
      </c>
      <c r="Y31" s="538">
        <f t="shared" si="146"/>
        <v>0</v>
      </c>
      <c r="Z31" s="539">
        <f t="shared" si="146"/>
        <v>543000</v>
      </c>
      <c r="AA31" s="538">
        <f t="shared" si="146"/>
        <v>0</v>
      </c>
      <c r="AB31" s="538">
        <f t="shared" si="146"/>
        <v>128269</v>
      </c>
      <c r="AC31" s="538">
        <f t="shared" si="146"/>
        <v>0</v>
      </c>
      <c r="AD31" s="538">
        <f t="shared" si="146"/>
        <v>128269</v>
      </c>
      <c r="AE31" s="538">
        <f>AE32+AE52</f>
        <v>0</v>
      </c>
      <c r="AF31" s="538">
        <f t="shared" ref="AF31:AH31" si="153">AF32+AF52</f>
        <v>19379.2</v>
      </c>
      <c r="AG31" s="538">
        <f t="shared" si="153"/>
        <v>0</v>
      </c>
      <c r="AH31" s="538">
        <f t="shared" si="153"/>
        <v>19379.2</v>
      </c>
      <c r="AI31" s="538">
        <f>AI32+AI52</f>
        <v>0</v>
      </c>
      <c r="AJ31" s="538">
        <f t="shared" ref="AJ31:AL31" si="154">AJ32+AJ52</f>
        <v>88631.8</v>
      </c>
      <c r="AK31" s="538">
        <f t="shared" si="154"/>
        <v>0</v>
      </c>
      <c r="AL31" s="538">
        <f t="shared" si="154"/>
        <v>88631.8</v>
      </c>
      <c r="AM31" s="538">
        <f>AM32+AM52</f>
        <v>0</v>
      </c>
      <c r="AN31" s="538">
        <f t="shared" ref="AN31:AP31" si="155">AN32+AN52</f>
        <v>125520</v>
      </c>
      <c r="AO31" s="538">
        <f t="shared" si="155"/>
        <v>0</v>
      </c>
      <c r="AP31" s="538">
        <f t="shared" si="155"/>
        <v>125520</v>
      </c>
      <c r="AQ31" s="538">
        <f t="shared" si="146"/>
        <v>0</v>
      </c>
      <c r="AR31" s="538">
        <f t="shared" si="146"/>
        <v>361800</v>
      </c>
      <c r="AS31" s="538">
        <f t="shared" si="146"/>
        <v>0</v>
      </c>
      <c r="AT31" s="539">
        <f t="shared" si="146"/>
        <v>361800</v>
      </c>
      <c r="AU31" s="538">
        <f t="shared" si="146"/>
        <v>0</v>
      </c>
      <c r="AV31" s="538">
        <f t="shared" si="146"/>
        <v>128269</v>
      </c>
      <c r="AW31" s="538">
        <f t="shared" si="146"/>
        <v>0</v>
      </c>
      <c r="AX31" s="538">
        <f t="shared" si="146"/>
        <v>128269</v>
      </c>
      <c r="AY31" s="538">
        <f>AY32+AY52</f>
        <v>0</v>
      </c>
      <c r="AZ31" s="538">
        <f t="shared" ref="AZ31" si="156">AZ32+AZ52</f>
        <v>19379.2</v>
      </c>
      <c r="BA31" s="538">
        <f t="shared" ref="BA31:BB31" si="157">BA32+BA52</f>
        <v>0</v>
      </c>
      <c r="BB31" s="538">
        <f t="shared" si="157"/>
        <v>19379.2</v>
      </c>
      <c r="BC31" s="538">
        <f>BC32+BC52</f>
        <v>0</v>
      </c>
      <c r="BD31" s="538">
        <f t="shared" ref="BD31" si="158">BD32+BD52</f>
        <v>88631.799999999988</v>
      </c>
      <c r="BE31" s="538">
        <f t="shared" ref="BE31:BF31" si="159">BE32+BE52</f>
        <v>0</v>
      </c>
      <c r="BF31" s="538">
        <f t="shared" si="159"/>
        <v>88631.799999999988</v>
      </c>
      <c r="BG31" s="538">
        <f>BG32+BG52</f>
        <v>0</v>
      </c>
      <c r="BH31" s="538">
        <f t="shared" ref="BH31" si="160">BH32+BH52</f>
        <v>125520</v>
      </c>
      <c r="BI31" s="538">
        <f t="shared" ref="BI31:BJ31" si="161">BI32+BI52</f>
        <v>0</v>
      </c>
      <c r="BJ31" s="538">
        <f t="shared" si="161"/>
        <v>125520</v>
      </c>
      <c r="BK31" s="538">
        <f t="shared" si="146"/>
        <v>0</v>
      </c>
      <c r="BL31" s="538">
        <f t="shared" si="146"/>
        <v>361800</v>
      </c>
      <c r="BM31" s="538">
        <f t="shared" si="146"/>
        <v>0</v>
      </c>
      <c r="BN31" s="538">
        <f t="shared" si="146"/>
        <v>361800</v>
      </c>
      <c r="BO31" s="540">
        <f t="shared" si="146"/>
        <v>0</v>
      </c>
      <c r="BP31" s="538">
        <f t="shared" si="146"/>
        <v>0</v>
      </c>
      <c r="BQ31" s="538">
        <f t="shared" si="146"/>
        <v>181200</v>
      </c>
      <c r="BR31" s="538">
        <f t="shared" si="146"/>
        <v>0</v>
      </c>
      <c r="BS31" s="539">
        <f t="shared" si="146"/>
        <v>181200</v>
      </c>
      <c r="BT31" s="538">
        <f>BT32+BT52</f>
        <v>0</v>
      </c>
      <c r="BU31" s="538">
        <f t="shared" ref="BU31" si="162">BU32+BU52</f>
        <v>0</v>
      </c>
      <c r="BV31" s="538">
        <f t="shared" ref="BV31:BW31" si="163">BV32+BV52</f>
        <v>0</v>
      </c>
      <c r="BW31" s="538">
        <f t="shared" si="163"/>
        <v>0</v>
      </c>
      <c r="BX31" s="538">
        <f t="shared" ref="BX31:CA31" si="164">BX32+BX52</f>
        <v>0</v>
      </c>
      <c r="BY31" s="538">
        <f t="shared" si="164"/>
        <v>0</v>
      </c>
      <c r="BZ31" s="538">
        <f t="shared" si="164"/>
        <v>0</v>
      </c>
      <c r="CA31" s="541">
        <f t="shared" si="164"/>
        <v>0</v>
      </c>
    </row>
    <row r="32" spans="1:79" ht="14.1" customHeight="1" x14ac:dyDescent="0.2">
      <c r="A32" s="526" t="s">
        <v>123</v>
      </c>
      <c r="B32" s="527">
        <v>1</v>
      </c>
      <c r="C32" s="523" t="s">
        <v>124</v>
      </c>
      <c r="D32" s="523"/>
      <c r="E32" s="528"/>
      <c r="F32" s="529"/>
      <c r="G32" s="530">
        <f>G33+G40+G44+G51</f>
        <v>0</v>
      </c>
      <c r="H32" s="530">
        <f t="shared" ref="H32:I32" si="165">H33+H40+H44+H51</f>
        <v>543000</v>
      </c>
      <c r="I32" s="530">
        <f t="shared" si="165"/>
        <v>0</v>
      </c>
      <c r="J32" s="530">
        <f t="shared" ref="J32:BS32" si="166">J33+J40+J44+J51</f>
        <v>543000</v>
      </c>
      <c r="K32" s="530">
        <f>K33+K40+K44+K51</f>
        <v>0</v>
      </c>
      <c r="L32" s="530">
        <f t="shared" ref="L32" si="167">L33+L40+L44+L51</f>
        <v>0</v>
      </c>
      <c r="M32" s="530">
        <f t="shared" ref="M32:N32" si="168">M33+M40+M44+M51</f>
        <v>0</v>
      </c>
      <c r="N32" s="530">
        <f t="shared" si="168"/>
        <v>0</v>
      </c>
      <c r="O32" s="530">
        <f>O33+O40+O44+O51</f>
        <v>0</v>
      </c>
      <c r="P32" s="530">
        <f t="shared" ref="P32" si="169">P33+P40+P44+P51</f>
        <v>0</v>
      </c>
      <c r="Q32" s="530">
        <f t="shared" ref="Q32:R32" si="170">Q33+Q40+Q44+Q51</f>
        <v>0</v>
      </c>
      <c r="R32" s="530">
        <f t="shared" si="170"/>
        <v>0</v>
      </c>
      <c r="S32" s="530">
        <f>S33+S40+S44+S51</f>
        <v>0</v>
      </c>
      <c r="T32" s="530">
        <f t="shared" ref="T32" si="171">T33+T40+T44+T51</f>
        <v>0</v>
      </c>
      <c r="U32" s="530">
        <f t="shared" ref="U32:V32" si="172">U33+U40+U44+U51</f>
        <v>0</v>
      </c>
      <c r="V32" s="530">
        <f t="shared" si="172"/>
        <v>0</v>
      </c>
      <c r="W32" s="530">
        <f t="shared" si="166"/>
        <v>0</v>
      </c>
      <c r="X32" s="530">
        <f t="shared" si="166"/>
        <v>543000</v>
      </c>
      <c r="Y32" s="530">
        <f t="shared" si="166"/>
        <v>0</v>
      </c>
      <c r="Z32" s="531">
        <f t="shared" si="166"/>
        <v>543000</v>
      </c>
      <c r="AA32" s="530">
        <f t="shared" si="166"/>
        <v>0</v>
      </c>
      <c r="AB32" s="530">
        <f t="shared" si="166"/>
        <v>128269</v>
      </c>
      <c r="AC32" s="530">
        <f t="shared" si="166"/>
        <v>0</v>
      </c>
      <c r="AD32" s="530">
        <f t="shared" si="166"/>
        <v>128269</v>
      </c>
      <c r="AE32" s="530">
        <f>AE33+AE40+AE44+AE51</f>
        <v>0</v>
      </c>
      <c r="AF32" s="530">
        <f t="shared" ref="AF32:AH32" si="173">AF33+AF40+AF44+AF51</f>
        <v>19379.2</v>
      </c>
      <c r="AG32" s="530">
        <f t="shared" si="173"/>
        <v>0</v>
      </c>
      <c r="AH32" s="530">
        <f t="shared" si="173"/>
        <v>19379.2</v>
      </c>
      <c r="AI32" s="530">
        <f>AI33+AI40+AI44+AI51</f>
        <v>0</v>
      </c>
      <c r="AJ32" s="530">
        <f t="shared" ref="AJ32:AL32" si="174">AJ33+AJ40+AJ44+AJ51</f>
        <v>88631.8</v>
      </c>
      <c r="AK32" s="530">
        <f t="shared" si="174"/>
        <v>0</v>
      </c>
      <c r="AL32" s="530">
        <f t="shared" si="174"/>
        <v>88631.8</v>
      </c>
      <c r="AM32" s="530">
        <f>AM33+AM40+AM44+AM51</f>
        <v>0</v>
      </c>
      <c r="AN32" s="530">
        <f t="shared" ref="AN32:AP32" si="175">AN33+AN40+AN44+AN51</f>
        <v>125520</v>
      </c>
      <c r="AO32" s="530">
        <f t="shared" si="175"/>
        <v>0</v>
      </c>
      <c r="AP32" s="530">
        <f t="shared" si="175"/>
        <v>125520</v>
      </c>
      <c r="AQ32" s="530">
        <f t="shared" si="166"/>
        <v>0</v>
      </c>
      <c r="AR32" s="530">
        <f t="shared" si="166"/>
        <v>361800</v>
      </c>
      <c r="AS32" s="530">
        <f t="shared" si="166"/>
        <v>0</v>
      </c>
      <c r="AT32" s="531">
        <f t="shared" si="166"/>
        <v>361800</v>
      </c>
      <c r="AU32" s="530">
        <f t="shared" si="166"/>
        <v>0</v>
      </c>
      <c r="AV32" s="530">
        <f t="shared" si="166"/>
        <v>128269</v>
      </c>
      <c r="AW32" s="530">
        <f t="shared" si="166"/>
        <v>0</v>
      </c>
      <c r="AX32" s="530">
        <f t="shared" si="166"/>
        <v>128269</v>
      </c>
      <c r="AY32" s="530">
        <f>AY33+AY40+AY44+AY51</f>
        <v>0</v>
      </c>
      <c r="AZ32" s="530">
        <f t="shared" ref="AZ32" si="176">AZ33+AZ40+AZ44+AZ51</f>
        <v>19379.2</v>
      </c>
      <c r="BA32" s="530">
        <f t="shared" ref="BA32:BB32" si="177">BA33+BA40+BA44+BA51</f>
        <v>0</v>
      </c>
      <c r="BB32" s="530">
        <f t="shared" si="177"/>
        <v>19379.2</v>
      </c>
      <c r="BC32" s="530">
        <f>BC33+BC40+BC44+BC51</f>
        <v>0</v>
      </c>
      <c r="BD32" s="530">
        <f t="shared" ref="BD32" si="178">BD33+BD40+BD44+BD51</f>
        <v>88631.799999999988</v>
      </c>
      <c r="BE32" s="530">
        <f t="shared" ref="BE32:BF32" si="179">BE33+BE40+BE44+BE51</f>
        <v>0</v>
      </c>
      <c r="BF32" s="530">
        <f t="shared" si="179"/>
        <v>88631.799999999988</v>
      </c>
      <c r="BG32" s="530">
        <f>BG33+BG40+BG44+BG51</f>
        <v>0</v>
      </c>
      <c r="BH32" s="530">
        <f t="shared" ref="BH32" si="180">BH33+BH40+BH44+BH51</f>
        <v>125520</v>
      </c>
      <c r="BI32" s="530">
        <f t="shared" ref="BI32:BJ32" si="181">BI33+BI40+BI44+BI51</f>
        <v>0</v>
      </c>
      <c r="BJ32" s="530">
        <f t="shared" si="181"/>
        <v>125520</v>
      </c>
      <c r="BK32" s="530">
        <f t="shared" si="166"/>
        <v>0</v>
      </c>
      <c r="BL32" s="530">
        <f t="shared" si="166"/>
        <v>361800</v>
      </c>
      <c r="BM32" s="530">
        <f t="shared" si="166"/>
        <v>0</v>
      </c>
      <c r="BN32" s="530">
        <f t="shared" si="166"/>
        <v>361800</v>
      </c>
      <c r="BO32" s="532">
        <f t="shared" si="166"/>
        <v>0</v>
      </c>
      <c r="BP32" s="530">
        <f t="shared" si="166"/>
        <v>0</v>
      </c>
      <c r="BQ32" s="530">
        <f t="shared" si="166"/>
        <v>181200</v>
      </c>
      <c r="BR32" s="530">
        <f t="shared" si="166"/>
        <v>0</v>
      </c>
      <c r="BS32" s="531">
        <f t="shared" si="166"/>
        <v>181200</v>
      </c>
      <c r="BT32" s="530">
        <f>BT33+BT40+BT44+BT51</f>
        <v>0</v>
      </c>
      <c r="BU32" s="530">
        <f t="shared" ref="BU32" si="182">BU33+BU40+BU44+BU51</f>
        <v>0</v>
      </c>
      <c r="BV32" s="530">
        <f t="shared" ref="BV32:BW32" si="183">BV33+BV40+BV44+BV51</f>
        <v>0</v>
      </c>
      <c r="BW32" s="530">
        <f t="shared" si="183"/>
        <v>0</v>
      </c>
      <c r="BX32" s="530">
        <f t="shared" ref="BX32:CA32" si="184">BX33+BX40+BX44+BX51</f>
        <v>0</v>
      </c>
      <c r="BY32" s="530">
        <f t="shared" si="184"/>
        <v>0</v>
      </c>
      <c r="BZ32" s="530">
        <f t="shared" si="184"/>
        <v>0</v>
      </c>
      <c r="CA32" s="533">
        <f t="shared" si="184"/>
        <v>0</v>
      </c>
    </row>
    <row r="33" spans="1:79" ht="14.1" customHeight="1" x14ac:dyDescent="0.2">
      <c r="A33" s="123" t="s">
        <v>125</v>
      </c>
      <c r="B33" s="74" t="s">
        <v>126</v>
      </c>
      <c r="C33" s="899" t="s">
        <v>533</v>
      </c>
      <c r="D33" s="899"/>
      <c r="E33" s="900"/>
      <c r="G33" s="153">
        <f>G34+G37</f>
        <v>0</v>
      </c>
      <c r="H33" s="153">
        <f t="shared" ref="H33:I33" si="185">H34+H37</f>
        <v>125000</v>
      </c>
      <c r="I33" s="153">
        <f t="shared" si="185"/>
        <v>0</v>
      </c>
      <c r="J33" s="153">
        <f t="shared" ref="J33:BS33" si="186">J34+J37</f>
        <v>125000</v>
      </c>
      <c r="K33" s="153">
        <f>K34+K37</f>
        <v>0</v>
      </c>
      <c r="L33" s="153">
        <f t="shared" ref="L33" si="187">L34+L37</f>
        <v>0</v>
      </c>
      <c r="M33" s="153">
        <f t="shared" ref="M33:N33" si="188">M34+M37</f>
        <v>0</v>
      </c>
      <c r="N33" s="153">
        <f t="shared" si="188"/>
        <v>0</v>
      </c>
      <c r="O33" s="153">
        <f>O34+O37</f>
        <v>0</v>
      </c>
      <c r="P33" s="153">
        <f t="shared" ref="P33" si="189">P34+P37</f>
        <v>0</v>
      </c>
      <c r="Q33" s="153">
        <f t="shared" ref="Q33:R33" si="190">Q34+Q37</f>
        <v>0</v>
      </c>
      <c r="R33" s="153">
        <f t="shared" si="190"/>
        <v>0</v>
      </c>
      <c r="S33" s="153">
        <f>S34+S37</f>
        <v>0</v>
      </c>
      <c r="T33" s="153">
        <f t="shared" ref="T33" si="191">T34+T37</f>
        <v>0</v>
      </c>
      <c r="U33" s="153">
        <f t="shared" ref="U33:V33" si="192">U34+U37</f>
        <v>0</v>
      </c>
      <c r="V33" s="153">
        <f t="shared" si="192"/>
        <v>0</v>
      </c>
      <c r="W33" s="153">
        <f t="shared" si="186"/>
        <v>0</v>
      </c>
      <c r="X33" s="153">
        <f t="shared" si="186"/>
        <v>125000</v>
      </c>
      <c r="Y33" s="153">
        <f t="shared" si="186"/>
        <v>0</v>
      </c>
      <c r="Z33" s="85">
        <f t="shared" si="186"/>
        <v>125000</v>
      </c>
      <c r="AA33" s="153">
        <f t="shared" si="186"/>
        <v>0</v>
      </c>
      <c r="AB33" s="153">
        <f t="shared" si="186"/>
        <v>34136</v>
      </c>
      <c r="AC33" s="153">
        <f t="shared" si="186"/>
        <v>0</v>
      </c>
      <c r="AD33" s="153">
        <f t="shared" si="186"/>
        <v>34136</v>
      </c>
      <c r="AE33" s="153">
        <f>AE34+AE37</f>
        <v>0</v>
      </c>
      <c r="AF33" s="153">
        <f t="shared" ref="AF33:AH33" si="193">AF34+AF37</f>
        <v>8848.2000000000007</v>
      </c>
      <c r="AG33" s="153">
        <f t="shared" si="193"/>
        <v>0</v>
      </c>
      <c r="AH33" s="153">
        <f t="shared" si="193"/>
        <v>8848.2000000000007</v>
      </c>
      <c r="AI33" s="153">
        <f>AI34+AI37</f>
        <v>0</v>
      </c>
      <c r="AJ33" s="153">
        <f t="shared" ref="AJ33:AL33" si="194">AJ34+AJ37</f>
        <v>44131.8</v>
      </c>
      <c r="AK33" s="153">
        <f t="shared" si="194"/>
        <v>0</v>
      </c>
      <c r="AL33" s="153">
        <f t="shared" si="194"/>
        <v>44131.8</v>
      </c>
      <c r="AM33" s="153">
        <f>AM34+AM37</f>
        <v>0</v>
      </c>
      <c r="AN33" s="153">
        <f t="shared" ref="AN33:AP33" si="195">AN34+AN37</f>
        <v>21020</v>
      </c>
      <c r="AO33" s="153">
        <f t="shared" si="195"/>
        <v>0</v>
      </c>
      <c r="AP33" s="153">
        <f t="shared" si="195"/>
        <v>21020</v>
      </c>
      <c r="AQ33" s="153">
        <f t="shared" si="186"/>
        <v>0</v>
      </c>
      <c r="AR33" s="153">
        <f t="shared" si="186"/>
        <v>108136</v>
      </c>
      <c r="AS33" s="153">
        <f t="shared" si="186"/>
        <v>0</v>
      </c>
      <c r="AT33" s="85">
        <f t="shared" si="186"/>
        <v>108136</v>
      </c>
      <c r="AU33" s="153">
        <f t="shared" si="186"/>
        <v>0</v>
      </c>
      <c r="AV33" s="153">
        <f t="shared" si="186"/>
        <v>34136</v>
      </c>
      <c r="AW33" s="153">
        <f t="shared" si="186"/>
        <v>0</v>
      </c>
      <c r="AX33" s="153">
        <f t="shared" si="186"/>
        <v>34136</v>
      </c>
      <c r="AY33" s="153">
        <f>AY34+AY37</f>
        <v>0</v>
      </c>
      <c r="AZ33" s="153">
        <f t="shared" ref="AZ33" si="196">AZ34+AZ37</f>
        <v>8848.2000000000007</v>
      </c>
      <c r="BA33" s="153">
        <f t="shared" ref="BA33:BB33" si="197">BA34+BA37</f>
        <v>0</v>
      </c>
      <c r="BB33" s="153">
        <f t="shared" si="197"/>
        <v>8848.2000000000007</v>
      </c>
      <c r="BC33" s="153">
        <f>BC34+BC37</f>
        <v>0</v>
      </c>
      <c r="BD33" s="153">
        <f t="shared" ref="BD33" si="198">BD34+BD37</f>
        <v>44131.799999999996</v>
      </c>
      <c r="BE33" s="153">
        <f t="shared" ref="BE33:BF33" si="199">BE34+BE37</f>
        <v>0</v>
      </c>
      <c r="BF33" s="153">
        <f t="shared" si="199"/>
        <v>44131.799999999996</v>
      </c>
      <c r="BG33" s="153">
        <f>BG34+BG37</f>
        <v>0</v>
      </c>
      <c r="BH33" s="153">
        <f t="shared" ref="BH33" si="200">BH34+BH37</f>
        <v>21020</v>
      </c>
      <c r="BI33" s="153">
        <f t="shared" ref="BI33:BJ33" si="201">BI34+BI37</f>
        <v>0</v>
      </c>
      <c r="BJ33" s="153">
        <f t="shared" si="201"/>
        <v>21020</v>
      </c>
      <c r="BK33" s="153">
        <f t="shared" si="186"/>
        <v>0</v>
      </c>
      <c r="BL33" s="153">
        <f t="shared" si="186"/>
        <v>108136</v>
      </c>
      <c r="BM33" s="153">
        <f t="shared" si="186"/>
        <v>0</v>
      </c>
      <c r="BN33" s="153">
        <f t="shared" si="186"/>
        <v>108136</v>
      </c>
      <c r="BO33" s="169">
        <f t="shared" si="186"/>
        <v>0</v>
      </c>
      <c r="BP33" s="153">
        <f t="shared" si="186"/>
        <v>0</v>
      </c>
      <c r="BQ33" s="153">
        <f t="shared" si="186"/>
        <v>16864</v>
      </c>
      <c r="BR33" s="153">
        <f t="shared" si="186"/>
        <v>0</v>
      </c>
      <c r="BS33" s="85">
        <f t="shared" si="186"/>
        <v>16864</v>
      </c>
      <c r="BT33" s="153">
        <f>BT34+BT37</f>
        <v>0</v>
      </c>
      <c r="BU33" s="153">
        <f t="shared" ref="BU33" si="202">BU34+BU37</f>
        <v>0</v>
      </c>
      <c r="BV33" s="153">
        <f t="shared" ref="BV33:BW33" si="203">BV34+BV37</f>
        <v>0</v>
      </c>
      <c r="BW33" s="153">
        <f t="shared" si="203"/>
        <v>0</v>
      </c>
      <c r="BX33" s="153">
        <f t="shared" ref="BX33:CA33" si="204">BX34+BX37</f>
        <v>0</v>
      </c>
      <c r="BY33" s="153">
        <f t="shared" si="204"/>
        <v>0</v>
      </c>
      <c r="BZ33" s="153">
        <f t="shared" si="204"/>
        <v>0</v>
      </c>
      <c r="CA33" s="124">
        <f t="shared" si="204"/>
        <v>0</v>
      </c>
    </row>
    <row r="34" spans="1:79" ht="14.1" customHeight="1" x14ac:dyDescent="0.2">
      <c r="A34" s="125" t="s">
        <v>127</v>
      </c>
      <c r="B34" s="568"/>
      <c r="C34" s="81" t="s">
        <v>534</v>
      </c>
      <c r="D34" s="901" t="s">
        <v>535</v>
      </c>
      <c r="E34" s="902"/>
      <c r="G34" s="154">
        <f>SUM(G35:G36)</f>
        <v>0</v>
      </c>
      <c r="H34" s="154">
        <f t="shared" ref="H34:I34" si="205">SUM(H35:H36)</f>
        <v>125000</v>
      </c>
      <c r="I34" s="154">
        <f t="shared" si="205"/>
        <v>0</v>
      </c>
      <c r="J34" s="154">
        <f t="shared" ref="J34:BS34" si="206">SUM(J35:J36)</f>
        <v>125000</v>
      </c>
      <c r="K34" s="154">
        <f>SUM(K35:K36)</f>
        <v>0</v>
      </c>
      <c r="L34" s="154">
        <f t="shared" ref="L34" si="207">SUM(L35:L36)</f>
        <v>0</v>
      </c>
      <c r="M34" s="154">
        <f t="shared" ref="M34" si="208">SUM(M35:M36)</f>
        <v>0</v>
      </c>
      <c r="N34" s="154">
        <f t="shared" ref="N34" si="209">SUM(N35:N36)</f>
        <v>0</v>
      </c>
      <c r="O34" s="154">
        <f>SUM(O35:O36)</f>
        <v>0</v>
      </c>
      <c r="P34" s="154">
        <f t="shared" ref="P34" si="210">SUM(P35:P36)</f>
        <v>0</v>
      </c>
      <c r="Q34" s="154">
        <f t="shared" ref="Q34" si="211">SUM(Q35:Q36)</f>
        <v>0</v>
      </c>
      <c r="R34" s="154">
        <f t="shared" ref="R34" si="212">SUM(R35:R36)</f>
        <v>0</v>
      </c>
      <c r="S34" s="154">
        <f>SUM(S35:S36)</f>
        <v>0</v>
      </c>
      <c r="T34" s="154">
        <f t="shared" ref="T34" si="213">SUM(T35:T36)</f>
        <v>0</v>
      </c>
      <c r="U34" s="154">
        <f t="shared" ref="U34" si="214">SUM(U35:U36)</f>
        <v>0</v>
      </c>
      <c r="V34" s="154">
        <f t="shared" ref="V34" si="215">SUM(V35:V36)</f>
        <v>0</v>
      </c>
      <c r="W34" s="154">
        <f t="shared" si="206"/>
        <v>0</v>
      </c>
      <c r="X34" s="154">
        <f t="shared" si="206"/>
        <v>125000</v>
      </c>
      <c r="Y34" s="154">
        <f t="shared" si="206"/>
        <v>0</v>
      </c>
      <c r="Z34" s="84">
        <f t="shared" si="206"/>
        <v>125000</v>
      </c>
      <c r="AA34" s="154">
        <f t="shared" si="206"/>
        <v>0</v>
      </c>
      <c r="AB34" s="154">
        <f t="shared" si="206"/>
        <v>34136</v>
      </c>
      <c r="AC34" s="154">
        <f t="shared" si="206"/>
        <v>0</v>
      </c>
      <c r="AD34" s="154">
        <f t="shared" si="206"/>
        <v>34136</v>
      </c>
      <c r="AE34" s="154">
        <f>SUM(AE35:AE36)</f>
        <v>0</v>
      </c>
      <c r="AF34" s="154">
        <f t="shared" ref="AF34:AH34" si="216">SUM(AF35:AF36)</f>
        <v>8848.2000000000007</v>
      </c>
      <c r="AG34" s="154">
        <f t="shared" si="216"/>
        <v>0</v>
      </c>
      <c r="AH34" s="154">
        <f t="shared" si="216"/>
        <v>8848.2000000000007</v>
      </c>
      <c r="AI34" s="154">
        <f>SUM(AI35:AI36)</f>
        <v>0</v>
      </c>
      <c r="AJ34" s="154">
        <f t="shared" ref="AJ34:AL34" si="217">SUM(AJ35:AJ36)</f>
        <v>44131.8</v>
      </c>
      <c r="AK34" s="154">
        <f t="shared" si="217"/>
        <v>0</v>
      </c>
      <c r="AL34" s="154">
        <f t="shared" si="217"/>
        <v>44131.8</v>
      </c>
      <c r="AM34" s="154">
        <f>SUM(AM35:AM36)</f>
        <v>0</v>
      </c>
      <c r="AN34" s="154">
        <f t="shared" ref="AN34:AX34" si="218">SUM(AN35:AN36)</f>
        <v>21020</v>
      </c>
      <c r="AO34" s="154">
        <f t="shared" si="218"/>
        <v>0</v>
      </c>
      <c r="AP34" s="154">
        <f t="shared" si="218"/>
        <v>21020</v>
      </c>
      <c r="AQ34" s="154">
        <f t="shared" si="218"/>
        <v>0</v>
      </c>
      <c r="AR34" s="154">
        <f t="shared" si="218"/>
        <v>108136</v>
      </c>
      <c r="AS34" s="154">
        <f t="shared" si="218"/>
        <v>0</v>
      </c>
      <c r="AT34" s="84">
        <f t="shared" si="218"/>
        <v>108136</v>
      </c>
      <c r="AU34" s="154">
        <f t="shared" si="218"/>
        <v>0</v>
      </c>
      <c r="AV34" s="154">
        <f t="shared" si="218"/>
        <v>34136</v>
      </c>
      <c r="AW34" s="154">
        <f t="shared" si="218"/>
        <v>0</v>
      </c>
      <c r="AX34" s="154">
        <f t="shared" si="218"/>
        <v>34136</v>
      </c>
      <c r="AY34" s="154">
        <f>SUM(AY35:AY36)</f>
        <v>0</v>
      </c>
      <c r="AZ34" s="154">
        <f t="shared" ref="AZ34" si="219">SUM(AZ35:AZ36)</f>
        <v>8848.2000000000007</v>
      </c>
      <c r="BA34" s="154">
        <f t="shared" ref="BA34" si="220">SUM(BA35:BA36)</f>
        <v>0</v>
      </c>
      <c r="BB34" s="154">
        <f t="shared" ref="BB34" si="221">SUM(BB35:BB36)</f>
        <v>8848.2000000000007</v>
      </c>
      <c r="BC34" s="154">
        <f>SUM(BC35:BC36)</f>
        <v>0</v>
      </c>
      <c r="BD34" s="154">
        <f t="shared" ref="BD34" si="222">SUM(BD35:BD36)</f>
        <v>44131.799999999996</v>
      </c>
      <c r="BE34" s="154">
        <f t="shared" ref="BE34" si="223">SUM(BE35:BE36)</f>
        <v>0</v>
      </c>
      <c r="BF34" s="154">
        <f t="shared" ref="BF34" si="224">SUM(BF35:BF36)</f>
        <v>44131.799999999996</v>
      </c>
      <c r="BG34" s="154">
        <f>SUM(BG35:BG36)</f>
        <v>0</v>
      </c>
      <c r="BH34" s="154">
        <f t="shared" ref="BH34" si="225">SUM(BH35:BH36)</f>
        <v>21020</v>
      </c>
      <c r="BI34" s="154">
        <f t="shared" ref="BI34" si="226">SUM(BI35:BI36)</f>
        <v>0</v>
      </c>
      <c r="BJ34" s="154">
        <f t="shared" ref="BJ34" si="227">SUM(BJ35:BJ36)</f>
        <v>21020</v>
      </c>
      <c r="BK34" s="154">
        <f t="shared" si="206"/>
        <v>0</v>
      </c>
      <c r="BL34" s="154">
        <f t="shared" si="206"/>
        <v>108136</v>
      </c>
      <c r="BM34" s="154">
        <f t="shared" si="206"/>
        <v>0</v>
      </c>
      <c r="BN34" s="154">
        <f t="shared" si="206"/>
        <v>108136</v>
      </c>
      <c r="BO34" s="170">
        <f t="shared" si="206"/>
        <v>0</v>
      </c>
      <c r="BP34" s="154">
        <f>SUM(BP35:BP36)</f>
        <v>0</v>
      </c>
      <c r="BQ34" s="154">
        <f t="shared" si="206"/>
        <v>16864</v>
      </c>
      <c r="BR34" s="154">
        <f t="shared" si="206"/>
        <v>0</v>
      </c>
      <c r="BS34" s="84">
        <f t="shared" si="206"/>
        <v>16864</v>
      </c>
      <c r="BT34" s="154">
        <f>SUM(BT35:BT36)</f>
        <v>0</v>
      </c>
      <c r="BU34" s="154">
        <f t="shared" ref="BU34" si="228">SUM(BU35:BU36)</f>
        <v>0</v>
      </c>
      <c r="BV34" s="154">
        <f t="shared" ref="BV34" si="229">SUM(BV35:BV36)</f>
        <v>0</v>
      </c>
      <c r="BW34" s="154">
        <f t="shared" ref="BW34" si="230">SUM(BW35:BW36)</f>
        <v>0</v>
      </c>
      <c r="BX34" s="154">
        <f t="shared" ref="BX34:CA34" si="231">SUM(BX35:BX36)</f>
        <v>0</v>
      </c>
      <c r="BY34" s="154">
        <f t="shared" si="231"/>
        <v>0</v>
      </c>
      <c r="BZ34" s="154">
        <f t="shared" si="231"/>
        <v>0</v>
      </c>
      <c r="CA34" s="126">
        <f t="shared" si="231"/>
        <v>0</v>
      </c>
    </row>
    <row r="35" spans="1:79" ht="14.1" customHeight="1" x14ac:dyDescent="0.2">
      <c r="A35" s="125" t="s">
        <v>523</v>
      </c>
      <c r="B35" s="568"/>
      <c r="C35" s="78"/>
      <c r="D35" s="82" t="s">
        <v>524</v>
      </c>
      <c r="E35" s="83" t="s">
        <v>525</v>
      </c>
      <c r="G35" s="152"/>
      <c r="H35" s="152">
        <v>125000</v>
      </c>
      <c r="I35" s="152"/>
      <c r="J35" s="152">
        <f t="shared" si="24"/>
        <v>125000</v>
      </c>
      <c r="K35" s="152"/>
      <c r="L35" s="152"/>
      <c r="M35" s="152"/>
      <c r="N35" s="152">
        <f t="shared" ref="N35:N36" si="232">SUM(K35:M35)</f>
        <v>0</v>
      </c>
      <c r="O35" s="152"/>
      <c r="P35" s="152"/>
      <c r="Q35" s="152"/>
      <c r="R35" s="152">
        <f t="shared" ref="R35:R36" si="233">SUM(O35:Q35)</f>
        <v>0</v>
      </c>
      <c r="S35" s="152"/>
      <c r="T35" s="152"/>
      <c r="U35" s="152"/>
      <c r="V35" s="152">
        <f t="shared" ref="V35:V36" si="234">SUM(S35:U35)</f>
        <v>0</v>
      </c>
      <c r="W35" s="152">
        <f>G35-O35+S35+K35</f>
        <v>0</v>
      </c>
      <c r="X35" s="152">
        <f t="shared" ref="X35:Y36" si="235">H35-P35+T35+L35</f>
        <v>125000</v>
      </c>
      <c r="Y35" s="152">
        <f t="shared" si="235"/>
        <v>0</v>
      </c>
      <c r="Z35" s="168">
        <f>SUM(W35:Y35)</f>
        <v>125000</v>
      </c>
      <c r="AA35" s="152"/>
      <c r="AB35" s="152">
        <f>32096+2040</f>
        <v>34136</v>
      </c>
      <c r="AC35" s="152"/>
      <c r="AD35" s="152">
        <f t="shared" ref="AD35:AD36" si="236">SUM(AA35:AC35)</f>
        <v>34136</v>
      </c>
      <c r="AE35" s="152"/>
      <c r="AF35" s="152">
        <f>8848.2</f>
        <v>8848.2000000000007</v>
      </c>
      <c r="AG35" s="152"/>
      <c r="AH35" s="152">
        <f t="shared" ref="AH35:AH36" si="237">SUM(AE35:AG35)</f>
        <v>8848.2000000000007</v>
      </c>
      <c r="AI35" s="152"/>
      <c r="AJ35" s="152">
        <f>37131.8+4000+500+2500</f>
        <v>44131.8</v>
      </c>
      <c r="AK35" s="152"/>
      <c r="AL35" s="152">
        <f t="shared" ref="AL35:AL36" si="238">SUM(AI35:AK35)</f>
        <v>44131.8</v>
      </c>
      <c r="AM35" s="152"/>
      <c r="AN35" s="152">
        <f>1000+20+676.78+2823.22+1703.58+10296.42+4500</f>
        <v>21020</v>
      </c>
      <c r="AO35" s="152"/>
      <c r="AP35" s="152">
        <f t="shared" ref="AP35:AP36" si="239">SUM(AM35:AO35)</f>
        <v>21020</v>
      </c>
      <c r="AQ35" s="152">
        <f t="shared" ref="AQ35:AS36" si="240">AA35+AE35+AI35+AM35</f>
        <v>0</v>
      </c>
      <c r="AR35" s="152">
        <f t="shared" si="240"/>
        <v>108136</v>
      </c>
      <c r="AS35" s="152">
        <f t="shared" si="240"/>
        <v>0</v>
      </c>
      <c r="AT35" s="168">
        <f>SUM(AQ35:AS35)</f>
        <v>108136</v>
      </c>
      <c r="AU35" s="152"/>
      <c r="AV35" s="152">
        <f>32096+2040</f>
        <v>34136</v>
      </c>
      <c r="AW35" s="152"/>
      <c r="AX35" s="152">
        <f t="shared" ref="AX35:AX36" si="241">SUM(AU35:AW35)</f>
        <v>34136</v>
      </c>
      <c r="AY35" s="152"/>
      <c r="AZ35" s="152">
        <f>7748.2+200+400+500</f>
        <v>8848.2000000000007</v>
      </c>
      <c r="BA35" s="152"/>
      <c r="BB35" s="152">
        <f t="shared" ref="BB35:BB36" si="242">SUM(AY35:BA35)</f>
        <v>8848.2000000000007</v>
      </c>
      <c r="BC35" s="152"/>
      <c r="BD35" s="152">
        <f>36832.59+299.21+4000+500+2500</f>
        <v>44131.799999999996</v>
      </c>
      <c r="BE35" s="152"/>
      <c r="BF35" s="152">
        <f t="shared" ref="BF35:BF36" si="243">SUM(BC35:BE35)</f>
        <v>44131.799999999996</v>
      </c>
      <c r="BG35" s="152"/>
      <c r="BH35" s="152">
        <f>1000+20+676.78+2823.22+1703.58+10296.42+4500</f>
        <v>21020</v>
      </c>
      <c r="BI35" s="152"/>
      <c r="BJ35" s="152">
        <f t="shared" ref="BJ35:BJ36" si="244">SUM(BG35:BI35)</f>
        <v>21020</v>
      </c>
      <c r="BK35" s="152">
        <f t="shared" ref="BK35:BM36" si="245">AU35+AY35+BC35+BG35</f>
        <v>0</v>
      </c>
      <c r="BL35" s="152">
        <f t="shared" si="245"/>
        <v>108136</v>
      </c>
      <c r="BM35" s="152">
        <f t="shared" si="245"/>
        <v>0</v>
      </c>
      <c r="BN35" s="152">
        <f>SUM(BK35:BM35)</f>
        <v>108136</v>
      </c>
      <c r="BO35" s="168"/>
      <c r="BP35" s="152">
        <f t="shared" ref="BP35:BR36" si="246">W35-AQ35</f>
        <v>0</v>
      </c>
      <c r="BQ35" s="152">
        <f t="shared" si="246"/>
        <v>16864</v>
      </c>
      <c r="BR35" s="152">
        <f t="shared" si="246"/>
        <v>0</v>
      </c>
      <c r="BS35" s="168">
        <f>SUM(BP35:BR35)</f>
        <v>16864</v>
      </c>
      <c r="BT35" s="152"/>
      <c r="BU35" s="152"/>
      <c r="BV35" s="152"/>
      <c r="BW35" s="152">
        <f t="shared" ref="BW35:BW36" si="247">SUM(BT35:BV35)</f>
        <v>0</v>
      </c>
      <c r="BX35" s="152">
        <f t="shared" si="20"/>
        <v>0</v>
      </c>
      <c r="BY35" s="152">
        <f t="shared" si="21"/>
        <v>0</v>
      </c>
      <c r="BZ35" s="152">
        <f t="shared" si="22"/>
        <v>0</v>
      </c>
      <c r="CA35" s="587">
        <f t="shared" si="23"/>
        <v>0</v>
      </c>
    </row>
    <row r="36" spans="1:79" ht="14.1" customHeight="1" x14ac:dyDescent="0.2">
      <c r="A36" s="125" t="s">
        <v>527</v>
      </c>
      <c r="B36" s="568"/>
      <c r="C36" s="78"/>
      <c r="D36" s="82" t="s">
        <v>536</v>
      </c>
      <c r="E36" s="83" t="s">
        <v>526</v>
      </c>
      <c r="G36" s="152"/>
      <c r="H36" s="152"/>
      <c r="I36" s="152"/>
      <c r="J36" s="152">
        <f t="shared" si="24"/>
        <v>0</v>
      </c>
      <c r="K36" s="152"/>
      <c r="L36" s="152"/>
      <c r="M36" s="152"/>
      <c r="N36" s="152">
        <f t="shared" si="232"/>
        <v>0</v>
      </c>
      <c r="O36" s="152"/>
      <c r="P36" s="152"/>
      <c r="Q36" s="152"/>
      <c r="R36" s="152">
        <f t="shared" si="233"/>
        <v>0</v>
      </c>
      <c r="S36" s="152"/>
      <c r="T36" s="152"/>
      <c r="U36" s="152"/>
      <c r="V36" s="152">
        <f t="shared" si="234"/>
        <v>0</v>
      </c>
      <c r="W36" s="152">
        <f>G36-O36+S36+K36</f>
        <v>0</v>
      </c>
      <c r="X36" s="152">
        <f t="shared" si="235"/>
        <v>0</v>
      </c>
      <c r="Y36" s="152">
        <f t="shared" si="235"/>
        <v>0</v>
      </c>
      <c r="Z36" s="168">
        <f>SUM(W36:Y36)</f>
        <v>0</v>
      </c>
      <c r="AA36" s="152"/>
      <c r="AB36" s="152"/>
      <c r="AC36" s="152"/>
      <c r="AD36" s="152">
        <f t="shared" si="236"/>
        <v>0</v>
      </c>
      <c r="AE36" s="152"/>
      <c r="AF36" s="152"/>
      <c r="AG36" s="152"/>
      <c r="AH36" s="152">
        <f t="shared" si="237"/>
        <v>0</v>
      </c>
      <c r="AI36" s="152"/>
      <c r="AJ36" s="152"/>
      <c r="AK36" s="152"/>
      <c r="AL36" s="152">
        <f t="shared" si="238"/>
        <v>0</v>
      </c>
      <c r="AM36" s="152"/>
      <c r="AN36" s="152"/>
      <c r="AO36" s="152"/>
      <c r="AP36" s="152">
        <f t="shared" si="239"/>
        <v>0</v>
      </c>
      <c r="AQ36" s="152">
        <f t="shared" si="240"/>
        <v>0</v>
      </c>
      <c r="AR36" s="152">
        <f t="shared" si="240"/>
        <v>0</v>
      </c>
      <c r="AS36" s="152">
        <f t="shared" si="240"/>
        <v>0</v>
      </c>
      <c r="AT36" s="168">
        <f>SUM(AQ36:AS36)</f>
        <v>0</v>
      </c>
      <c r="AU36" s="152"/>
      <c r="AV36" s="152"/>
      <c r="AW36" s="152"/>
      <c r="AX36" s="152">
        <f t="shared" si="241"/>
        <v>0</v>
      </c>
      <c r="AY36" s="152"/>
      <c r="AZ36" s="152"/>
      <c r="BA36" s="152"/>
      <c r="BB36" s="152">
        <f t="shared" si="242"/>
        <v>0</v>
      </c>
      <c r="BC36" s="152"/>
      <c r="BD36" s="152"/>
      <c r="BE36" s="152"/>
      <c r="BF36" s="152">
        <f t="shared" si="243"/>
        <v>0</v>
      </c>
      <c r="BG36" s="152"/>
      <c r="BH36" s="152"/>
      <c r="BI36" s="152"/>
      <c r="BJ36" s="152">
        <f t="shared" si="244"/>
        <v>0</v>
      </c>
      <c r="BK36" s="152">
        <f t="shared" si="245"/>
        <v>0</v>
      </c>
      <c r="BL36" s="152">
        <f t="shared" si="245"/>
        <v>0</v>
      </c>
      <c r="BM36" s="152">
        <f t="shared" si="245"/>
        <v>0</v>
      </c>
      <c r="BN36" s="152">
        <f>SUM(BK36:BM36)</f>
        <v>0</v>
      </c>
      <c r="BO36" s="168"/>
      <c r="BP36" s="152">
        <f t="shared" si="246"/>
        <v>0</v>
      </c>
      <c r="BQ36" s="152">
        <f t="shared" si="246"/>
        <v>0</v>
      </c>
      <c r="BR36" s="152">
        <f t="shared" si="246"/>
        <v>0</v>
      </c>
      <c r="BS36" s="168">
        <f>SUM(BP36:BR36)</f>
        <v>0</v>
      </c>
      <c r="BT36" s="152"/>
      <c r="BU36" s="152"/>
      <c r="BV36" s="152"/>
      <c r="BW36" s="152">
        <f t="shared" si="247"/>
        <v>0</v>
      </c>
      <c r="BX36" s="152">
        <f t="shared" si="20"/>
        <v>0</v>
      </c>
      <c r="BY36" s="152">
        <f t="shared" si="21"/>
        <v>0</v>
      </c>
      <c r="BZ36" s="152">
        <f t="shared" si="22"/>
        <v>0</v>
      </c>
      <c r="CA36" s="587">
        <f t="shared" si="23"/>
        <v>0</v>
      </c>
    </row>
    <row r="37" spans="1:79" ht="14.1" customHeight="1" x14ac:dyDescent="0.2">
      <c r="A37" s="125" t="s">
        <v>128</v>
      </c>
      <c r="B37" s="568"/>
      <c r="C37" s="81" t="s">
        <v>147</v>
      </c>
      <c r="D37" s="901" t="s">
        <v>129</v>
      </c>
      <c r="E37" s="902"/>
      <c r="G37" s="154">
        <f>SUM(G38:G39)</f>
        <v>0</v>
      </c>
      <c r="H37" s="154">
        <f t="shared" ref="H37:I37" si="248">SUM(H38:H39)</f>
        <v>0</v>
      </c>
      <c r="I37" s="154">
        <f t="shared" si="248"/>
        <v>0</v>
      </c>
      <c r="J37" s="154">
        <f t="shared" ref="J37" si="249">SUM(J38:J39)</f>
        <v>0</v>
      </c>
      <c r="K37" s="154">
        <f>SUM(K38:K39)</f>
        <v>0</v>
      </c>
      <c r="L37" s="154">
        <f t="shared" ref="L37" si="250">SUM(L38:L39)</f>
        <v>0</v>
      </c>
      <c r="M37" s="154">
        <f t="shared" ref="M37:N37" si="251">SUM(M38:M39)</f>
        <v>0</v>
      </c>
      <c r="N37" s="154">
        <f t="shared" si="251"/>
        <v>0</v>
      </c>
      <c r="O37" s="154">
        <f>SUM(O38:O39)</f>
        <v>0</v>
      </c>
      <c r="P37" s="154">
        <f t="shared" ref="P37" si="252">SUM(P38:P39)</f>
        <v>0</v>
      </c>
      <c r="Q37" s="154">
        <f t="shared" ref="Q37:R37" si="253">SUM(Q38:Q39)</f>
        <v>0</v>
      </c>
      <c r="R37" s="154">
        <f t="shared" si="253"/>
        <v>0</v>
      </c>
      <c r="S37" s="154">
        <f>SUM(S38:S39)</f>
        <v>0</v>
      </c>
      <c r="T37" s="154">
        <f t="shared" ref="T37" si="254">SUM(T38:T39)</f>
        <v>0</v>
      </c>
      <c r="U37" s="154">
        <f t="shared" ref="U37:V37" si="255">SUM(U38:U39)</f>
        <v>0</v>
      </c>
      <c r="V37" s="154">
        <f t="shared" si="255"/>
        <v>0</v>
      </c>
      <c r="W37" s="154">
        <f t="shared" ref="W37" si="256">SUM(W38:W39)</f>
        <v>0</v>
      </c>
      <c r="X37" s="154">
        <f t="shared" ref="X37" si="257">SUM(X38:X39)</f>
        <v>0</v>
      </c>
      <c r="Y37" s="154">
        <f t="shared" ref="Y37" si="258">SUM(Y38:Y39)</f>
        <v>0</v>
      </c>
      <c r="Z37" s="84">
        <f t="shared" ref="Z37:AD37" si="259">SUM(Z38:Z39)</f>
        <v>0</v>
      </c>
      <c r="AA37" s="154">
        <f t="shared" si="259"/>
        <v>0</v>
      </c>
      <c r="AB37" s="154">
        <f t="shared" si="259"/>
        <v>0</v>
      </c>
      <c r="AC37" s="154">
        <f t="shared" si="259"/>
        <v>0</v>
      </c>
      <c r="AD37" s="154">
        <f t="shared" si="259"/>
        <v>0</v>
      </c>
      <c r="AE37" s="154">
        <f>SUM(AE38:AE39)</f>
        <v>0</v>
      </c>
      <c r="AF37" s="154">
        <f t="shared" ref="AF37:AH37" si="260">SUM(AF38:AF39)</f>
        <v>0</v>
      </c>
      <c r="AG37" s="154">
        <f t="shared" si="260"/>
        <v>0</v>
      </c>
      <c r="AH37" s="154">
        <f t="shared" si="260"/>
        <v>0</v>
      </c>
      <c r="AI37" s="154">
        <f>SUM(AI38:AI39)</f>
        <v>0</v>
      </c>
      <c r="AJ37" s="154">
        <f t="shared" ref="AJ37:AL37" si="261">SUM(AJ38:AJ39)</f>
        <v>0</v>
      </c>
      <c r="AK37" s="154">
        <f t="shared" si="261"/>
        <v>0</v>
      </c>
      <c r="AL37" s="154">
        <f t="shared" si="261"/>
        <v>0</v>
      </c>
      <c r="AM37" s="154">
        <f>SUM(AM38:AM39)</f>
        <v>0</v>
      </c>
      <c r="AN37" s="154">
        <f t="shared" ref="AN37:AX37" si="262">SUM(AN38:AN39)</f>
        <v>0</v>
      </c>
      <c r="AO37" s="154">
        <f t="shared" si="262"/>
        <v>0</v>
      </c>
      <c r="AP37" s="154">
        <f t="shared" si="262"/>
        <v>0</v>
      </c>
      <c r="AQ37" s="154">
        <f t="shared" si="262"/>
        <v>0</v>
      </c>
      <c r="AR37" s="154">
        <f t="shared" si="262"/>
        <v>0</v>
      </c>
      <c r="AS37" s="154">
        <f t="shared" si="262"/>
        <v>0</v>
      </c>
      <c r="AT37" s="84">
        <f t="shared" si="262"/>
        <v>0</v>
      </c>
      <c r="AU37" s="154">
        <f t="shared" si="262"/>
        <v>0</v>
      </c>
      <c r="AV37" s="154">
        <f t="shared" si="262"/>
        <v>0</v>
      </c>
      <c r="AW37" s="154">
        <f t="shared" si="262"/>
        <v>0</v>
      </c>
      <c r="AX37" s="154">
        <f t="shared" si="262"/>
        <v>0</v>
      </c>
      <c r="AY37" s="154">
        <f>SUM(AY38:AY39)</f>
        <v>0</v>
      </c>
      <c r="AZ37" s="154">
        <f t="shared" ref="AZ37" si="263">SUM(AZ38:AZ39)</f>
        <v>0</v>
      </c>
      <c r="BA37" s="154">
        <f t="shared" ref="BA37:BB37" si="264">SUM(BA38:BA39)</f>
        <v>0</v>
      </c>
      <c r="BB37" s="154">
        <f t="shared" si="264"/>
        <v>0</v>
      </c>
      <c r="BC37" s="154">
        <f>SUM(BC38:BC39)</f>
        <v>0</v>
      </c>
      <c r="BD37" s="154">
        <f t="shared" ref="BD37" si="265">SUM(BD38:BD39)</f>
        <v>0</v>
      </c>
      <c r="BE37" s="154">
        <f t="shared" ref="BE37:BF37" si="266">SUM(BE38:BE39)</f>
        <v>0</v>
      </c>
      <c r="BF37" s="154">
        <f t="shared" si="266"/>
        <v>0</v>
      </c>
      <c r="BG37" s="154">
        <f>SUM(BG38:BG39)</f>
        <v>0</v>
      </c>
      <c r="BH37" s="154">
        <f t="shared" ref="BH37" si="267">SUM(BH38:BH39)</f>
        <v>0</v>
      </c>
      <c r="BI37" s="154">
        <f t="shared" ref="BI37:BJ37" si="268">SUM(BI38:BI39)</f>
        <v>0</v>
      </c>
      <c r="BJ37" s="154">
        <f t="shared" si="268"/>
        <v>0</v>
      </c>
      <c r="BK37" s="154">
        <f t="shared" ref="BK37" si="269">SUM(BK38:BK39)</f>
        <v>0</v>
      </c>
      <c r="BL37" s="154">
        <f t="shared" ref="BL37" si="270">SUM(BL38:BL39)</f>
        <v>0</v>
      </c>
      <c r="BM37" s="154">
        <f t="shared" ref="BM37" si="271">SUM(BM38:BM39)</f>
        <v>0</v>
      </c>
      <c r="BN37" s="154">
        <f t="shared" ref="BN37" si="272">SUM(BN38:BN39)</f>
        <v>0</v>
      </c>
      <c r="BO37" s="170">
        <f t="shared" ref="BO37" si="273">SUM(BO38:BO39)</f>
        <v>0</v>
      </c>
      <c r="BP37" s="154">
        <f>SUM(BP38:BP39)</f>
        <v>0</v>
      </c>
      <c r="BQ37" s="154">
        <f>SUM(BQ38:BQ39)</f>
        <v>0</v>
      </c>
      <c r="BR37" s="154">
        <f t="shared" ref="BR37" si="274">SUM(BR38:BR39)</f>
        <v>0</v>
      </c>
      <c r="BS37" s="84">
        <f t="shared" ref="BS37" si="275">SUM(BS38:BS39)</f>
        <v>0</v>
      </c>
      <c r="BT37" s="154">
        <f>SUM(BT38:BT39)</f>
        <v>0</v>
      </c>
      <c r="BU37" s="154">
        <f t="shared" ref="BU37" si="276">SUM(BU38:BU39)</f>
        <v>0</v>
      </c>
      <c r="BV37" s="154">
        <f t="shared" ref="BV37:BW37" si="277">SUM(BV38:BV39)</f>
        <v>0</v>
      </c>
      <c r="BW37" s="154">
        <f t="shared" si="277"/>
        <v>0</v>
      </c>
      <c r="BX37" s="154">
        <f t="shared" ref="BX37" si="278">SUM(BX38:BX39)</f>
        <v>0</v>
      </c>
      <c r="BY37" s="154">
        <f t="shared" ref="BY37" si="279">SUM(BY38:BY39)</f>
        <v>0</v>
      </c>
      <c r="BZ37" s="154">
        <f t="shared" ref="BZ37" si="280">SUM(BZ38:BZ39)</f>
        <v>0</v>
      </c>
      <c r="CA37" s="126">
        <f t="shared" ref="CA37" si="281">SUM(CA38:CA39)</f>
        <v>0</v>
      </c>
    </row>
    <row r="38" spans="1:79" ht="14.1" customHeight="1" x14ac:dyDescent="0.2">
      <c r="A38" s="125" t="s">
        <v>537</v>
      </c>
      <c r="B38" s="568"/>
      <c r="C38" s="78"/>
      <c r="D38" s="82" t="s">
        <v>524</v>
      </c>
      <c r="E38" s="566" t="s">
        <v>538</v>
      </c>
      <c r="G38" s="152"/>
      <c r="H38" s="152"/>
      <c r="I38" s="152"/>
      <c r="J38" s="152">
        <f t="shared" si="24"/>
        <v>0</v>
      </c>
      <c r="K38" s="152"/>
      <c r="L38" s="152"/>
      <c r="M38" s="152"/>
      <c r="N38" s="152">
        <f t="shared" ref="N38:N39" si="282">SUM(K38:M38)</f>
        <v>0</v>
      </c>
      <c r="O38" s="152"/>
      <c r="P38" s="152"/>
      <c r="Q38" s="152"/>
      <c r="R38" s="152">
        <f t="shared" ref="R38:R39" si="283">SUM(O38:Q38)</f>
        <v>0</v>
      </c>
      <c r="S38" s="152"/>
      <c r="T38" s="152"/>
      <c r="U38" s="152"/>
      <c r="V38" s="152">
        <f t="shared" ref="V38:V39" si="284">SUM(S38:U38)</f>
        <v>0</v>
      </c>
      <c r="W38" s="152">
        <f>G38-O38+S38+K38</f>
        <v>0</v>
      </c>
      <c r="X38" s="152">
        <f t="shared" ref="X38:Y39" si="285">H38-P38+T38+L38</f>
        <v>0</v>
      </c>
      <c r="Y38" s="152">
        <f t="shared" si="285"/>
        <v>0</v>
      </c>
      <c r="Z38" s="168">
        <f>SUM(W38:Y38)</f>
        <v>0</v>
      </c>
      <c r="AA38" s="152"/>
      <c r="AB38" s="152"/>
      <c r="AC38" s="152"/>
      <c r="AD38" s="152">
        <f t="shared" ref="AD38:AD39" si="286">SUM(AA38:AC38)</f>
        <v>0</v>
      </c>
      <c r="AE38" s="152"/>
      <c r="AF38" s="152"/>
      <c r="AG38" s="152"/>
      <c r="AH38" s="152">
        <f t="shared" ref="AH38:AH39" si="287">SUM(AE38:AG38)</f>
        <v>0</v>
      </c>
      <c r="AI38" s="152"/>
      <c r="AJ38" s="152"/>
      <c r="AK38" s="152"/>
      <c r="AL38" s="152">
        <f t="shared" ref="AL38:AL39" si="288">SUM(AI38:AK38)</f>
        <v>0</v>
      </c>
      <c r="AM38" s="152"/>
      <c r="AN38" s="152"/>
      <c r="AO38" s="152"/>
      <c r="AP38" s="152">
        <f t="shared" ref="AP38:AP39" si="289">SUM(AM38:AO38)</f>
        <v>0</v>
      </c>
      <c r="AQ38" s="152">
        <f t="shared" ref="AQ38:AS39" si="290">AA38+AE38+AI38+AM38</f>
        <v>0</v>
      </c>
      <c r="AR38" s="152">
        <f t="shared" si="290"/>
        <v>0</v>
      </c>
      <c r="AS38" s="152">
        <f t="shared" si="290"/>
        <v>0</v>
      </c>
      <c r="AT38" s="168">
        <f>SUM(AQ38:AS38)</f>
        <v>0</v>
      </c>
      <c r="AU38" s="152"/>
      <c r="AV38" s="152"/>
      <c r="AW38" s="152"/>
      <c r="AX38" s="152">
        <f t="shared" ref="AX38:AX39" si="291">SUM(AU38:AW38)</f>
        <v>0</v>
      </c>
      <c r="AY38" s="152"/>
      <c r="AZ38" s="152"/>
      <c r="BA38" s="152"/>
      <c r="BB38" s="152">
        <f t="shared" ref="BB38:BB39" si="292">SUM(AY38:BA38)</f>
        <v>0</v>
      </c>
      <c r="BC38" s="152"/>
      <c r="BD38" s="152"/>
      <c r="BE38" s="152"/>
      <c r="BF38" s="152">
        <f t="shared" ref="BF38:BF39" si="293">SUM(BC38:BE38)</f>
        <v>0</v>
      </c>
      <c r="BG38" s="152"/>
      <c r="BH38" s="152"/>
      <c r="BI38" s="152"/>
      <c r="BJ38" s="152">
        <f t="shared" ref="BJ38:BJ39" si="294">SUM(BG38:BI38)</f>
        <v>0</v>
      </c>
      <c r="BK38" s="152">
        <f t="shared" ref="BK38:BM39" si="295">AU38+AY38+BC38+BG38</f>
        <v>0</v>
      </c>
      <c r="BL38" s="152">
        <f t="shared" si="295"/>
        <v>0</v>
      </c>
      <c r="BM38" s="152">
        <f t="shared" si="295"/>
        <v>0</v>
      </c>
      <c r="BN38" s="152">
        <f>SUM(BK38:BM38)</f>
        <v>0</v>
      </c>
      <c r="BO38" s="168"/>
      <c r="BP38" s="152">
        <f t="shared" ref="BP38:BR39" si="296">W38-AQ38</f>
        <v>0</v>
      </c>
      <c r="BQ38" s="152">
        <f t="shared" si="296"/>
        <v>0</v>
      </c>
      <c r="BR38" s="152">
        <f t="shared" si="296"/>
        <v>0</v>
      </c>
      <c r="BS38" s="168">
        <f>SUM(BP38:BR38)</f>
        <v>0</v>
      </c>
      <c r="BT38" s="152"/>
      <c r="BU38" s="152"/>
      <c r="BV38" s="152"/>
      <c r="BW38" s="152">
        <f t="shared" ref="BW38:BW39" si="297">SUM(BT38:BV38)</f>
        <v>0</v>
      </c>
      <c r="BX38" s="152">
        <f t="shared" si="20"/>
        <v>0</v>
      </c>
      <c r="BY38" s="152">
        <f t="shared" si="21"/>
        <v>0</v>
      </c>
      <c r="BZ38" s="152">
        <f t="shared" si="22"/>
        <v>0</v>
      </c>
      <c r="CA38" s="587">
        <f t="shared" si="23"/>
        <v>0</v>
      </c>
    </row>
    <row r="39" spans="1:79" ht="14.1" customHeight="1" x14ac:dyDescent="0.2">
      <c r="A39" s="125" t="s">
        <v>539</v>
      </c>
      <c r="B39" s="568"/>
      <c r="C39" s="78"/>
      <c r="D39" s="82" t="s">
        <v>536</v>
      </c>
      <c r="E39" s="590" t="s">
        <v>711</v>
      </c>
      <c r="G39" s="152"/>
      <c r="H39" s="152"/>
      <c r="I39" s="152"/>
      <c r="J39" s="152">
        <f t="shared" si="24"/>
        <v>0</v>
      </c>
      <c r="K39" s="152"/>
      <c r="L39" s="152"/>
      <c r="M39" s="152"/>
      <c r="N39" s="152">
        <f t="shared" si="282"/>
        <v>0</v>
      </c>
      <c r="O39" s="152"/>
      <c r="P39" s="152"/>
      <c r="Q39" s="152"/>
      <c r="R39" s="152">
        <f t="shared" si="283"/>
        <v>0</v>
      </c>
      <c r="S39" s="152"/>
      <c r="T39" s="152"/>
      <c r="U39" s="152"/>
      <c r="V39" s="152">
        <f t="shared" si="284"/>
        <v>0</v>
      </c>
      <c r="W39" s="152">
        <f>G39-O39+S39+K39</f>
        <v>0</v>
      </c>
      <c r="X39" s="152">
        <f t="shared" si="285"/>
        <v>0</v>
      </c>
      <c r="Y39" s="152">
        <f t="shared" si="285"/>
        <v>0</v>
      </c>
      <c r="Z39" s="168">
        <f>SUM(W39:Y39)</f>
        <v>0</v>
      </c>
      <c r="AA39" s="152"/>
      <c r="AB39" s="152"/>
      <c r="AC39" s="152"/>
      <c r="AD39" s="152">
        <f t="shared" si="286"/>
        <v>0</v>
      </c>
      <c r="AE39" s="152"/>
      <c r="AF39" s="152"/>
      <c r="AG39" s="152"/>
      <c r="AH39" s="152">
        <f t="shared" si="287"/>
        <v>0</v>
      </c>
      <c r="AI39" s="152"/>
      <c r="AJ39" s="152"/>
      <c r="AK39" s="152"/>
      <c r="AL39" s="152">
        <f t="shared" si="288"/>
        <v>0</v>
      </c>
      <c r="AM39" s="152"/>
      <c r="AN39" s="152"/>
      <c r="AO39" s="152"/>
      <c r="AP39" s="152">
        <f t="shared" si="289"/>
        <v>0</v>
      </c>
      <c r="AQ39" s="152">
        <f t="shared" si="290"/>
        <v>0</v>
      </c>
      <c r="AR39" s="152">
        <f t="shared" si="290"/>
        <v>0</v>
      </c>
      <c r="AS39" s="152">
        <f t="shared" si="290"/>
        <v>0</v>
      </c>
      <c r="AT39" s="168">
        <f>SUM(AQ39:AS39)</f>
        <v>0</v>
      </c>
      <c r="AU39" s="152"/>
      <c r="AV39" s="152"/>
      <c r="AW39" s="152"/>
      <c r="AX39" s="152">
        <f t="shared" si="291"/>
        <v>0</v>
      </c>
      <c r="AY39" s="152"/>
      <c r="AZ39" s="152"/>
      <c r="BA39" s="152"/>
      <c r="BB39" s="152">
        <f t="shared" si="292"/>
        <v>0</v>
      </c>
      <c r="BC39" s="152"/>
      <c r="BD39" s="152"/>
      <c r="BE39" s="152"/>
      <c r="BF39" s="152">
        <f t="shared" si="293"/>
        <v>0</v>
      </c>
      <c r="BG39" s="152"/>
      <c r="BH39" s="152"/>
      <c r="BI39" s="152"/>
      <c r="BJ39" s="152">
        <f t="shared" si="294"/>
        <v>0</v>
      </c>
      <c r="BK39" s="152">
        <f t="shared" si="295"/>
        <v>0</v>
      </c>
      <c r="BL39" s="152">
        <f t="shared" si="295"/>
        <v>0</v>
      </c>
      <c r="BM39" s="152">
        <f t="shared" si="295"/>
        <v>0</v>
      </c>
      <c r="BN39" s="152">
        <f>SUM(BK39:BM39)</f>
        <v>0</v>
      </c>
      <c r="BO39" s="168"/>
      <c r="BP39" s="152">
        <f t="shared" si="296"/>
        <v>0</v>
      </c>
      <c r="BQ39" s="152">
        <f t="shared" si="296"/>
        <v>0</v>
      </c>
      <c r="BR39" s="152">
        <f t="shared" si="296"/>
        <v>0</v>
      </c>
      <c r="BS39" s="168">
        <f>SUM(BP39:BR39)</f>
        <v>0</v>
      </c>
      <c r="BT39" s="152"/>
      <c r="BU39" s="152"/>
      <c r="BV39" s="152"/>
      <c r="BW39" s="152">
        <f t="shared" si="297"/>
        <v>0</v>
      </c>
      <c r="BX39" s="152">
        <f t="shared" si="20"/>
        <v>0</v>
      </c>
      <c r="BY39" s="152">
        <f t="shared" si="21"/>
        <v>0</v>
      </c>
      <c r="BZ39" s="152">
        <f t="shared" si="22"/>
        <v>0</v>
      </c>
      <c r="CA39" s="587">
        <f t="shared" si="23"/>
        <v>0</v>
      </c>
    </row>
    <row r="40" spans="1:79" ht="14.1" customHeight="1" x14ac:dyDescent="0.2">
      <c r="A40" s="125" t="s">
        <v>130</v>
      </c>
      <c r="B40" s="74" t="s">
        <v>536</v>
      </c>
      <c r="C40" s="899" t="s">
        <v>132</v>
      </c>
      <c r="D40" s="899"/>
      <c r="E40" s="900"/>
      <c r="G40" s="154">
        <f>SUM(G41:G43)</f>
        <v>0</v>
      </c>
      <c r="H40" s="154">
        <f t="shared" ref="H40:I40" si="298">SUM(H41:H43)</f>
        <v>0</v>
      </c>
      <c r="I40" s="154">
        <f t="shared" si="298"/>
        <v>0</v>
      </c>
      <c r="J40" s="154">
        <f t="shared" ref="J40:BS40" si="299">SUM(J41:J43)</f>
        <v>0</v>
      </c>
      <c r="K40" s="154">
        <f>SUM(K41:K43)</f>
        <v>0</v>
      </c>
      <c r="L40" s="154">
        <f t="shared" ref="L40" si="300">SUM(L41:L43)</f>
        <v>0</v>
      </c>
      <c r="M40" s="154">
        <f t="shared" ref="M40:N40" si="301">SUM(M41:M43)</f>
        <v>0</v>
      </c>
      <c r="N40" s="154">
        <f t="shared" si="301"/>
        <v>0</v>
      </c>
      <c r="O40" s="154">
        <f>SUM(O41:O43)</f>
        <v>0</v>
      </c>
      <c r="P40" s="154">
        <f t="shared" ref="P40" si="302">SUM(P41:P43)</f>
        <v>0</v>
      </c>
      <c r="Q40" s="154">
        <f t="shared" ref="Q40:R40" si="303">SUM(Q41:Q43)</f>
        <v>0</v>
      </c>
      <c r="R40" s="154">
        <f t="shared" si="303"/>
        <v>0</v>
      </c>
      <c r="S40" s="154">
        <f>SUM(S41:S43)</f>
        <v>0</v>
      </c>
      <c r="T40" s="154">
        <f t="shared" ref="T40" si="304">SUM(T41:T43)</f>
        <v>0</v>
      </c>
      <c r="U40" s="154">
        <f t="shared" ref="U40:V40" si="305">SUM(U41:U43)</f>
        <v>0</v>
      </c>
      <c r="V40" s="154">
        <f t="shared" si="305"/>
        <v>0</v>
      </c>
      <c r="W40" s="154">
        <f t="shared" si="299"/>
        <v>0</v>
      </c>
      <c r="X40" s="154">
        <f t="shared" si="299"/>
        <v>0</v>
      </c>
      <c r="Y40" s="154">
        <f t="shared" si="299"/>
        <v>0</v>
      </c>
      <c r="Z40" s="84">
        <f t="shared" si="299"/>
        <v>0</v>
      </c>
      <c r="AA40" s="154">
        <f t="shared" si="299"/>
        <v>0</v>
      </c>
      <c r="AB40" s="154">
        <f t="shared" si="299"/>
        <v>0</v>
      </c>
      <c r="AC40" s="154">
        <f t="shared" si="299"/>
        <v>0</v>
      </c>
      <c r="AD40" s="154">
        <f t="shared" si="299"/>
        <v>0</v>
      </c>
      <c r="AE40" s="154">
        <f>SUM(AE41:AE43)</f>
        <v>0</v>
      </c>
      <c r="AF40" s="154">
        <f t="shared" ref="AF40:AH40" si="306">SUM(AF41:AF43)</f>
        <v>0</v>
      </c>
      <c r="AG40" s="154">
        <f t="shared" si="306"/>
        <v>0</v>
      </c>
      <c r="AH40" s="154">
        <f t="shared" si="306"/>
        <v>0</v>
      </c>
      <c r="AI40" s="154">
        <f>SUM(AI41:AI43)</f>
        <v>0</v>
      </c>
      <c r="AJ40" s="154">
        <f t="shared" ref="AJ40:AL40" si="307">SUM(AJ41:AJ43)</f>
        <v>0</v>
      </c>
      <c r="AK40" s="154">
        <f t="shared" si="307"/>
        <v>0</v>
      </c>
      <c r="AL40" s="154">
        <f t="shared" si="307"/>
        <v>0</v>
      </c>
      <c r="AM40" s="154">
        <f>SUM(AM41:AM43)</f>
        <v>0</v>
      </c>
      <c r="AN40" s="154">
        <f t="shared" ref="AN40:AP40" si="308">SUM(AN41:AN43)</f>
        <v>0</v>
      </c>
      <c r="AO40" s="154">
        <f t="shared" si="308"/>
        <v>0</v>
      </c>
      <c r="AP40" s="154">
        <f t="shared" si="308"/>
        <v>0</v>
      </c>
      <c r="AQ40" s="154">
        <f t="shared" si="299"/>
        <v>0</v>
      </c>
      <c r="AR40" s="154">
        <f t="shared" si="299"/>
        <v>0</v>
      </c>
      <c r="AS40" s="154">
        <f t="shared" si="299"/>
        <v>0</v>
      </c>
      <c r="AT40" s="84">
        <f t="shared" si="299"/>
        <v>0</v>
      </c>
      <c r="AU40" s="154">
        <f t="shared" si="299"/>
        <v>0</v>
      </c>
      <c r="AV40" s="154">
        <f t="shared" si="299"/>
        <v>0</v>
      </c>
      <c r="AW40" s="154">
        <f t="shared" si="299"/>
        <v>0</v>
      </c>
      <c r="AX40" s="154">
        <f t="shared" si="299"/>
        <v>0</v>
      </c>
      <c r="AY40" s="154">
        <f>SUM(AY41:AY43)</f>
        <v>0</v>
      </c>
      <c r="AZ40" s="154">
        <f t="shared" ref="AZ40" si="309">SUM(AZ41:AZ43)</f>
        <v>0</v>
      </c>
      <c r="BA40" s="154">
        <f t="shared" ref="BA40:BB40" si="310">SUM(BA41:BA43)</f>
        <v>0</v>
      </c>
      <c r="BB40" s="154">
        <f t="shared" si="310"/>
        <v>0</v>
      </c>
      <c r="BC40" s="154">
        <f>SUM(BC41:BC43)</f>
        <v>0</v>
      </c>
      <c r="BD40" s="154">
        <f t="shared" ref="BD40" si="311">SUM(BD41:BD43)</f>
        <v>0</v>
      </c>
      <c r="BE40" s="154">
        <f t="shared" ref="BE40:BF40" si="312">SUM(BE41:BE43)</f>
        <v>0</v>
      </c>
      <c r="BF40" s="154">
        <f t="shared" si="312"/>
        <v>0</v>
      </c>
      <c r="BG40" s="154">
        <f>SUM(BG41:BG43)</f>
        <v>0</v>
      </c>
      <c r="BH40" s="154">
        <f t="shared" ref="BH40" si="313">SUM(BH41:BH43)</f>
        <v>0</v>
      </c>
      <c r="BI40" s="154">
        <f t="shared" ref="BI40:BJ40" si="314">SUM(BI41:BI43)</f>
        <v>0</v>
      </c>
      <c r="BJ40" s="154">
        <f t="shared" si="314"/>
        <v>0</v>
      </c>
      <c r="BK40" s="154">
        <f t="shared" si="299"/>
        <v>0</v>
      </c>
      <c r="BL40" s="154">
        <f t="shared" si="299"/>
        <v>0</v>
      </c>
      <c r="BM40" s="154">
        <f t="shared" si="299"/>
        <v>0</v>
      </c>
      <c r="BN40" s="154">
        <f t="shared" si="299"/>
        <v>0</v>
      </c>
      <c r="BO40" s="170">
        <f t="shared" si="299"/>
        <v>0</v>
      </c>
      <c r="BP40" s="154">
        <f t="shared" si="299"/>
        <v>0</v>
      </c>
      <c r="BQ40" s="154">
        <f t="shared" si="299"/>
        <v>0</v>
      </c>
      <c r="BR40" s="154">
        <f t="shared" si="299"/>
        <v>0</v>
      </c>
      <c r="BS40" s="84">
        <f t="shared" si="299"/>
        <v>0</v>
      </c>
      <c r="BT40" s="154">
        <f>SUM(BT41:BT43)</f>
        <v>0</v>
      </c>
      <c r="BU40" s="154">
        <f t="shared" ref="BU40" si="315">SUM(BU41:BU43)</f>
        <v>0</v>
      </c>
      <c r="BV40" s="154">
        <f t="shared" ref="BV40:BW40" si="316">SUM(BV41:BV43)</f>
        <v>0</v>
      </c>
      <c r="BW40" s="154">
        <f t="shared" si="316"/>
        <v>0</v>
      </c>
      <c r="BX40" s="154">
        <f t="shared" ref="BX40:CA40" si="317">SUM(BX41:BX43)</f>
        <v>0</v>
      </c>
      <c r="BY40" s="154">
        <f t="shared" si="317"/>
        <v>0</v>
      </c>
      <c r="BZ40" s="154">
        <f t="shared" si="317"/>
        <v>0</v>
      </c>
      <c r="CA40" s="126">
        <f t="shared" si="317"/>
        <v>0</v>
      </c>
    </row>
    <row r="41" spans="1:79" ht="14.1" customHeight="1" x14ac:dyDescent="0.2">
      <c r="A41" s="125" t="s">
        <v>541</v>
      </c>
      <c r="B41" s="82"/>
      <c r="C41" s="78" t="s">
        <v>146</v>
      </c>
      <c r="D41" s="69" t="s">
        <v>133</v>
      </c>
      <c r="E41" s="86"/>
      <c r="G41" s="152"/>
      <c r="H41" s="152"/>
      <c r="I41" s="152"/>
      <c r="J41" s="152">
        <f t="shared" si="24"/>
        <v>0</v>
      </c>
      <c r="K41" s="152"/>
      <c r="L41" s="152"/>
      <c r="M41" s="152"/>
      <c r="N41" s="152">
        <f t="shared" ref="N41:N43" si="318">SUM(K41:M41)</f>
        <v>0</v>
      </c>
      <c r="O41" s="152"/>
      <c r="P41" s="152"/>
      <c r="Q41" s="152"/>
      <c r="R41" s="152">
        <f t="shared" ref="R41:R43" si="319">SUM(O41:Q41)</f>
        <v>0</v>
      </c>
      <c r="S41" s="152"/>
      <c r="T41" s="152"/>
      <c r="U41" s="152"/>
      <c r="V41" s="152">
        <f t="shared" ref="V41:V43" si="320">SUM(S41:U41)</f>
        <v>0</v>
      </c>
      <c r="W41" s="152">
        <f>G41-O41+S41+K41</f>
        <v>0</v>
      </c>
      <c r="X41" s="152">
        <f t="shared" ref="X41:Y43" si="321">H41-P41+T41+L41</f>
        <v>0</v>
      </c>
      <c r="Y41" s="152">
        <f t="shared" si="321"/>
        <v>0</v>
      </c>
      <c r="Z41" s="168">
        <f>SUM(W41:Y41)</f>
        <v>0</v>
      </c>
      <c r="AA41" s="152"/>
      <c r="AB41" s="152"/>
      <c r="AC41" s="152"/>
      <c r="AD41" s="152">
        <f t="shared" ref="AD41:AD43" si="322">SUM(AA41:AC41)</f>
        <v>0</v>
      </c>
      <c r="AE41" s="152"/>
      <c r="AF41" s="152"/>
      <c r="AG41" s="152"/>
      <c r="AH41" s="152">
        <f t="shared" ref="AH41:AH43" si="323">SUM(AE41:AG41)</f>
        <v>0</v>
      </c>
      <c r="AI41" s="152"/>
      <c r="AJ41" s="152"/>
      <c r="AK41" s="152"/>
      <c r="AL41" s="152">
        <f t="shared" ref="AL41:AL43" si="324">SUM(AI41:AK41)</f>
        <v>0</v>
      </c>
      <c r="AM41" s="152"/>
      <c r="AN41" s="152"/>
      <c r="AO41" s="152"/>
      <c r="AP41" s="152">
        <f t="shared" ref="AP41:AP43" si="325">SUM(AM41:AO41)</f>
        <v>0</v>
      </c>
      <c r="AQ41" s="152">
        <f t="shared" ref="AQ41:AS43" si="326">AA41+AE41+AI41+AM41</f>
        <v>0</v>
      </c>
      <c r="AR41" s="152">
        <f t="shared" si="326"/>
        <v>0</v>
      </c>
      <c r="AS41" s="152">
        <f t="shared" si="326"/>
        <v>0</v>
      </c>
      <c r="AT41" s="168">
        <f>SUM(AQ41:AS41)</f>
        <v>0</v>
      </c>
      <c r="AU41" s="152"/>
      <c r="AV41" s="152"/>
      <c r="AW41" s="152"/>
      <c r="AX41" s="152">
        <f t="shared" ref="AX41:AX43" si="327">SUM(AU41:AW41)</f>
        <v>0</v>
      </c>
      <c r="AY41" s="152"/>
      <c r="AZ41" s="152"/>
      <c r="BA41" s="152"/>
      <c r="BB41" s="152">
        <f t="shared" ref="BB41:BB43" si="328">SUM(AY41:BA41)</f>
        <v>0</v>
      </c>
      <c r="BC41" s="152"/>
      <c r="BD41" s="152"/>
      <c r="BE41" s="152"/>
      <c r="BF41" s="152">
        <f t="shared" ref="BF41:BF43" si="329">SUM(BC41:BE41)</f>
        <v>0</v>
      </c>
      <c r="BG41" s="152"/>
      <c r="BH41" s="152"/>
      <c r="BI41" s="152"/>
      <c r="BJ41" s="152">
        <f t="shared" ref="BJ41:BJ43" si="330">SUM(BG41:BI41)</f>
        <v>0</v>
      </c>
      <c r="BK41" s="152">
        <f t="shared" ref="BK41:BM43" si="331">AU41+AY41+BC41+BG41</f>
        <v>0</v>
      </c>
      <c r="BL41" s="152">
        <f t="shared" si="331"/>
        <v>0</v>
      </c>
      <c r="BM41" s="152">
        <f t="shared" si="331"/>
        <v>0</v>
      </c>
      <c r="BN41" s="152">
        <f>SUM(BK41:BM41)</f>
        <v>0</v>
      </c>
      <c r="BO41" s="168"/>
      <c r="BP41" s="152">
        <f t="shared" ref="BP41:BR43" si="332">W41-AQ41</f>
        <v>0</v>
      </c>
      <c r="BQ41" s="152">
        <f t="shared" si="332"/>
        <v>0</v>
      </c>
      <c r="BR41" s="152">
        <f t="shared" si="332"/>
        <v>0</v>
      </c>
      <c r="BS41" s="168">
        <f>SUM(BP41:BR41)</f>
        <v>0</v>
      </c>
      <c r="BT41" s="152"/>
      <c r="BU41" s="152"/>
      <c r="BV41" s="152"/>
      <c r="BW41" s="152">
        <f t="shared" ref="BW41:BW43" si="333">SUM(BT41:BV41)</f>
        <v>0</v>
      </c>
      <c r="BX41" s="152">
        <f t="shared" si="20"/>
        <v>0</v>
      </c>
      <c r="BY41" s="152">
        <f t="shared" si="21"/>
        <v>0</v>
      </c>
      <c r="BZ41" s="152">
        <f t="shared" si="22"/>
        <v>0</v>
      </c>
      <c r="CA41" s="587">
        <f t="shared" si="23"/>
        <v>0</v>
      </c>
    </row>
    <row r="42" spans="1:79" ht="14.1" customHeight="1" x14ac:dyDescent="0.2">
      <c r="A42" s="127" t="s">
        <v>542</v>
      </c>
      <c r="B42" s="568"/>
      <c r="C42" s="81" t="s">
        <v>147</v>
      </c>
      <c r="D42" s="901" t="s">
        <v>543</v>
      </c>
      <c r="E42" s="902"/>
      <c r="G42" s="152"/>
      <c r="H42" s="152"/>
      <c r="I42" s="152"/>
      <c r="J42" s="152">
        <f t="shared" si="24"/>
        <v>0</v>
      </c>
      <c r="K42" s="152"/>
      <c r="L42" s="152"/>
      <c r="M42" s="152"/>
      <c r="N42" s="152">
        <f t="shared" si="318"/>
        <v>0</v>
      </c>
      <c r="O42" s="152"/>
      <c r="P42" s="152"/>
      <c r="Q42" s="152"/>
      <c r="R42" s="152">
        <f t="shared" si="319"/>
        <v>0</v>
      </c>
      <c r="S42" s="152"/>
      <c r="T42" s="152"/>
      <c r="U42" s="152"/>
      <c r="V42" s="152">
        <f t="shared" si="320"/>
        <v>0</v>
      </c>
      <c r="W42" s="152">
        <f>G42-O42+S42+K42</f>
        <v>0</v>
      </c>
      <c r="X42" s="152">
        <f t="shared" si="321"/>
        <v>0</v>
      </c>
      <c r="Y42" s="152">
        <f t="shared" si="321"/>
        <v>0</v>
      </c>
      <c r="Z42" s="168">
        <f>SUM(W42:Y42)</f>
        <v>0</v>
      </c>
      <c r="AA42" s="152"/>
      <c r="AB42" s="152"/>
      <c r="AC42" s="152"/>
      <c r="AD42" s="152">
        <f t="shared" si="322"/>
        <v>0</v>
      </c>
      <c r="AE42" s="152"/>
      <c r="AF42" s="152"/>
      <c r="AG42" s="152"/>
      <c r="AH42" s="152">
        <f t="shared" si="323"/>
        <v>0</v>
      </c>
      <c r="AI42" s="152"/>
      <c r="AJ42" s="152"/>
      <c r="AK42" s="152"/>
      <c r="AL42" s="152">
        <f t="shared" si="324"/>
        <v>0</v>
      </c>
      <c r="AM42" s="152"/>
      <c r="AN42" s="152"/>
      <c r="AO42" s="152"/>
      <c r="AP42" s="152">
        <f t="shared" si="325"/>
        <v>0</v>
      </c>
      <c r="AQ42" s="152">
        <f t="shared" si="326"/>
        <v>0</v>
      </c>
      <c r="AR42" s="152">
        <f t="shared" si="326"/>
        <v>0</v>
      </c>
      <c r="AS42" s="152">
        <f t="shared" si="326"/>
        <v>0</v>
      </c>
      <c r="AT42" s="168">
        <f>SUM(AQ42:AS42)</f>
        <v>0</v>
      </c>
      <c r="AU42" s="152"/>
      <c r="AV42" s="152"/>
      <c r="AW42" s="152"/>
      <c r="AX42" s="152">
        <f t="shared" si="327"/>
        <v>0</v>
      </c>
      <c r="AY42" s="152"/>
      <c r="AZ42" s="152"/>
      <c r="BA42" s="152"/>
      <c r="BB42" s="152">
        <f t="shared" si="328"/>
        <v>0</v>
      </c>
      <c r="BC42" s="152"/>
      <c r="BD42" s="152"/>
      <c r="BE42" s="152"/>
      <c r="BF42" s="152">
        <f t="shared" si="329"/>
        <v>0</v>
      </c>
      <c r="BG42" s="152"/>
      <c r="BH42" s="152"/>
      <c r="BI42" s="152"/>
      <c r="BJ42" s="152">
        <f t="shared" si="330"/>
        <v>0</v>
      </c>
      <c r="BK42" s="152">
        <f t="shared" si="331"/>
        <v>0</v>
      </c>
      <c r="BL42" s="152">
        <f t="shared" si="331"/>
        <v>0</v>
      </c>
      <c r="BM42" s="152">
        <f t="shared" si="331"/>
        <v>0</v>
      </c>
      <c r="BN42" s="152">
        <f>SUM(BK42:BM42)</f>
        <v>0</v>
      </c>
      <c r="BO42" s="168"/>
      <c r="BP42" s="152">
        <f t="shared" si="332"/>
        <v>0</v>
      </c>
      <c r="BQ42" s="152">
        <f t="shared" si="332"/>
        <v>0</v>
      </c>
      <c r="BR42" s="152">
        <f t="shared" si="332"/>
        <v>0</v>
      </c>
      <c r="BS42" s="168">
        <f>SUM(BP42:BR42)</f>
        <v>0</v>
      </c>
      <c r="BT42" s="152"/>
      <c r="BU42" s="152"/>
      <c r="BV42" s="152"/>
      <c r="BW42" s="152">
        <f t="shared" si="333"/>
        <v>0</v>
      </c>
      <c r="BX42" s="152">
        <f t="shared" si="20"/>
        <v>0</v>
      </c>
      <c r="BY42" s="152">
        <f t="shared" si="21"/>
        <v>0</v>
      </c>
      <c r="BZ42" s="152">
        <f t="shared" si="22"/>
        <v>0</v>
      </c>
      <c r="CA42" s="587">
        <f t="shared" si="23"/>
        <v>0</v>
      </c>
    </row>
    <row r="43" spans="1:79" ht="14.1" customHeight="1" x14ac:dyDescent="0.2">
      <c r="A43" s="127" t="s">
        <v>544</v>
      </c>
      <c r="B43" s="82"/>
      <c r="C43" s="81" t="s">
        <v>149</v>
      </c>
      <c r="D43" s="901" t="s">
        <v>545</v>
      </c>
      <c r="E43" s="902"/>
      <c r="G43" s="152"/>
      <c r="H43" s="152"/>
      <c r="I43" s="152"/>
      <c r="J43" s="152">
        <f t="shared" si="24"/>
        <v>0</v>
      </c>
      <c r="K43" s="152"/>
      <c r="L43" s="152"/>
      <c r="M43" s="152"/>
      <c r="N43" s="152">
        <f t="shared" si="318"/>
        <v>0</v>
      </c>
      <c r="O43" s="152"/>
      <c r="P43" s="152"/>
      <c r="Q43" s="152"/>
      <c r="R43" s="152">
        <f t="shared" si="319"/>
        <v>0</v>
      </c>
      <c r="S43" s="152"/>
      <c r="T43" s="152"/>
      <c r="U43" s="152"/>
      <c r="V43" s="152">
        <f t="shared" si="320"/>
        <v>0</v>
      </c>
      <c r="W43" s="152">
        <f>G43-O43+S43+K43</f>
        <v>0</v>
      </c>
      <c r="X43" s="152">
        <f t="shared" si="321"/>
        <v>0</v>
      </c>
      <c r="Y43" s="152">
        <f t="shared" si="321"/>
        <v>0</v>
      </c>
      <c r="Z43" s="168">
        <f>SUM(W43:Y43)</f>
        <v>0</v>
      </c>
      <c r="AA43" s="152"/>
      <c r="AB43" s="152"/>
      <c r="AC43" s="152"/>
      <c r="AD43" s="152">
        <f t="shared" si="322"/>
        <v>0</v>
      </c>
      <c r="AE43" s="152"/>
      <c r="AF43" s="152"/>
      <c r="AG43" s="152"/>
      <c r="AH43" s="152">
        <f t="shared" si="323"/>
        <v>0</v>
      </c>
      <c r="AI43" s="152"/>
      <c r="AJ43" s="152"/>
      <c r="AK43" s="152"/>
      <c r="AL43" s="152">
        <f t="shared" si="324"/>
        <v>0</v>
      </c>
      <c r="AM43" s="152"/>
      <c r="AN43" s="152"/>
      <c r="AO43" s="152"/>
      <c r="AP43" s="152">
        <f t="shared" si="325"/>
        <v>0</v>
      </c>
      <c r="AQ43" s="152">
        <f t="shared" si="326"/>
        <v>0</v>
      </c>
      <c r="AR43" s="152">
        <f t="shared" si="326"/>
        <v>0</v>
      </c>
      <c r="AS43" s="152">
        <f t="shared" si="326"/>
        <v>0</v>
      </c>
      <c r="AT43" s="168">
        <f>SUM(AQ43:AS43)</f>
        <v>0</v>
      </c>
      <c r="AU43" s="152"/>
      <c r="AV43" s="152"/>
      <c r="AW43" s="152"/>
      <c r="AX43" s="152">
        <f t="shared" si="327"/>
        <v>0</v>
      </c>
      <c r="AY43" s="152"/>
      <c r="AZ43" s="152"/>
      <c r="BA43" s="152"/>
      <c r="BB43" s="152">
        <f t="shared" si="328"/>
        <v>0</v>
      </c>
      <c r="BC43" s="152"/>
      <c r="BD43" s="152"/>
      <c r="BE43" s="152"/>
      <c r="BF43" s="152">
        <f t="shared" si="329"/>
        <v>0</v>
      </c>
      <c r="BG43" s="152"/>
      <c r="BH43" s="152"/>
      <c r="BI43" s="152"/>
      <c r="BJ43" s="152">
        <f t="shared" si="330"/>
        <v>0</v>
      </c>
      <c r="BK43" s="152">
        <f t="shared" si="331"/>
        <v>0</v>
      </c>
      <c r="BL43" s="152">
        <f t="shared" si="331"/>
        <v>0</v>
      </c>
      <c r="BM43" s="152">
        <f t="shared" si="331"/>
        <v>0</v>
      </c>
      <c r="BN43" s="152">
        <f>SUM(BK43:BM43)</f>
        <v>0</v>
      </c>
      <c r="BO43" s="168"/>
      <c r="BP43" s="152">
        <f t="shared" si="332"/>
        <v>0</v>
      </c>
      <c r="BQ43" s="152">
        <f t="shared" si="332"/>
        <v>0</v>
      </c>
      <c r="BR43" s="152">
        <f t="shared" si="332"/>
        <v>0</v>
      </c>
      <c r="BS43" s="168">
        <f>SUM(BP43:BR43)</f>
        <v>0</v>
      </c>
      <c r="BT43" s="152"/>
      <c r="BU43" s="152"/>
      <c r="BV43" s="152"/>
      <c r="BW43" s="152">
        <f t="shared" si="333"/>
        <v>0</v>
      </c>
      <c r="BX43" s="152">
        <f t="shared" si="20"/>
        <v>0</v>
      </c>
      <c r="BY43" s="152">
        <f t="shared" si="21"/>
        <v>0</v>
      </c>
      <c r="BZ43" s="152">
        <f t="shared" si="22"/>
        <v>0</v>
      </c>
      <c r="CA43" s="587">
        <f t="shared" si="23"/>
        <v>0</v>
      </c>
    </row>
    <row r="44" spans="1:79" ht="14.1" customHeight="1" x14ac:dyDescent="0.2">
      <c r="A44" s="125" t="s">
        <v>135</v>
      </c>
      <c r="B44" s="74" t="s">
        <v>184</v>
      </c>
      <c r="C44" s="69" t="s">
        <v>136</v>
      </c>
      <c r="D44" s="69"/>
      <c r="E44" s="79"/>
      <c r="G44" s="154">
        <f>SUM(G45:G50)</f>
        <v>0</v>
      </c>
      <c r="H44" s="154">
        <f t="shared" ref="H44:I44" si="334">SUM(H45:H50)</f>
        <v>418000</v>
      </c>
      <c r="I44" s="154">
        <f t="shared" si="334"/>
        <v>0</v>
      </c>
      <c r="J44" s="154">
        <f t="shared" ref="J44:BS44" si="335">SUM(J45:J50)</f>
        <v>418000</v>
      </c>
      <c r="K44" s="154">
        <f>SUM(K45:K50)</f>
        <v>0</v>
      </c>
      <c r="L44" s="154">
        <f t="shared" ref="L44" si="336">SUM(L45:L50)</f>
        <v>0</v>
      </c>
      <c r="M44" s="154">
        <f t="shared" ref="M44:N44" si="337">SUM(M45:M50)</f>
        <v>0</v>
      </c>
      <c r="N44" s="154">
        <f t="shared" si="337"/>
        <v>0</v>
      </c>
      <c r="O44" s="154">
        <f>SUM(O45:O50)</f>
        <v>0</v>
      </c>
      <c r="P44" s="154">
        <f t="shared" ref="P44" si="338">SUM(P45:P50)</f>
        <v>0</v>
      </c>
      <c r="Q44" s="154">
        <f t="shared" ref="Q44:R44" si="339">SUM(Q45:Q50)</f>
        <v>0</v>
      </c>
      <c r="R44" s="154">
        <f t="shared" si="339"/>
        <v>0</v>
      </c>
      <c r="S44" s="154">
        <f>SUM(S45:S50)</f>
        <v>0</v>
      </c>
      <c r="T44" s="154">
        <f t="shared" ref="T44" si="340">SUM(T45:T50)</f>
        <v>0</v>
      </c>
      <c r="U44" s="154">
        <f t="shared" ref="U44:V44" si="341">SUM(U45:U50)</f>
        <v>0</v>
      </c>
      <c r="V44" s="154">
        <f t="shared" si="341"/>
        <v>0</v>
      </c>
      <c r="W44" s="154">
        <f t="shared" si="335"/>
        <v>0</v>
      </c>
      <c r="X44" s="154">
        <f t="shared" si="335"/>
        <v>418000</v>
      </c>
      <c r="Y44" s="154">
        <f t="shared" si="335"/>
        <v>0</v>
      </c>
      <c r="Z44" s="84">
        <f t="shared" si="335"/>
        <v>418000</v>
      </c>
      <c r="AA44" s="154">
        <f t="shared" si="335"/>
        <v>0</v>
      </c>
      <c r="AB44" s="154">
        <f t="shared" si="335"/>
        <v>94133</v>
      </c>
      <c r="AC44" s="154">
        <f t="shared" si="335"/>
        <v>0</v>
      </c>
      <c r="AD44" s="154">
        <f t="shared" si="335"/>
        <v>94133</v>
      </c>
      <c r="AE44" s="154">
        <f>SUM(AE45:AE50)</f>
        <v>0</v>
      </c>
      <c r="AF44" s="154">
        <f t="shared" ref="AF44:AH44" si="342">SUM(AF45:AF50)</f>
        <v>10531</v>
      </c>
      <c r="AG44" s="154">
        <f t="shared" si="342"/>
        <v>0</v>
      </c>
      <c r="AH44" s="154">
        <f t="shared" si="342"/>
        <v>10531</v>
      </c>
      <c r="AI44" s="154">
        <f>SUM(AI45:AI50)</f>
        <v>0</v>
      </c>
      <c r="AJ44" s="154">
        <f t="shared" ref="AJ44:AL44" si="343">SUM(AJ45:AJ50)</f>
        <v>44500</v>
      </c>
      <c r="AK44" s="154">
        <f t="shared" si="343"/>
        <v>0</v>
      </c>
      <c r="AL44" s="154">
        <f t="shared" si="343"/>
        <v>44500</v>
      </c>
      <c r="AM44" s="154">
        <f>SUM(AM45:AM50)</f>
        <v>0</v>
      </c>
      <c r="AN44" s="154">
        <f t="shared" ref="AN44:AP44" si="344">SUM(AN45:AN50)</f>
        <v>104500</v>
      </c>
      <c r="AO44" s="154">
        <f t="shared" si="344"/>
        <v>0</v>
      </c>
      <c r="AP44" s="154">
        <f t="shared" si="344"/>
        <v>104500</v>
      </c>
      <c r="AQ44" s="154">
        <f t="shared" si="335"/>
        <v>0</v>
      </c>
      <c r="AR44" s="154">
        <f t="shared" si="335"/>
        <v>253664</v>
      </c>
      <c r="AS44" s="154">
        <f t="shared" si="335"/>
        <v>0</v>
      </c>
      <c r="AT44" s="84">
        <f t="shared" si="335"/>
        <v>253664</v>
      </c>
      <c r="AU44" s="154">
        <f t="shared" si="335"/>
        <v>0</v>
      </c>
      <c r="AV44" s="154">
        <f t="shared" si="335"/>
        <v>94133</v>
      </c>
      <c r="AW44" s="154">
        <f t="shared" si="335"/>
        <v>0</v>
      </c>
      <c r="AX44" s="154">
        <f t="shared" si="335"/>
        <v>94133</v>
      </c>
      <c r="AY44" s="154">
        <f>SUM(AY45:AY50)</f>
        <v>0</v>
      </c>
      <c r="AZ44" s="154">
        <f t="shared" ref="AZ44" si="345">SUM(AZ45:AZ50)</f>
        <v>10531</v>
      </c>
      <c r="BA44" s="154">
        <f t="shared" ref="BA44:BB44" si="346">SUM(BA45:BA50)</f>
        <v>0</v>
      </c>
      <c r="BB44" s="154">
        <f t="shared" si="346"/>
        <v>10531</v>
      </c>
      <c r="BC44" s="154">
        <f>SUM(BC45:BC50)</f>
        <v>0</v>
      </c>
      <c r="BD44" s="154">
        <f t="shared" ref="BD44" si="347">SUM(BD45:BD50)</f>
        <v>44500</v>
      </c>
      <c r="BE44" s="154">
        <f t="shared" ref="BE44:BF44" si="348">SUM(BE45:BE50)</f>
        <v>0</v>
      </c>
      <c r="BF44" s="154">
        <f t="shared" si="348"/>
        <v>44500</v>
      </c>
      <c r="BG44" s="154">
        <f>SUM(BG45:BG50)</f>
        <v>0</v>
      </c>
      <c r="BH44" s="154">
        <f t="shared" ref="BH44" si="349">SUM(BH45:BH50)</f>
        <v>104500</v>
      </c>
      <c r="BI44" s="154">
        <f t="shared" ref="BI44:BJ44" si="350">SUM(BI45:BI50)</f>
        <v>0</v>
      </c>
      <c r="BJ44" s="154">
        <f t="shared" si="350"/>
        <v>104500</v>
      </c>
      <c r="BK44" s="154">
        <f t="shared" si="335"/>
        <v>0</v>
      </c>
      <c r="BL44" s="154">
        <f t="shared" si="335"/>
        <v>253664</v>
      </c>
      <c r="BM44" s="154">
        <f t="shared" si="335"/>
        <v>0</v>
      </c>
      <c r="BN44" s="154">
        <f t="shared" si="335"/>
        <v>253664</v>
      </c>
      <c r="BO44" s="170">
        <f t="shared" si="335"/>
        <v>0</v>
      </c>
      <c r="BP44" s="154">
        <f t="shared" si="335"/>
        <v>0</v>
      </c>
      <c r="BQ44" s="154">
        <f t="shared" si="335"/>
        <v>164336</v>
      </c>
      <c r="BR44" s="154">
        <f t="shared" si="335"/>
        <v>0</v>
      </c>
      <c r="BS44" s="84">
        <f t="shared" si="335"/>
        <v>164336</v>
      </c>
      <c r="BT44" s="154">
        <f>SUM(BT45:BT50)</f>
        <v>0</v>
      </c>
      <c r="BU44" s="154">
        <f t="shared" ref="BU44" si="351">SUM(BU45:BU50)</f>
        <v>0</v>
      </c>
      <c r="BV44" s="154">
        <f t="shared" ref="BV44:BW44" si="352">SUM(BV45:BV50)</f>
        <v>0</v>
      </c>
      <c r="BW44" s="154">
        <f t="shared" si="352"/>
        <v>0</v>
      </c>
      <c r="BX44" s="154">
        <f t="shared" ref="BX44:CA44" si="353">SUM(BX45:BX50)</f>
        <v>0</v>
      </c>
      <c r="BY44" s="154">
        <f t="shared" si="353"/>
        <v>0</v>
      </c>
      <c r="BZ44" s="154">
        <f t="shared" si="353"/>
        <v>0</v>
      </c>
      <c r="CA44" s="126">
        <f t="shared" si="353"/>
        <v>0</v>
      </c>
    </row>
    <row r="45" spans="1:79" ht="14.1" customHeight="1" x14ac:dyDescent="0.2">
      <c r="A45" s="127" t="s">
        <v>137</v>
      </c>
      <c r="B45" s="81"/>
      <c r="C45" s="78" t="s">
        <v>146</v>
      </c>
      <c r="D45" s="901" t="s">
        <v>546</v>
      </c>
      <c r="E45" s="902"/>
      <c r="G45" s="152"/>
      <c r="H45" s="152"/>
      <c r="I45" s="152"/>
      <c r="J45" s="152">
        <f t="shared" si="24"/>
        <v>0</v>
      </c>
      <c r="K45" s="152"/>
      <c r="L45" s="152"/>
      <c r="M45" s="152"/>
      <c r="N45" s="152">
        <f t="shared" ref="N45:N51" si="354">SUM(K45:M45)</f>
        <v>0</v>
      </c>
      <c r="O45" s="152"/>
      <c r="P45" s="152"/>
      <c r="Q45" s="152"/>
      <c r="R45" s="152">
        <f t="shared" ref="R45:R51" si="355">SUM(O45:Q45)</f>
        <v>0</v>
      </c>
      <c r="S45" s="152"/>
      <c r="T45" s="152"/>
      <c r="U45" s="152"/>
      <c r="V45" s="152">
        <f t="shared" ref="V45:V51" si="356">SUM(S45:U45)</f>
        <v>0</v>
      </c>
      <c r="W45" s="152">
        <f t="shared" ref="W45:W51" si="357">G45-O45+S45+K45</f>
        <v>0</v>
      </c>
      <c r="X45" s="152">
        <f t="shared" ref="X45:Y51" si="358">H45-P45+T45+L45</f>
        <v>0</v>
      </c>
      <c r="Y45" s="152">
        <f t="shared" si="358"/>
        <v>0</v>
      </c>
      <c r="Z45" s="168">
        <f t="shared" ref="Z45:Z51" si="359">SUM(W45:Y45)</f>
        <v>0</v>
      </c>
      <c r="AA45" s="152"/>
      <c r="AB45" s="152"/>
      <c r="AC45" s="152"/>
      <c r="AD45" s="152">
        <f t="shared" ref="AD45:AD51" si="360">SUM(AA45:AC45)</f>
        <v>0</v>
      </c>
      <c r="AE45" s="152"/>
      <c r="AF45" s="152"/>
      <c r="AG45" s="152"/>
      <c r="AH45" s="152">
        <f t="shared" ref="AH45:AH51" si="361">SUM(AE45:AG45)</f>
        <v>0</v>
      </c>
      <c r="AI45" s="152"/>
      <c r="AJ45" s="152"/>
      <c r="AK45" s="152"/>
      <c r="AL45" s="152">
        <f t="shared" ref="AL45:AL51" si="362">SUM(AI45:AK45)</f>
        <v>0</v>
      </c>
      <c r="AM45" s="152"/>
      <c r="AN45" s="152"/>
      <c r="AO45" s="152"/>
      <c r="AP45" s="152">
        <f t="shared" ref="AP45:AP51" si="363">SUM(AM45:AO45)</f>
        <v>0</v>
      </c>
      <c r="AQ45" s="152">
        <f t="shared" ref="AQ45:AS51" si="364">AA45+AE45+AI45+AM45</f>
        <v>0</v>
      </c>
      <c r="AR45" s="152">
        <f t="shared" si="364"/>
        <v>0</v>
      </c>
      <c r="AS45" s="152">
        <f t="shared" si="364"/>
        <v>0</v>
      </c>
      <c r="AT45" s="168">
        <f t="shared" ref="AT45:AT51" si="365">SUM(AQ45:AS45)</f>
        <v>0</v>
      </c>
      <c r="AU45" s="152"/>
      <c r="AV45" s="152"/>
      <c r="AW45" s="152"/>
      <c r="AX45" s="152">
        <f t="shared" ref="AX45:AX51" si="366">SUM(AU45:AW45)</f>
        <v>0</v>
      </c>
      <c r="AY45" s="152"/>
      <c r="AZ45" s="152"/>
      <c r="BA45" s="152"/>
      <c r="BB45" s="152">
        <f t="shared" ref="BB45:BB51" si="367">SUM(AY45:BA45)</f>
        <v>0</v>
      </c>
      <c r="BC45" s="152"/>
      <c r="BD45" s="152"/>
      <c r="BE45" s="152"/>
      <c r="BF45" s="152">
        <f t="shared" ref="BF45:BF51" si="368">SUM(BC45:BE45)</f>
        <v>0</v>
      </c>
      <c r="BG45" s="152"/>
      <c r="BH45" s="152"/>
      <c r="BI45" s="152"/>
      <c r="BJ45" s="152">
        <f t="shared" ref="BJ45:BJ51" si="369">SUM(BG45:BI45)</f>
        <v>0</v>
      </c>
      <c r="BK45" s="152">
        <f t="shared" ref="BK45:BM51" si="370">AU45+AY45+BC45+BG45</f>
        <v>0</v>
      </c>
      <c r="BL45" s="152">
        <f t="shared" si="370"/>
        <v>0</v>
      </c>
      <c r="BM45" s="152">
        <f t="shared" si="370"/>
        <v>0</v>
      </c>
      <c r="BN45" s="152">
        <f t="shared" ref="BN45:BN51" si="371">SUM(BK45:BM45)</f>
        <v>0</v>
      </c>
      <c r="BO45" s="168"/>
      <c r="BP45" s="152">
        <f t="shared" ref="BP45:BR51" si="372">W45-AQ45</f>
        <v>0</v>
      </c>
      <c r="BQ45" s="152">
        <f t="shared" si="372"/>
        <v>0</v>
      </c>
      <c r="BR45" s="152">
        <f t="shared" si="372"/>
        <v>0</v>
      </c>
      <c r="BS45" s="168">
        <f t="shared" ref="BS45:BS51" si="373">SUM(BP45:BR45)</f>
        <v>0</v>
      </c>
      <c r="BT45" s="152"/>
      <c r="BU45" s="152"/>
      <c r="BV45" s="152"/>
      <c r="BW45" s="152">
        <f t="shared" ref="BW45:BW51" si="374">SUM(BT45:BV45)</f>
        <v>0</v>
      </c>
      <c r="BX45" s="152">
        <f t="shared" si="20"/>
        <v>0</v>
      </c>
      <c r="BY45" s="152">
        <f t="shared" si="21"/>
        <v>0</v>
      </c>
      <c r="BZ45" s="152">
        <f t="shared" si="22"/>
        <v>0</v>
      </c>
      <c r="CA45" s="587">
        <f t="shared" si="23"/>
        <v>0</v>
      </c>
    </row>
    <row r="46" spans="1:79" ht="14.1" customHeight="1" x14ac:dyDescent="0.2">
      <c r="A46" s="127" t="s">
        <v>138</v>
      </c>
      <c r="B46" s="81"/>
      <c r="C46" s="81" t="s">
        <v>147</v>
      </c>
      <c r="D46" s="901" t="s">
        <v>547</v>
      </c>
      <c r="E46" s="902"/>
      <c r="G46" s="152"/>
      <c r="H46" s="152"/>
      <c r="I46" s="152"/>
      <c r="J46" s="152">
        <f t="shared" si="24"/>
        <v>0</v>
      </c>
      <c r="K46" s="152"/>
      <c r="L46" s="152"/>
      <c r="M46" s="152"/>
      <c r="N46" s="152">
        <f t="shared" si="354"/>
        <v>0</v>
      </c>
      <c r="O46" s="152"/>
      <c r="P46" s="152"/>
      <c r="Q46" s="152"/>
      <c r="R46" s="152">
        <f t="shared" si="355"/>
        <v>0</v>
      </c>
      <c r="S46" s="152"/>
      <c r="T46" s="152"/>
      <c r="U46" s="152"/>
      <c r="V46" s="152">
        <f t="shared" si="356"/>
        <v>0</v>
      </c>
      <c r="W46" s="152">
        <f t="shared" si="357"/>
        <v>0</v>
      </c>
      <c r="X46" s="152">
        <f t="shared" si="358"/>
        <v>0</v>
      </c>
      <c r="Y46" s="152">
        <f t="shared" si="358"/>
        <v>0</v>
      </c>
      <c r="Z46" s="168">
        <f t="shared" si="359"/>
        <v>0</v>
      </c>
      <c r="AA46" s="152"/>
      <c r="AB46" s="152"/>
      <c r="AC46" s="152"/>
      <c r="AD46" s="152">
        <f t="shared" si="360"/>
        <v>0</v>
      </c>
      <c r="AE46" s="152"/>
      <c r="AF46" s="152"/>
      <c r="AG46" s="152"/>
      <c r="AH46" s="152">
        <f t="shared" si="361"/>
        <v>0</v>
      </c>
      <c r="AI46" s="152"/>
      <c r="AJ46" s="152"/>
      <c r="AK46" s="152"/>
      <c r="AL46" s="152">
        <f t="shared" si="362"/>
        <v>0</v>
      </c>
      <c r="AM46" s="152"/>
      <c r="AN46" s="152"/>
      <c r="AO46" s="152"/>
      <c r="AP46" s="152">
        <f t="shared" si="363"/>
        <v>0</v>
      </c>
      <c r="AQ46" s="152">
        <f t="shared" si="364"/>
        <v>0</v>
      </c>
      <c r="AR46" s="152">
        <f t="shared" si="364"/>
        <v>0</v>
      </c>
      <c r="AS46" s="152">
        <f t="shared" si="364"/>
        <v>0</v>
      </c>
      <c r="AT46" s="168">
        <f t="shared" si="365"/>
        <v>0</v>
      </c>
      <c r="AU46" s="152"/>
      <c r="AV46" s="152"/>
      <c r="AW46" s="152"/>
      <c r="AX46" s="152">
        <f t="shared" si="366"/>
        <v>0</v>
      </c>
      <c r="AY46" s="152"/>
      <c r="AZ46" s="152"/>
      <c r="BA46" s="152"/>
      <c r="BB46" s="152">
        <f t="shared" si="367"/>
        <v>0</v>
      </c>
      <c r="BC46" s="152"/>
      <c r="BD46" s="152"/>
      <c r="BE46" s="152"/>
      <c r="BF46" s="152">
        <f t="shared" si="368"/>
        <v>0</v>
      </c>
      <c r="BG46" s="152"/>
      <c r="BH46" s="152"/>
      <c r="BI46" s="152"/>
      <c r="BJ46" s="152">
        <f t="shared" si="369"/>
        <v>0</v>
      </c>
      <c r="BK46" s="152">
        <f t="shared" si="370"/>
        <v>0</v>
      </c>
      <c r="BL46" s="152">
        <f t="shared" si="370"/>
        <v>0</v>
      </c>
      <c r="BM46" s="152">
        <f t="shared" si="370"/>
        <v>0</v>
      </c>
      <c r="BN46" s="152">
        <f t="shared" si="371"/>
        <v>0</v>
      </c>
      <c r="BO46" s="168"/>
      <c r="BP46" s="152">
        <f t="shared" si="372"/>
        <v>0</v>
      </c>
      <c r="BQ46" s="152">
        <f t="shared" si="372"/>
        <v>0</v>
      </c>
      <c r="BR46" s="152">
        <f t="shared" si="372"/>
        <v>0</v>
      </c>
      <c r="BS46" s="168">
        <f t="shared" si="373"/>
        <v>0</v>
      </c>
      <c r="BT46" s="152"/>
      <c r="BU46" s="152"/>
      <c r="BV46" s="152"/>
      <c r="BW46" s="152">
        <f t="shared" si="374"/>
        <v>0</v>
      </c>
      <c r="BX46" s="152">
        <f t="shared" si="20"/>
        <v>0</v>
      </c>
      <c r="BY46" s="152">
        <f t="shared" si="21"/>
        <v>0</v>
      </c>
      <c r="BZ46" s="152">
        <f t="shared" si="22"/>
        <v>0</v>
      </c>
      <c r="CA46" s="587">
        <f t="shared" si="23"/>
        <v>0</v>
      </c>
    </row>
    <row r="47" spans="1:79" ht="14.1" customHeight="1" x14ac:dyDescent="0.2">
      <c r="A47" s="127" t="s">
        <v>139</v>
      </c>
      <c r="B47" s="81"/>
      <c r="C47" s="81" t="s">
        <v>149</v>
      </c>
      <c r="D47" s="901" t="s">
        <v>548</v>
      </c>
      <c r="E47" s="902"/>
      <c r="G47" s="152"/>
      <c r="H47" s="152"/>
      <c r="I47" s="152"/>
      <c r="J47" s="152">
        <f t="shared" si="24"/>
        <v>0</v>
      </c>
      <c r="K47" s="152"/>
      <c r="L47" s="152"/>
      <c r="M47" s="152"/>
      <c r="N47" s="152">
        <f t="shared" si="354"/>
        <v>0</v>
      </c>
      <c r="O47" s="152"/>
      <c r="P47" s="152"/>
      <c r="Q47" s="152"/>
      <c r="R47" s="152">
        <f t="shared" si="355"/>
        <v>0</v>
      </c>
      <c r="S47" s="152"/>
      <c r="T47" s="152"/>
      <c r="U47" s="152"/>
      <c r="V47" s="152">
        <f t="shared" si="356"/>
        <v>0</v>
      </c>
      <c r="W47" s="152">
        <f t="shared" si="357"/>
        <v>0</v>
      </c>
      <c r="X47" s="152">
        <f t="shared" si="358"/>
        <v>0</v>
      </c>
      <c r="Y47" s="152">
        <f t="shared" si="358"/>
        <v>0</v>
      </c>
      <c r="Z47" s="168">
        <f t="shared" si="359"/>
        <v>0</v>
      </c>
      <c r="AA47" s="152"/>
      <c r="AB47" s="152"/>
      <c r="AC47" s="152"/>
      <c r="AD47" s="152">
        <f t="shared" si="360"/>
        <v>0</v>
      </c>
      <c r="AE47" s="152"/>
      <c r="AF47" s="152"/>
      <c r="AG47" s="152"/>
      <c r="AH47" s="152">
        <f t="shared" si="361"/>
        <v>0</v>
      </c>
      <c r="AI47" s="152"/>
      <c r="AJ47" s="152"/>
      <c r="AK47" s="152"/>
      <c r="AL47" s="152">
        <f t="shared" si="362"/>
        <v>0</v>
      </c>
      <c r="AM47" s="152"/>
      <c r="AN47" s="152"/>
      <c r="AO47" s="152"/>
      <c r="AP47" s="152">
        <f t="shared" si="363"/>
        <v>0</v>
      </c>
      <c r="AQ47" s="152">
        <f t="shared" si="364"/>
        <v>0</v>
      </c>
      <c r="AR47" s="152">
        <f t="shared" si="364"/>
        <v>0</v>
      </c>
      <c r="AS47" s="152">
        <f t="shared" si="364"/>
        <v>0</v>
      </c>
      <c r="AT47" s="168">
        <f t="shared" si="365"/>
        <v>0</v>
      </c>
      <c r="AU47" s="152"/>
      <c r="AV47" s="152"/>
      <c r="AW47" s="152"/>
      <c r="AX47" s="152">
        <f t="shared" si="366"/>
        <v>0</v>
      </c>
      <c r="AY47" s="152"/>
      <c r="AZ47" s="152"/>
      <c r="BA47" s="152"/>
      <c r="BB47" s="152">
        <f t="shared" si="367"/>
        <v>0</v>
      </c>
      <c r="BC47" s="152"/>
      <c r="BD47" s="152"/>
      <c r="BE47" s="152"/>
      <c r="BF47" s="152">
        <f t="shared" si="368"/>
        <v>0</v>
      </c>
      <c r="BG47" s="152"/>
      <c r="BH47" s="152"/>
      <c r="BI47" s="152"/>
      <c r="BJ47" s="152">
        <f t="shared" si="369"/>
        <v>0</v>
      </c>
      <c r="BK47" s="152">
        <f t="shared" si="370"/>
        <v>0</v>
      </c>
      <c r="BL47" s="152">
        <f t="shared" si="370"/>
        <v>0</v>
      </c>
      <c r="BM47" s="152">
        <f t="shared" si="370"/>
        <v>0</v>
      </c>
      <c r="BN47" s="152">
        <f t="shared" si="371"/>
        <v>0</v>
      </c>
      <c r="BO47" s="168"/>
      <c r="BP47" s="152">
        <f t="shared" si="372"/>
        <v>0</v>
      </c>
      <c r="BQ47" s="152">
        <f t="shared" si="372"/>
        <v>0</v>
      </c>
      <c r="BR47" s="152">
        <f t="shared" si="372"/>
        <v>0</v>
      </c>
      <c r="BS47" s="168">
        <f t="shared" si="373"/>
        <v>0</v>
      </c>
      <c r="BT47" s="152"/>
      <c r="BU47" s="152"/>
      <c r="BV47" s="152"/>
      <c r="BW47" s="152">
        <f t="shared" si="374"/>
        <v>0</v>
      </c>
      <c r="BX47" s="152">
        <f t="shared" si="20"/>
        <v>0</v>
      </c>
      <c r="BY47" s="152">
        <f t="shared" si="21"/>
        <v>0</v>
      </c>
      <c r="BZ47" s="152">
        <f t="shared" si="22"/>
        <v>0</v>
      </c>
      <c r="CA47" s="587">
        <f t="shared" si="23"/>
        <v>0</v>
      </c>
    </row>
    <row r="48" spans="1:79" ht="14.1" customHeight="1" x14ac:dyDescent="0.2">
      <c r="A48" s="127" t="s">
        <v>140</v>
      </c>
      <c r="B48" s="81"/>
      <c r="C48" s="81" t="s">
        <v>150</v>
      </c>
      <c r="D48" s="901" t="s">
        <v>549</v>
      </c>
      <c r="E48" s="902"/>
      <c r="G48" s="152"/>
      <c r="H48" s="152">
        <v>418000</v>
      </c>
      <c r="I48" s="152"/>
      <c r="J48" s="152">
        <f t="shared" si="24"/>
        <v>418000</v>
      </c>
      <c r="K48" s="152"/>
      <c r="L48" s="152"/>
      <c r="M48" s="152"/>
      <c r="N48" s="152">
        <f t="shared" si="354"/>
        <v>0</v>
      </c>
      <c r="O48" s="152"/>
      <c r="P48" s="152"/>
      <c r="Q48" s="152"/>
      <c r="R48" s="152">
        <f t="shared" si="355"/>
        <v>0</v>
      </c>
      <c r="S48" s="152"/>
      <c r="T48" s="152"/>
      <c r="U48" s="152"/>
      <c r="V48" s="152">
        <f t="shared" si="356"/>
        <v>0</v>
      </c>
      <c r="W48" s="152">
        <f t="shared" si="357"/>
        <v>0</v>
      </c>
      <c r="X48" s="152">
        <f t="shared" si="358"/>
        <v>418000</v>
      </c>
      <c r="Y48" s="152">
        <f t="shared" si="358"/>
        <v>0</v>
      </c>
      <c r="Z48" s="168">
        <f t="shared" si="359"/>
        <v>418000</v>
      </c>
      <c r="AA48" s="152"/>
      <c r="AB48" s="152">
        <f>15969+11228+3478+31904+1020+19344+5830+4800+560</f>
        <v>94133</v>
      </c>
      <c r="AC48" s="152"/>
      <c r="AD48" s="152">
        <f t="shared" si="360"/>
        <v>94133</v>
      </c>
      <c r="AE48" s="152"/>
      <c r="AF48" s="152">
        <f>8380+2151</f>
        <v>10531</v>
      </c>
      <c r="AG48" s="152"/>
      <c r="AH48" s="152">
        <f t="shared" si="361"/>
        <v>10531</v>
      </c>
      <c r="AI48" s="152"/>
      <c r="AJ48" s="152">
        <f>36800.79+3802.95+797.05+99.21+500+2500</f>
        <v>44500</v>
      </c>
      <c r="AK48" s="152"/>
      <c r="AL48" s="152">
        <f t="shared" si="362"/>
        <v>44500</v>
      </c>
      <c r="AM48" s="152"/>
      <c r="AN48" s="152">
        <f>1000+500+3500+12000+83000+4500</f>
        <v>104500</v>
      </c>
      <c r="AO48" s="152"/>
      <c r="AP48" s="152">
        <f t="shared" si="363"/>
        <v>104500</v>
      </c>
      <c r="AQ48" s="152">
        <f t="shared" si="364"/>
        <v>0</v>
      </c>
      <c r="AR48" s="152">
        <f t="shared" si="364"/>
        <v>253664</v>
      </c>
      <c r="AS48" s="152">
        <f t="shared" si="364"/>
        <v>0</v>
      </c>
      <c r="AT48" s="168">
        <f t="shared" si="365"/>
        <v>253664</v>
      </c>
      <c r="AU48" s="152"/>
      <c r="AV48" s="152">
        <f>15969+11228+31904+3478+1020+19344+5830+4800+560</f>
        <v>94133</v>
      </c>
      <c r="AW48" s="152"/>
      <c r="AX48" s="152">
        <f t="shared" si="366"/>
        <v>94133</v>
      </c>
      <c r="AY48" s="152"/>
      <c r="AZ48" s="152">
        <f>7480+500+2151+400</f>
        <v>10531</v>
      </c>
      <c r="BA48" s="152"/>
      <c r="BB48" s="152">
        <f t="shared" si="367"/>
        <v>10531</v>
      </c>
      <c r="BC48" s="152"/>
      <c r="BD48" s="152">
        <f>33350+250+200+2800.79+3802.95+797.05+99.21+500+200+2500</f>
        <v>44500</v>
      </c>
      <c r="BE48" s="152"/>
      <c r="BF48" s="152">
        <f t="shared" si="368"/>
        <v>44500</v>
      </c>
      <c r="BG48" s="152"/>
      <c r="BH48" s="152">
        <f>1000+500+3500+12000+83000+4500</f>
        <v>104500</v>
      </c>
      <c r="BI48" s="152"/>
      <c r="BJ48" s="152">
        <f t="shared" si="369"/>
        <v>104500</v>
      </c>
      <c r="BK48" s="152">
        <f t="shared" si="370"/>
        <v>0</v>
      </c>
      <c r="BL48" s="152">
        <f t="shared" si="370"/>
        <v>253664</v>
      </c>
      <c r="BM48" s="152">
        <f t="shared" si="370"/>
        <v>0</v>
      </c>
      <c r="BN48" s="152">
        <f t="shared" si="371"/>
        <v>253664</v>
      </c>
      <c r="BO48" s="168"/>
      <c r="BP48" s="152">
        <f t="shared" si="372"/>
        <v>0</v>
      </c>
      <c r="BQ48" s="152">
        <f t="shared" si="372"/>
        <v>164336</v>
      </c>
      <c r="BR48" s="152">
        <f t="shared" si="372"/>
        <v>0</v>
      </c>
      <c r="BS48" s="168">
        <f t="shared" si="373"/>
        <v>164336</v>
      </c>
      <c r="BT48" s="152"/>
      <c r="BU48" s="152"/>
      <c r="BV48" s="152"/>
      <c r="BW48" s="152">
        <f t="shared" si="374"/>
        <v>0</v>
      </c>
      <c r="BX48" s="152">
        <f t="shared" si="20"/>
        <v>0</v>
      </c>
      <c r="BY48" s="152">
        <f t="shared" si="21"/>
        <v>0</v>
      </c>
      <c r="BZ48" s="152">
        <f t="shared" si="22"/>
        <v>0</v>
      </c>
      <c r="CA48" s="587">
        <f t="shared" si="23"/>
        <v>0</v>
      </c>
    </row>
    <row r="49" spans="1:79" ht="14.1" customHeight="1" x14ac:dyDescent="0.2">
      <c r="A49" s="127" t="s">
        <v>141</v>
      </c>
      <c r="B49" s="81"/>
      <c r="C49" s="81" t="s">
        <v>200</v>
      </c>
      <c r="D49" s="69" t="s">
        <v>550</v>
      </c>
      <c r="E49" s="83"/>
      <c r="G49" s="152"/>
      <c r="H49" s="152"/>
      <c r="I49" s="152"/>
      <c r="J49" s="152">
        <f t="shared" si="24"/>
        <v>0</v>
      </c>
      <c r="K49" s="152"/>
      <c r="L49" s="152"/>
      <c r="M49" s="152"/>
      <c r="N49" s="152">
        <f t="shared" si="354"/>
        <v>0</v>
      </c>
      <c r="O49" s="152"/>
      <c r="P49" s="152"/>
      <c r="Q49" s="152"/>
      <c r="R49" s="152">
        <f t="shared" si="355"/>
        <v>0</v>
      </c>
      <c r="S49" s="152"/>
      <c r="T49" s="152"/>
      <c r="U49" s="152"/>
      <c r="V49" s="152">
        <f t="shared" si="356"/>
        <v>0</v>
      </c>
      <c r="W49" s="152">
        <f t="shared" si="357"/>
        <v>0</v>
      </c>
      <c r="X49" s="152">
        <f t="shared" si="358"/>
        <v>0</v>
      </c>
      <c r="Y49" s="152">
        <f t="shared" si="358"/>
        <v>0</v>
      </c>
      <c r="Z49" s="168">
        <f t="shared" si="359"/>
        <v>0</v>
      </c>
      <c r="AA49" s="152"/>
      <c r="AB49" s="152"/>
      <c r="AC49" s="152"/>
      <c r="AD49" s="152">
        <f t="shared" si="360"/>
        <v>0</v>
      </c>
      <c r="AE49" s="152"/>
      <c r="AF49" s="152"/>
      <c r="AG49" s="152"/>
      <c r="AH49" s="152">
        <f t="shared" si="361"/>
        <v>0</v>
      </c>
      <c r="AI49" s="152"/>
      <c r="AJ49" s="152"/>
      <c r="AK49" s="152"/>
      <c r="AL49" s="152">
        <f t="shared" si="362"/>
        <v>0</v>
      </c>
      <c r="AM49" s="152"/>
      <c r="AN49" s="152"/>
      <c r="AO49" s="152"/>
      <c r="AP49" s="152">
        <f t="shared" si="363"/>
        <v>0</v>
      </c>
      <c r="AQ49" s="152">
        <f t="shared" si="364"/>
        <v>0</v>
      </c>
      <c r="AR49" s="152">
        <f t="shared" si="364"/>
        <v>0</v>
      </c>
      <c r="AS49" s="152">
        <f t="shared" si="364"/>
        <v>0</v>
      </c>
      <c r="AT49" s="168">
        <f t="shared" si="365"/>
        <v>0</v>
      </c>
      <c r="AU49" s="152"/>
      <c r="AV49" s="152"/>
      <c r="AW49" s="152"/>
      <c r="AX49" s="152">
        <f t="shared" si="366"/>
        <v>0</v>
      </c>
      <c r="AY49" s="152"/>
      <c r="AZ49" s="152"/>
      <c r="BA49" s="152"/>
      <c r="BB49" s="152">
        <f t="shared" si="367"/>
        <v>0</v>
      </c>
      <c r="BC49" s="152"/>
      <c r="BD49" s="152"/>
      <c r="BE49" s="152"/>
      <c r="BF49" s="152">
        <f t="shared" si="368"/>
        <v>0</v>
      </c>
      <c r="BG49" s="152"/>
      <c r="BH49" s="152"/>
      <c r="BI49" s="152"/>
      <c r="BJ49" s="152">
        <f t="shared" si="369"/>
        <v>0</v>
      </c>
      <c r="BK49" s="152">
        <f t="shared" si="370"/>
        <v>0</v>
      </c>
      <c r="BL49" s="152">
        <f t="shared" si="370"/>
        <v>0</v>
      </c>
      <c r="BM49" s="152">
        <f t="shared" si="370"/>
        <v>0</v>
      </c>
      <c r="BN49" s="152">
        <f t="shared" si="371"/>
        <v>0</v>
      </c>
      <c r="BO49" s="168"/>
      <c r="BP49" s="152">
        <f t="shared" si="372"/>
        <v>0</v>
      </c>
      <c r="BQ49" s="152">
        <f t="shared" si="372"/>
        <v>0</v>
      </c>
      <c r="BR49" s="152">
        <f t="shared" si="372"/>
        <v>0</v>
      </c>
      <c r="BS49" s="168">
        <f t="shared" si="373"/>
        <v>0</v>
      </c>
      <c r="BT49" s="152"/>
      <c r="BU49" s="152"/>
      <c r="BV49" s="152"/>
      <c r="BW49" s="152">
        <f t="shared" si="374"/>
        <v>0</v>
      </c>
      <c r="BX49" s="152">
        <f t="shared" si="20"/>
        <v>0</v>
      </c>
      <c r="BY49" s="152">
        <f t="shared" si="21"/>
        <v>0</v>
      </c>
      <c r="BZ49" s="152">
        <f t="shared" si="22"/>
        <v>0</v>
      </c>
      <c r="CA49" s="587">
        <f t="shared" si="23"/>
        <v>0</v>
      </c>
    </row>
    <row r="50" spans="1:79" ht="14.1" customHeight="1" x14ac:dyDescent="0.2">
      <c r="A50" s="127" t="s">
        <v>142</v>
      </c>
      <c r="B50" s="81"/>
      <c r="C50" s="81" t="s">
        <v>201</v>
      </c>
      <c r="D50" s="901" t="s">
        <v>551</v>
      </c>
      <c r="E50" s="902"/>
      <c r="G50" s="152"/>
      <c r="H50" s="152"/>
      <c r="I50" s="152"/>
      <c r="J50" s="152">
        <f t="shared" si="24"/>
        <v>0</v>
      </c>
      <c r="K50" s="152"/>
      <c r="L50" s="152"/>
      <c r="M50" s="152"/>
      <c r="N50" s="152">
        <f t="shared" si="354"/>
        <v>0</v>
      </c>
      <c r="O50" s="152"/>
      <c r="P50" s="152"/>
      <c r="Q50" s="152"/>
      <c r="R50" s="152">
        <f t="shared" si="355"/>
        <v>0</v>
      </c>
      <c r="S50" s="152"/>
      <c r="T50" s="152"/>
      <c r="U50" s="152"/>
      <c r="V50" s="152">
        <f t="shared" si="356"/>
        <v>0</v>
      </c>
      <c r="W50" s="152">
        <f t="shared" si="357"/>
        <v>0</v>
      </c>
      <c r="X50" s="152">
        <f t="shared" si="358"/>
        <v>0</v>
      </c>
      <c r="Y50" s="152">
        <f t="shared" si="358"/>
        <v>0</v>
      </c>
      <c r="Z50" s="168">
        <f t="shared" si="359"/>
        <v>0</v>
      </c>
      <c r="AA50" s="152"/>
      <c r="AB50" s="152"/>
      <c r="AC50" s="152"/>
      <c r="AD50" s="152">
        <f t="shared" si="360"/>
        <v>0</v>
      </c>
      <c r="AE50" s="152"/>
      <c r="AF50" s="152"/>
      <c r="AG50" s="152"/>
      <c r="AH50" s="152">
        <f t="shared" si="361"/>
        <v>0</v>
      </c>
      <c r="AI50" s="152"/>
      <c r="AJ50" s="152"/>
      <c r="AK50" s="152"/>
      <c r="AL50" s="152">
        <f t="shared" si="362"/>
        <v>0</v>
      </c>
      <c r="AM50" s="152"/>
      <c r="AN50" s="152"/>
      <c r="AO50" s="152"/>
      <c r="AP50" s="152">
        <f t="shared" si="363"/>
        <v>0</v>
      </c>
      <c r="AQ50" s="152">
        <f t="shared" si="364"/>
        <v>0</v>
      </c>
      <c r="AR50" s="152">
        <f t="shared" si="364"/>
        <v>0</v>
      </c>
      <c r="AS50" s="152">
        <f t="shared" si="364"/>
        <v>0</v>
      </c>
      <c r="AT50" s="168">
        <f t="shared" si="365"/>
        <v>0</v>
      </c>
      <c r="AU50" s="152"/>
      <c r="AV50" s="152"/>
      <c r="AW50" s="152"/>
      <c r="AX50" s="152">
        <f t="shared" si="366"/>
        <v>0</v>
      </c>
      <c r="AY50" s="152"/>
      <c r="AZ50" s="152"/>
      <c r="BA50" s="152"/>
      <c r="BB50" s="152">
        <f t="shared" si="367"/>
        <v>0</v>
      </c>
      <c r="BC50" s="152"/>
      <c r="BD50" s="152"/>
      <c r="BE50" s="152"/>
      <c r="BF50" s="152">
        <f t="shared" si="368"/>
        <v>0</v>
      </c>
      <c r="BG50" s="152"/>
      <c r="BH50" s="152"/>
      <c r="BI50" s="152"/>
      <c r="BJ50" s="152">
        <f t="shared" si="369"/>
        <v>0</v>
      </c>
      <c r="BK50" s="152">
        <f t="shared" si="370"/>
        <v>0</v>
      </c>
      <c r="BL50" s="152">
        <f t="shared" si="370"/>
        <v>0</v>
      </c>
      <c r="BM50" s="152">
        <f t="shared" si="370"/>
        <v>0</v>
      </c>
      <c r="BN50" s="152">
        <f t="shared" si="371"/>
        <v>0</v>
      </c>
      <c r="BO50" s="168"/>
      <c r="BP50" s="152">
        <f t="shared" si="372"/>
        <v>0</v>
      </c>
      <c r="BQ50" s="152">
        <f t="shared" si="372"/>
        <v>0</v>
      </c>
      <c r="BR50" s="152">
        <f t="shared" si="372"/>
        <v>0</v>
      </c>
      <c r="BS50" s="168">
        <f t="shared" si="373"/>
        <v>0</v>
      </c>
      <c r="BT50" s="152"/>
      <c r="BU50" s="152"/>
      <c r="BV50" s="152"/>
      <c r="BW50" s="152">
        <f t="shared" si="374"/>
        <v>0</v>
      </c>
      <c r="BX50" s="152">
        <f t="shared" si="20"/>
        <v>0</v>
      </c>
      <c r="BY50" s="152">
        <f t="shared" si="21"/>
        <v>0</v>
      </c>
      <c r="BZ50" s="152">
        <f t="shared" si="22"/>
        <v>0</v>
      </c>
      <c r="CA50" s="587">
        <f t="shared" si="23"/>
        <v>0</v>
      </c>
    </row>
    <row r="51" spans="1:79" ht="14.1" customHeight="1" x14ac:dyDescent="0.2">
      <c r="A51" s="125" t="s">
        <v>143</v>
      </c>
      <c r="B51" s="77" t="s">
        <v>144</v>
      </c>
      <c r="C51" s="69" t="s">
        <v>552</v>
      </c>
      <c r="D51" s="565"/>
      <c r="E51" s="566"/>
      <c r="G51" s="154"/>
      <c r="H51" s="154"/>
      <c r="I51" s="154"/>
      <c r="J51" s="154">
        <f t="shared" si="24"/>
        <v>0</v>
      </c>
      <c r="K51" s="154"/>
      <c r="L51" s="154"/>
      <c r="M51" s="154"/>
      <c r="N51" s="154">
        <f t="shared" si="354"/>
        <v>0</v>
      </c>
      <c r="O51" s="154"/>
      <c r="P51" s="154"/>
      <c r="Q51" s="154"/>
      <c r="R51" s="154">
        <f t="shared" si="355"/>
        <v>0</v>
      </c>
      <c r="S51" s="154"/>
      <c r="T51" s="154"/>
      <c r="U51" s="154"/>
      <c r="V51" s="154">
        <f t="shared" si="356"/>
        <v>0</v>
      </c>
      <c r="W51" s="154">
        <f t="shared" si="357"/>
        <v>0</v>
      </c>
      <c r="X51" s="154">
        <f t="shared" si="358"/>
        <v>0</v>
      </c>
      <c r="Y51" s="154">
        <f t="shared" si="358"/>
        <v>0</v>
      </c>
      <c r="Z51" s="170">
        <f t="shared" si="359"/>
        <v>0</v>
      </c>
      <c r="AA51" s="154"/>
      <c r="AB51" s="154"/>
      <c r="AC51" s="154"/>
      <c r="AD51" s="154">
        <f t="shared" si="360"/>
        <v>0</v>
      </c>
      <c r="AE51" s="154"/>
      <c r="AF51" s="154"/>
      <c r="AG51" s="154"/>
      <c r="AH51" s="154">
        <f t="shared" si="361"/>
        <v>0</v>
      </c>
      <c r="AI51" s="154"/>
      <c r="AJ51" s="154"/>
      <c r="AK51" s="154"/>
      <c r="AL51" s="154">
        <f t="shared" si="362"/>
        <v>0</v>
      </c>
      <c r="AM51" s="154"/>
      <c r="AN51" s="154"/>
      <c r="AO51" s="154"/>
      <c r="AP51" s="154">
        <f t="shared" si="363"/>
        <v>0</v>
      </c>
      <c r="AQ51" s="154">
        <f t="shared" si="364"/>
        <v>0</v>
      </c>
      <c r="AR51" s="154">
        <f t="shared" si="364"/>
        <v>0</v>
      </c>
      <c r="AS51" s="154">
        <f t="shared" si="364"/>
        <v>0</v>
      </c>
      <c r="AT51" s="170">
        <f t="shared" si="365"/>
        <v>0</v>
      </c>
      <c r="AU51" s="154"/>
      <c r="AV51" s="154"/>
      <c r="AW51" s="154"/>
      <c r="AX51" s="154">
        <f t="shared" si="366"/>
        <v>0</v>
      </c>
      <c r="AY51" s="154"/>
      <c r="AZ51" s="154"/>
      <c r="BA51" s="154"/>
      <c r="BB51" s="154">
        <f t="shared" si="367"/>
        <v>0</v>
      </c>
      <c r="BC51" s="154"/>
      <c r="BD51" s="154"/>
      <c r="BE51" s="154"/>
      <c r="BF51" s="154">
        <f t="shared" si="368"/>
        <v>0</v>
      </c>
      <c r="BG51" s="154"/>
      <c r="BH51" s="154"/>
      <c r="BI51" s="154"/>
      <c r="BJ51" s="154">
        <f t="shared" si="369"/>
        <v>0</v>
      </c>
      <c r="BK51" s="154">
        <f t="shared" si="370"/>
        <v>0</v>
      </c>
      <c r="BL51" s="154">
        <f t="shared" si="370"/>
        <v>0</v>
      </c>
      <c r="BM51" s="154">
        <f t="shared" si="370"/>
        <v>0</v>
      </c>
      <c r="BN51" s="154">
        <f t="shared" si="371"/>
        <v>0</v>
      </c>
      <c r="BO51" s="170"/>
      <c r="BP51" s="154">
        <f t="shared" si="372"/>
        <v>0</v>
      </c>
      <c r="BQ51" s="154">
        <f t="shared" si="372"/>
        <v>0</v>
      </c>
      <c r="BR51" s="154">
        <f t="shared" si="372"/>
        <v>0</v>
      </c>
      <c r="BS51" s="170">
        <f t="shared" si="373"/>
        <v>0</v>
      </c>
      <c r="BT51" s="154"/>
      <c r="BU51" s="154"/>
      <c r="BV51" s="154"/>
      <c r="BW51" s="154">
        <f t="shared" si="374"/>
        <v>0</v>
      </c>
      <c r="BX51" s="154">
        <f t="shared" si="20"/>
        <v>0</v>
      </c>
      <c r="BY51" s="154">
        <f t="shared" si="21"/>
        <v>0</v>
      </c>
      <c r="BZ51" s="154">
        <f t="shared" si="22"/>
        <v>0</v>
      </c>
      <c r="CA51" s="126">
        <f t="shared" si="23"/>
        <v>0</v>
      </c>
    </row>
    <row r="52" spans="1:79" ht="14.1" customHeight="1" x14ac:dyDescent="0.2">
      <c r="A52" s="526" t="s">
        <v>553</v>
      </c>
      <c r="B52" s="564">
        <v>2</v>
      </c>
      <c r="C52" s="523" t="s">
        <v>145</v>
      </c>
      <c r="D52" s="560"/>
      <c r="E52" s="528"/>
      <c r="F52" s="525" t="s">
        <v>669</v>
      </c>
      <c r="G52" s="555">
        <f>SUM(G53:G56)</f>
        <v>0</v>
      </c>
      <c r="H52" s="555">
        <f t="shared" ref="H52:I52" si="375">SUM(H53:H56)</f>
        <v>0</v>
      </c>
      <c r="I52" s="555">
        <f t="shared" si="375"/>
        <v>0</v>
      </c>
      <c r="J52" s="555">
        <f t="shared" ref="J52:BS52" si="376">SUM(J53:J56)</f>
        <v>0</v>
      </c>
      <c r="K52" s="555">
        <f>SUM(K53:K56)</f>
        <v>0</v>
      </c>
      <c r="L52" s="555">
        <f t="shared" ref="L52" si="377">SUM(L53:L56)</f>
        <v>0</v>
      </c>
      <c r="M52" s="555">
        <f t="shared" ref="M52:N52" si="378">SUM(M53:M56)</f>
        <v>0</v>
      </c>
      <c r="N52" s="555">
        <f t="shared" si="378"/>
        <v>0</v>
      </c>
      <c r="O52" s="555">
        <f>SUM(O53:O56)</f>
        <v>0</v>
      </c>
      <c r="P52" s="555">
        <f t="shared" ref="P52" si="379">SUM(P53:P56)</f>
        <v>0</v>
      </c>
      <c r="Q52" s="555">
        <f t="shared" ref="Q52:R52" si="380">SUM(Q53:Q56)</f>
        <v>0</v>
      </c>
      <c r="R52" s="555">
        <f t="shared" si="380"/>
        <v>0</v>
      </c>
      <c r="S52" s="555">
        <f>SUM(S53:S56)</f>
        <v>0</v>
      </c>
      <c r="T52" s="555">
        <f t="shared" ref="T52" si="381">SUM(T53:T56)</f>
        <v>0</v>
      </c>
      <c r="U52" s="555">
        <f t="shared" ref="U52:V52" si="382">SUM(U53:U56)</f>
        <v>0</v>
      </c>
      <c r="V52" s="555">
        <f t="shared" si="382"/>
        <v>0</v>
      </c>
      <c r="W52" s="555">
        <f t="shared" si="376"/>
        <v>0</v>
      </c>
      <c r="X52" s="555">
        <f t="shared" si="376"/>
        <v>0</v>
      </c>
      <c r="Y52" s="555">
        <f t="shared" si="376"/>
        <v>0</v>
      </c>
      <c r="Z52" s="556">
        <f t="shared" si="376"/>
        <v>0</v>
      </c>
      <c r="AA52" s="555">
        <f t="shared" si="376"/>
        <v>0</v>
      </c>
      <c r="AB52" s="555">
        <f t="shared" si="376"/>
        <v>0</v>
      </c>
      <c r="AC52" s="555">
        <f t="shared" si="376"/>
        <v>0</v>
      </c>
      <c r="AD52" s="555">
        <f t="shared" si="376"/>
        <v>0</v>
      </c>
      <c r="AE52" s="555">
        <f>SUM(AE53:AE56)</f>
        <v>0</v>
      </c>
      <c r="AF52" s="555">
        <f t="shared" ref="AF52:AH52" si="383">SUM(AF53:AF56)</f>
        <v>0</v>
      </c>
      <c r="AG52" s="555">
        <f t="shared" si="383"/>
        <v>0</v>
      </c>
      <c r="AH52" s="555">
        <f t="shared" si="383"/>
        <v>0</v>
      </c>
      <c r="AI52" s="555">
        <f>SUM(AI53:AI56)</f>
        <v>0</v>
      </c>
      <c r="AJ52" s="555">
        <f t="shared" ref="AJ52:AL52" si="384">SUM(AJ53:AJ56)</f>
        <v>0</v>
      </c>
      <c r="AK52" s="555">
        <f t="shared" si="384"/>
        <v>0</v>
      </c>
      <c r="AL52" s="555">
        <f t="shared" si="384"/>
        <v>0</v>
      </c>
      <c r="AM52" s="555">
        <f>SUM(AM53:AM56)</f>
        <v>0</v>
      </c>
      <c r="AN52" s="555">
        <f t="shared" ref="AN52:AP52" si="385">SUM(AN53:AN56)</f>
        <v>0</v>
      </c>
      <c r="AO52" s="555">
        <f t="shared" si="385"/>
        <v>0</v>
      </c>
      <c r="AP52" s="555">
        <f t="shared" si="385"/>
        <v>0</v>
      </c>
      <c r="AQ52" s="555">
        <f t="shared" si="376"/>
        <v>0</v>
      </c>
      <c r="AR52" s="555">
        <f t="shared" si="376"/>
        <v>0</v>
      </c>
      <c r="AS52" s="555">
        <f t="shared" si="376"/>
        <v>0</v>
      </c>
      <c r="AT52" s="556">
        <f t="shared" si="376"/>
        <v>0</v>
      </c>
      <c r="AU52" s="555">
        <f t="shared" si="376"/>
        <v>0</v>
      </c>
      <c r="AV52" s="555">
        <f t="shared" si="376"/>
        <v>0</v>
      </c>
      <c r="AW52" s="555">
        <f t="shared" si="376"/>
        <v>0</v>
      </c>
      <c r="AX52" s="555">
        <f t="shared" si="376"/>
        <v>0</v>
      </c>
      <c r="AY52" s="555">
        <f>SUM(AY53:AY56)</f>
        <v>0</v>
      </c>
      <c r="AZ52" s="555">
        <f t="shared" ref="AZ52" si="386">SUM(AZ53:AZ56)</f>
        <v>0</v>
      </c>
      <c r="BA52" s="555">
        <f t="shared" ref="BA52:BB52" si="387">SUM(BA53:BA56)</f>
        <v>0</v>
      </c>
      <c r="BB52" s="555">
        <f t="shared" si="387"/>
        <v>0</v>
      </c>
      <c r="BC52" s="555">
        <f>SUM(BC53:BC56)</f>
        <v>0</v>
      </c>
      <c r="BD52" s="555">
        <f t="shared" ref="BD52" si="388">SUM(BD53:BD56)</f>
        <v>0</v>
      </c>
      <c r="BE52" s="555">
        <f t="shared" ref="BE52:BF52" si="389">SUM(BE53:BE56)</f>
        <v>0</v>
      </c>
      <c r="BF52" s="555">
        <f t="shared" si="389"/>
        <v>0</v>
      </c>
      <c r="BG52" s="555">
        <f>SUM(BG53:BG56)</f>
        <v>0</v>
      </c>
      <c r="BH52" s="555">
        <f t="shared" ref="BH52" si="390">SUM(BH53:BH56)</f>
        <v>0</v>
      </c>
      <c r="BI52" s="555">
        <f t="shared" ref="BI52:BJ52" si="391">SUM(BI53:BI56)</f>
        <v>0</v>
      </c>
      <c r="BJ52" s="555">
        <f t="shared" si="391"/>
        <v>0</v>
      </c>
      <c r="BK52" s="555">
        <f t="shared" si="376"/>
        <v>0</v>
      </c>
      <c r="BL52" s="555">
        <f t="shared" si="376"/>
        <v>0</v>
      </c>
      <c r="BM52" s="555">
        <f t="shared" si="376"/>
        <v>0</v>
      </c>
      <c r="BN52" s="555">
        <f t="shared" si="376"/>
        <v>0</v>
      </c>
      <c r="BO52" s="557">
        <f t="shared" si="376"/>
        <v>0</v>
      </c>
      <c r="BP52" s="555">
        <f t="shared" si="376"/>
        <v>0</v>
      </c>
      <c r="BQ52" s="555">
        <f t="shared" si="376"/>
        <v>0</v>
      </c>
      <c r="BR52" s="555">
        <f t="shared" si="376"/>
        <v>0</v>
      </c>
      <c r="BS52" s="556">
        <f t="shared" si="376"/>
        <v>0</v>
      </c>
      <c r="BT52" s="555">
        <f>SUM(BT53:BT56)</f>
        <v>0</v>
      </c>
      <c r="BU52" s="555">
        <f t="shared" ref="BU52" si="392">SUM(BU53:BU56)</f>
        <v>0</v>
      </c>
      <c r="BV52" s="555">
        <f t="shared" ref="BV52:BW52" si="393">SUM(BV53:BV56)</f>
        <v>0</v>
      </c>
      <c r="BW52" s="555">
        <f t="shared" si="393"/>
        <v>0</v>
      </c>
      <c r="BX52" s="555">
        <f t="shared" ref="BX52:CA52" si="394">SUM(BX53:BX56)</f>
        <v>0</v>
      </c>
      <c r="BY52" s="555">
        <f t="shared" si="394"/>
        <v>0</v>
      </c>
      <c r="BZ52" s="555">
        <f t="shared" si="394"/>
        <v>0</v>
      </c>
      <c r="CA52" s="558">
        <f t="shared" si="394"/>
        <v>0</v>
      </c>
    </row>
    <row r="53" spans="1:79" ht="14.1" customHeight="1" x14ac:dyDescent="0.2">
      <c r="A53" s="128" t="s">
        <v>554</v>
      </c>
      <c r="B53" s="78" t="s">
        <v>524</v>
      </c>
      <c r="C53" s="906" t="s">
        <v>555</v>
      </c>
      <c r="D53" s="906"/>
      <c r="E53" s="906"/>
      <c r="G53" s="152"/>
      <c r="H53" s="152"/>
      <c r="I53" s="152"/>
      <c r="J53" s="152">
        <f t="shared" si="24"/>
        <v>0</v>
      </c>
      <c r="K53" s="152"/>
      <c r="L53" s="152"/>
      <c r="M53" s="152"/>
      <c r="N53" s="152">
        <f t="shared" ref="N53:N56" si="395">SUM(K53:M53)</f>
        <v>0</v>
      </c>
      <c r="O53" s="152"/>
      <c r="P53" s="152"/>
      <c r="Q53" s="152"/>
      <c r="R53" s="152">
        <f t="shared" ref="R53:R56" si="396">SUM(O53:Q53)</f>
        <v>0</v>
      </c>
      <c r="S53" s="152"/>
      <c r="T53" s="152"/>
      <c r="U53" s="152"/>
      <c r="V53" s="152">
        <f t="shared" ref="V53:V56" si="397">SUM(S53:U53)</f>
        <v>0</v>
      </c>
      <c r="W53" s="152">
        <f>G53-O53+S53+K53</f>
        <v>0</v>
      </c>
      <c r="X53" s="152">
        <f t="shared" ref="X53:Y56" si="398">H53-P53+T53+L53</f>
        <v>0</v>
      </c>
      <c r="Y53" s="152">
        <f t="shared" si="398"/>
        <v>0</v>
      </c>
      <c r="Z53" s="168">
        <f>SUM(W53:Y53)</f>
        <v>0</v>
      </c>
      <c r="AA53" s="152"/>
      <c r="AB53" s="152"/>
      <c r="AC53" s="152"/>
      <c r="AD53" s="152">
        <f t="shared" ref="AD53:AD56" si="399">SUM(AA53:AC53)</f>
        <v>0</v>
      </c>
      <c r="AE53" s="152"/>
      <c r="AF53" s="152"/>
      <c r="AG53" s="152"/>
      <c r="AH53" s="152">
        <f t="shared" ref="AH53:AH56" si="400">SUM(AE53:AG53)</f>
        <v>0</v>
      </c>
      <c r="AI53" s="152"/>
      <c r="AJ53" s="152"/>
      <c r="AK53" s="152"/>
      <c r="AL53" s="152">
        <f t="shared" ref="AL53:AL56" si="401">SUM(AI53:AK53)</f>
        <v>0</v>
      </c>
      <c r="AM53" s="152"/>
      <c r="AN53" s="152"/>
      <c r="AO53" s="152"/>
      <c r="AP53" s="152">
        <f t="shared" ref="AP53:AP56" si="402">SUM(AM53:AO53)</f>
        <v>0</v>
      </c>
      <c r="AQ53" s="152">
        <f t="shared" ref="AQ53:AS56" si="403">AA53+AE53+AI53+AM53</f>
        <v>0</v>
      </c>
      <c r="AR53" s="152">
        <f t="shared" si="403"/>
        <v>0</v>
      </c>
      <c r="AS53" s="152">
        <f t="shared" si="403"/>
        <v>0</v>
      </c>
      <c r="AT53" s="168">
        <f>SUM(AQ53:AS53)</f>
        <v>0</v>
      </c>
      <c r="AU53" s="152"/>
      <c r="AV53" s="152"/>
      <c r="AW53" s="152"/>
      <c r="AX53" s="152">
        <f t="shared" ref="AX53:AX56" si="404">SUM(AU53:AW53)</f>
        <v>0</v>
      </c>
      <c r="AY53" s="152"/>
      <c r="AZ53" s="152"/>
      <c r="BA53" s="152"/>
      <c r="BB53" s="152">
        <f t="shared" ref="BB53:BB56" si="405">SUM(AY53:BA53)</f>
        <v>0</v>
      </c>
      <c r="BC53" s="152"/>
      <c r="BD53" s="152"/>
      <c r="BE53" s="152"/>
      <c r="BF53" s="152">
        <f t="shared" ref="BF53:BF56" si="406">SUM(BC53:BE53)</f>
        <v>0</v>
      </c>
      <c r="BG53" s="152"/>
      <c r="BH53" s="152"/>
      <c r="BI53" s="152"/>
      <c r="BJ53" s="152">
        <f t="shared" ref="BJ53:BJ56" si="407">SUM(BG53:BI53)</f>
        <v>0</v>
      </c>
      <c r="BK53" s="152">
        <f t="shared" ref="BK53:BM56" si="408">AU53+AY53+BC53+BG53</f>
        <v>0</v>
      </c>
      <c r="BL53" s="152">
        <f t="shared" si="408"/>
        <v>0</v>
      </c>
      <c r="BM53" s="152">
        <f t="shared" si="408"/>
        <v>0</v>
      </c>
      <c r="BN53" s="152">
        <f>SUM(BK53:BM53)</f>
        <v>0</v>
      </c>
      <c r="BO53" s="168"/>
      <c r="BP53" s="152">
        <f t="shared" ref="BP53:BR56" si="409">W53-AQ53</f>
        <v>0</v>
      </c>
      <c r="BQ53" s="152">
        <f t="shared" si="409"/>
        <v>0</v>
      </c>
      <c r="BR53" s="152">
        <f t="shared" si="409"/>
        <v>0</v>
      </c>
      <c r="BS53" s="168">
        <f>SUM(BP53:BR53)</f>
        <v>0</v>
      </c>
      <c r="BT53" s="152"/>
      <c r="BU53" s="152"/>
      <c r="BV53" s="152"/>
      <c r="BW53" s="152">
        <f t="shared" ref="BW53:BW56" si="410">SUM(BT53:BV53)</f>
        <v>0</v>
      </c>
      <c r="BX53" s="152">
        <f t="shared" si="20"/>
        <v>0</v>
      </c>
      <c r="BY53" s="152">
        <f t="shared" si="21"/>
        <v>0</v>
      </c>
      <c r="BZ53" s="152">
        <f t="shared" si="22"/>
        <v>0</v>
      </c>
      <c r="CA53" s="587">
        <f t="shared" si="23"/>
        <v>0</v>
      </c>
    </row>
    <row r="54" spans="1:79" ht="14.1" customHeight="1" x14ac:dyDescent="0.2">
      <c r="A54" s="128" t="s">
        <v>556</v>
      </c>
      <c r="B54" s="78" t="s">
        <v>536</v>
      </c>
      <c r="C54" s="906" t="s">
        <v>148</v>
      </c>
      <c r="D54" s="906"/>
      <c r="E54" s="906"/>
      <c r="G54" s="152"/>
      <c r="H54" s="152"/>
      <c r="I54" s="152"/>
      <c r="J54" s="152">
        <f t="shared" si="24"/>
        <v>0</v>
      </c>
      <c r="K54" s="152"/>
      <c r="L54" s="152"/>
      <c r="M54" s="152"/>
      <c r="N54" s="152">
        <f t="shared" si="395"/>
        <v>0</v>
      </c>
      <c r="O54" s="152"/>
      <c r="P54" s="152"/>
      <c r="Q54" s="152"/>
      <c r="R54" s="152">
        <f t="shared" si="396"/>
        <v>0</v>
      </c>
      <c r="S54" s="152"/>
      <c r="T54" s="152"/>
      <c r="U54" s="152"/>
      <c r="V54" s="152">
        <f t="shared" si="397"/>
        <v>0</v>
      </c>
      <c r="W54" s="152">
        <f>G54-O54+S54+K54</f>
        <v>0</v>
      </c>
      <c r="X54" s="152">
        <f t="shared" si="398"/>
        <v>0</v>
      </c>
      <c r="Y54" s="152">
        <f t="shared" si="398"/>
        <v>0</v>
      </c>
      <c r="Z54" s="168">
        <f>SUM(W54:Y54)</f>
        <v>0</v>
      </c>
      <c r="AA54" s="152"/>
      <c r="AB54" s="152"/>
      <c r="AC54" s="152"/>
      <c r="AD54" s="152">
        <f t="shared" si="399"/>
        <v>0</v>
      </c>
      <c r="AE54" s="152"/>
      <c r="AF54" s="152"/>
      <c r="AG54" s="152"/>
      <c r="AH54" s="152">
        <f t="shared" si="400"/>
        <v>0</v>
      </c>
      <c r="AI54" s="152"/>
      <c r="AJ54" s="152"/>
      <c r="AK54" s="152"/>
      <c r="AL54" s="152">
        <f t="shared" si="401"/>
        <v>0</v>
      </c>
      <c r="AM54" s="152"/>
      <c r="AN54" s="152"/>
      <c r="AO54" s="152"/>
      <c r="AP54" s="152">
        <f t="shared" si="402"/>
        <v>0</v>
      </c>
      <c r="AQ54" s="152">
        <f t="shared" si="403"/>
        <v>0</v>
      </c>
      <c r="AR54" s="152">
        <f t="shared" si="403"/>
        <v>0</v>
      </c>
      <c r="AS54" s="152">
        <f t="shared" si="403"/>
        <v>0</v>
      </c>
      <c r="AT54" s="168">
        <f>SUM(AQ54:AS54)</f>
        <v>0</v>
      </c>
      <c r="AU54" s="152"/>
      <c r="AV54" s="152"/>
      <c r="AW54" s="152"/>
      <c r="AX54" s="152">
        <f t="shared" si="404"/>
        <v>0</v>
      </c>
      <c r="AY54" s="152"/>
      <c r="AZ54" s="152"/>
      <c r="BA54" s="152"/>
      <c r="BB54" s="152">
        <f t="shared" si="405"/>
        <v>0</v>
      </c>
      <c r="BC54" s="152"/>
      <c r="BD54" s="152"/>
      <c r="BE54" s="152"/>
      <c r="BF54" s="152">
        <f t="shared" si="406"/>
        <v>0</v>
      </c>
      <c r="BG54" s="152"/>
      <c r="BH54" s="152"/>
      <c r="BI54" s="152"/>
      <c r="BJ54" s="152">
        <f t="shared" si="407"/>
        <v>0</v>
      </c>
      <c r="BK54" s="152">
        <f t="shared" si="408"/>
        <v>0</v>
      </c>
      <c r="BL54" s="152">
        <f t="shared" si="408"/>
        <v>0</v>
      </c>
      <c r="BM54" s="152">
        <f t="shared" si="408"/>
        <v>0</v>
      </c>
      <c r="BN54" s="152">
        <f>SUM(BK54:BM54)</f>
        <v>0</v>
      </c>
      <c r="BO54" s="168"/>
      <c r="BP54" s="152">
        <f t="shared" si="409"/>
        <v>0</v>
      </c>
      <c r="BQ54" s="152">
        <f t="shared" si="409"/>
        <v>0</v>
      </c>
      <c r="BR54" s="152">
        <f t="shared" si="409"/>
        <v>0</v>
      </c>
      <c r="BS54" s="168">
        <f>SUM(BP54:BR54)</f>
        <v>0</v>
      </c>
      <c r="BT54" s="152"/>
      <c r="BU54" s="152"/>
      <c r="BV54" s="152"/>
      <c r="BW54" s="152">
        <f t="shared" si="410"/>
        <v>0</v>
      </c>
      <c r="BX54" s="152">
        <f t="shared" si="20"/>
        <v>0</v>
      </c>
      <c r="BY54" s="152">
        <f t="shared" si="21"/>
        <v>0</v>
      </c>
      <c r="BZ54" s="152">
        <f t="shared" si="22"/>
        <v>0</v>
      </c>
      <c r="CA54" s="587">
        <f t="shared" si="23"/>
        <v>0</v>
      </c>
    </row>
    <row r="55" spans="1:79" ht="24.75" customHeight="1" x14ac:dyDescent="0.2">
      <c r="A55" s="128" t="s">
        <v>557</v>
      </c>
      <c r="B55" s="78" t="s">
        <v>184</v>
      </c>
      <c r="C55" s="899" t="s">
        <v>665</v>
      </c>
      <c r="D55" s="899"/>
      <c r="E55" s="899"/>
      <c r="F55" s="568"/>
      <c r="G55" s="152"/>
      <c r="H55" s="152"/>
      <c r="I55" s="152"/>
      <c r="J55" s="152">
        <f t="shared" si="24"/>
        <v>0</v>
      </c>
      <c r="K55" s="152"/>
      <c r="L55" s="152"/>
      <c r="M55" s="152"/>
      <c r="N55" s="152">
        <f t="shared" si="395"/>
        <v>0</v>
      </c>
      <c r="O55" s="152"/>
      <c r="P55" s="152"/>
      <c r="Q55" s="152"/>
      <c r="R55" s="152">
        <f t="shared" si="396"/>
        <v>0</v>
      </c>
      <c r="S55" s="152"/>
      <c r="T55" s="152"/>
      <c r="U55" s="152"/>
      <c r="V55" s="152">
        <f t="shared" si="397"/>
        <v>0</v>
      </c>
      <c r="W55" s="152">
        <f>G55-O55+S55+K55</f>
        <v>0</v>
      </c>
      <c r="X55" s="152">
        <f t="shared" si="398"/>
        <v>0</v>
      </c>
      <c r="Y55" s="152">
        <f t="shared" si="398"/>
        <v>0</v>
      </c>
      <c r="Z55" s="168">
        <f>SUM(W55:Y55)</f>
        <v>0</v>
      </c>
      <c r="AA55" s="152"/>
      <c r="AB55" s="152"/>
      <c r="AC55" s="152"/>
      <c r="AD55" s="152">
        <f t="shared" si="399"/>
        <v>0</v>
      </c>
      <c r="AE55" s="152"/>
      <c r="AF55" s="152"/>
      <c r="AG55" s="152"/>
      <c r="AH55" s="152">
        <f t="shared" si="400"/>
        <v>0</v>
      </c>
      <c r="AI55" s="152"/>
      <c r="AJ55" s="152"/>
      <c r="AK55" s="152"/>
      <c r="AL55" s="152">
        <f t="shared" si="401"/>
        <v>0</v>
      </c>
      <c r="AM55" s="152"/>
      <c r="AN55" s="152"/>
      <c r="AO55" s="152"/>
      <c r="AP55" s="152">
        <f t="shared" si="402"/>
        <v>0</v>
      </c>
      <c r="AQ55" s="152">
        <f t="shared" si="403"/>
        <v>0</v>
      </c>
      <c r="AR55" s="152">
        <f t="shared" si="403"/>
        <v>0</v>
      </c>
      <c r="AS55" s="152">
        <f t="shared" si="403"/>
        <v>0</v>
      </c>
      <c r="AT55" s="168">
        <f>SUM(AQ55:AS55)</f>
        <v>0</v>
      </c>
      <c r="AU55" s="152"/>
      <c r="AV55" s="152"/>
      <c r="AW55" s="152"/>
      <c r="AX55" s="152">
        <f t="shared" si="404"/>
        <v>0</v>
      </c>
      <c r="AY55" s="152"/>
      <c r="AZ55" s="152"/>
      <c r="BA55" s="152"/>
      <c r="BB55" s="152">
        <f t="shared" si="405"/>
        <v>0</v>
      </c>
      <c r="BC55" s="152"/>
      <c r="BD55" s="152"/>
      <c r="BE55" s="152"/>
      <c r="BF55" s="152">
        <f t="shared" si="406"/>
        <v>0</v>
      </c>
      <c r="BG55" s="152"/>
      <c r="BH55" s="152"/>
      <c r="BI55" s="152"/>
      <c r="BJ55" s="152">
        <f t="shared" si="407"/>
        <v>0</v>
      </c>
      <c r="BK55" s="152">
        <f t="shared" si="408"/>
        <v>0</v>
      </c>
      <c r="BL55" s="152">
        <f t="shared" si="408"/>
        <v>0</v>
      </c>
      <c r="BM55" s="152">
        <f t="shared" si="408"/>
        <v>0</v>
      </c>
      <c r="BN55" s="152">
        <f>SUM(BK55:BM55)</f>
        <v>0</v>
      </c>
      <c r="BO55" s="168"/>
      <c r="BP55" s="152">
        <f t="shared" si="409"/>
        <v>0</v>
      </c>
      <c r="BQ55" s="152">
        <f t="shared" si="409"/>
        <v>0</v>
      </c>
      <c r="BR55" s="152">
        <f t="shared" si="409"/>
        <v>0</v>
      </c>
      <c r="BS55" s="168">
        <f>SUM(BP55:BR55)</f>
        <v>0</v>
      </c>
      <c r="BT55" s="152"/>
      <c r="BU55" s="152"/>
      <c r="BV55" s="152"/>
      <c r="BW55" s="152">
        <f t="shared" si="410"/>
        <v>0</v>
      </c>
      <c r="BX55" s="152">
        <f t="shared" si="20"/>
        <v>0</v>
      </c>
      <c r="BY55" s="152">
        <f t="shared" si="21"/>
        <v>0</v>
      </c>
      <c r="BZ55" s="152">
        <f t="shared" si="22"/>
        <v>0</v>
      </c>
      <c r="CA55" s="587">
        <f t="shared" si="23"/>
        <v>0</v>
      </c>
    </row>
    <row r="56" spans="1:79" ht="45.75" customHeight="1" x14ac:dyDescent="0.2">
      <c r="A56" s="128" t="s">
        <v>558</v>
      </c>
      <c r="B56" s="78" t="s">
        <v>559</v>
      </c>
      <c r="C56" s="899" t="s">
        <v>666</v>
      </c>
      <c r="D56" s="899"/>
      <c r="E56" s="899"/>
      <c r="G56" s="589"/>
      <c r="H56" s="589"/>
      <c r="I56" s="589"/>
      <c r="J56" s="152">
        <f t="shared" si="24"/>
        <v>0</v>
      </c>
      <c r="K56" s="589"/>
      <c r="L56" s="589"/>
      <c r="M56" s="589"/>
      <c r="N56" s="152">
        <f t="shared" si="395"/>
        <v>0</v>
      </c>
      <c r="O56" s="589"/>
      <c r="P56" s="589"/>
      <c r="Q56" s="589"/>
      <c r="R56" s="152">
        <f t="shared" si="396"/>
        <v>0</v>
      </c>
      <c r="S56" s="589"/>
      <c r="T56" s="589"/>
      <c r="U56" s="589"/>
      <c r="V56" s="152">
        <f t="shared" si="397"/>
        <v>0</v>
      </c>
      <c r="W56" s="152">
        <f>G56-O56+S56+K56</f>
        <v>0</v>
      </c>
      <c r="X56" s="152">
        <f t="shared" si="398"/>
        <v>0</v>
      </c>
      <c r="Y56" s="152">
        <f t="shared" si="398"/>
        <v>0</v>
      </c>
      <c r="Z56" s="168">
        <f>SUM(W56:Y56)</f>
        <v>0</v>
      </c>
      <c r="AA56" s="589"/>
      <c r="AB56" s="589"/>
      <c r="AC56" s="589"/>
      <c r="AD56" s="152">
        <f t="shared" si="399"/>
        <v>0</v>
      </c>
      <c r="AE56" s="589"/>
      <c r="AF56" s="589"/>
      <c r="AG56" s="589"/>
      <c r="AH56" s="152">
        <f t="shared" si="400"/>
        <v>0</v>
      </c>
      <c r="AI56" s="589"/>
      <c r="AJ56" s="589"/>
      <c r="AK56" s="589"/>
      <c r="AL56" s="152">
        <f t="shared" si="401"/>
        <v>0</v>
      </c>
      <c r="AM56" s="589"/>
      <c r="AN56" s="589"/>
      <c r="AO56" s="589"/>
      <c r="AP56" s="152">
        <f t="shared" si="402"/>
        <v>0</v>
      </c>
      <c r="AQ56" s="152">
        <f t="shared" si="403"/>
        <v>0</v>
      </c>
      <c r="AR56" s="152">
        <f t="shared" si="403"/>
        <v>0</v>
      </c>
      <c r="AS56" s="152">
        <f t="shared" si="403"/>
        <v>0</v>
      </c>
      <c r="AT56" s="168">
        <f>SUM(AQ56:AS56)</f>
        <v>0</v>
      </c>
      <c r="AU56" s="589"/>
      <c r="AV56" s="589"/>
      <c r="AW56" s="589"/>
      <c r="AX56" s="152">
        <f t="shared" si="404"/>
        <v>0</v>
      </c>
      <c r="AY56" s="589"/>
      <c r="AZ56" s="589"/>
      <c r="BA56" s="589"/>
      <c r="BB56" s="152">
        <f t="shared" si="405"/>
        <v>0</v>
      </c>
      <c r="BC56" s="589"/>
      <c r="BD56" s="589"/>
      <c r="BE56" s="589"/>
      <c r="BF56" s="152">
        <f t="shared" si="406"/>
        <v>0</v>
      </c>
      <c r="BG56" s="589"/>
      <c r="BH56" s="589"/>
      <c r="BI56" s="589"/>
      <c r="BJ56" s="152">
        <f t="shared" si="407"/>
        <v>0</v>
      </c>
      <c r="BK56" s="152">
        <f t="shared" si="408"/>
        <v>0</v>
      </c>
      <c r="BL56" s="152">
        <f t="shared" si="408"/>
        <v>0</v>
      </c>
      <c r="BM56" s="152">
        <f t="shared" si="408"/>
        <v>0</v>
      </c>
      <c r="BN56" s="152">
        <f>SUM(BK56:BM56)</f>
        <v>0</v>
      </c>
      <c r="BO56" s="168"/>
      <c r="BP56" s="152">
        <f t="shared" si="409"/>
        <v>0</v>
      </c>
      <c r="BQ56" s="152">
        <f t="shared" si="409"/>
        <v>0</v>
      </c>
      <c r="BR56" s="152">
        <f t="shared" si="409"/>
        <v>0</v>
      </c>
      <c r="BS56" s="168">
        <f>SUM(BP56:BR56)</f>
        <v>0</v>
      </c>
      <c r="BT56" s="589"/>
      <c r="BU56" s="589"/>
      <c r="BV56" s="589"/>
      <c r="BW56" s="152">
        <f t="shared" si="410"/>
        <v>0</v>
      </c>
      <c r="BX56" s="152">
        <f t="shared" si="20"/>
        <v>0</v>
      </c>
      <c r="BY56" s="152">
        <f t="shared" si="21"/>
        <v>0</v>
      </c>
      <c r="BZ56" s="152">
        <f t="shared" si="22"/>
        <v>0</v>
      </c>
      <c r="CA56" s="587">
        <f t="shared" si="23"/>
        <v>0</v>
      </c>
    </row>
    <row r="57" spans="1:79" ht="14.1" customHeight="1" x14ac:dyDescent="0.2">
      <c r="A57" s="542" t="s">
        <v>151</v>
      </c>
      <c r="B57" s="535" t="s">
        <v>152</v>
      </c>
      <c r="C57" s="535"/>
      <c r="D57" s="535"/>
      <c r="E57" s="544"/>
      <c r="F57" s="537"/>
      <c r="G57" s="545">
        <f>G58+G75+G87+G89</f>
        <v>1585000</v>
      </c>
      <c r="H57" s="545">
        <f t="shared" ref="H57:I57" si="411">H58+H75+H87+H89</f>
        <v>20816000</v>
      </c>
      <c r="I57" s="545">
        <f t="shared" si="411"/>
        <v>1400000</v>
      </c>
      <c r="J57" s="545">
        <f t="shared" ref="J57:BS57" si="412">J58+J75+J87+J89</f>
        <v>23801000</v>
      </c>
      <c r="K57" s="545">
        <f>K58+K75+K87+K89</f>
        <v>975000</v>
      </c>
      <c r="L57" s="545">
        <f t="shared" ref="L57" si="413">L58+L75+L87+L89</f>
        <v>-975000</v>
      </c>
      <c r="M57" s="545">
        <f t="shared" ref="M57" si="414">M58+M75+M87+M89</f>
        <v>0</v>
      </c>
      <c r="N57" s="545">
        <f t="shared" ref="N57" si="415">N58+N75+N87+N89</f>
        <v>0</v>
      </c>
      <c r="O57" s="545">
        <f>O58+O75+O87+O89</f>
        <v>0</v>
      </c>
      <c r="P57" s="545">
        <f t="shared" ref="P57" si="416">P58+P75+P87+P89</f>
        <v>0</v>
      </c>
      <c r="Q57" s="545">
        <f t="shared" ref="Q57" si="417">Q58+Q75+Q87+Q89</f>
        <v>0</v>
      </c>
      <c r="R57" s="545">
        <f t="shared" ref="R57" si="418">R58+R75+R87+R89</f>
        <v>0</v>
      </c>
      <c r="S57" s="545">
        <f>S58+S75+S87+S89</f>
        <v>0</v>
      </c>
      <c r="T57" s="545">
        <f t="shared" ref="T57" si="419">T58+T75+T87+T89</f>
        <v>263600</v>
      </c>
      <c r="U57" s="545">
        <f t="shared" ref="U57" si="420">U58+U75+U87+U89</f>
        <v>0</v>
      </c>
      <c r="V57" s="545">
        <f t="shared" ref="V57" si="421">V58+V75+V87+V89</f>
        <v>263600</v>
      </c>
      <c r="W57" s="545">
        <f t="shared" si="412"/>
        <v>2560000</v>
      </c>
      <c r="X57" s="545">
        <f t="shared" si="412"/>
        <v>20104600</v>
      </c>
      <c r="Y57" s="545">
        <f t="shared" si="412"/>
        <v>1400000</v>
      </c>
      <c r="Z57" s="546">
        <f t="shared" si="412"/>
        <v>24064600</v>
      </c>
      <c r="AA57" s="545">
        <f t="shared" si="412"/>
        <v>1130703</v>
      </c>
      <c r="AB57" s="545">
        <f t="shared" si="412"/>
        <v>1035731.81</v>
      </c>
      <c r="AC57" s="545">
        <f t="shared" si="412"/>
        <v>0</v>
      </c>
      <c r="AD57" s="545">
        <f t="shared" si="412"/>
        <v>2166434.81</v>
      </c>
      <c r="AE57" s="545">
        <f>AE58+AE75+AE87+AE89</f>
        <v>1090023</v>
      </c>
      <c r="AF57" s="545">
        <f t="shared" ref="AF57:AH57" si="422">AF58+AF75+AF87+AF89</f>
        <v>1242745.28</v>
      </c>
      <c r="AG57" s="545">
        <f t="shared" si="422"/>
        <v>0</v>
      </c>
      <c r="AH57" s="545">
        <f t="shared" si="422"/>
        <v>2332768.2800000003</v>
      </c>
      <c r="AI57" s="545">
        <f>AI58+AI75+AI87+AI89</f>
        <v>590199</v>
      </c>
      <c r="AJ57" s="545">
        <f t="shared" ref="AJ57:AL57" si="423">AJ58+AJ75+AJ87+AJ89</f>
        <v>3454014.8</v>
      </c>
      <c r="AK57" s="545">
        <f t="shared" si="423"/>
        <v>1400000</v>
      </c>
      <c r="AL57" s="545">
        <f t="shared" si="423"/>
        <v>5444213.7999999998</v>
      </c>
      <c r="AM57" s="545">
        <f>AM58+AM75+AM87+AM89</f>
        <v>-253925</v>
      </c>
      <c r="AN57" s="545">
        <f t="shared" ref="AN57:AP57" si="424">AN58+AN75+AN87+AN89</f>
        <v>11746334.33</v>
      </c>
      <c r="AO57" s="545">
        <f t="shared" si="424"/>
        <v>0</v>
      </c>
      <c r="AP57" s="545">
        <f t="shared" si="424"/>
        <v>11492409.330000002</v>
      </c>
      <c r="AQ57" s="545">
        <f t="shared" si="412"/>
        <v>2557000</v>
      </c>
      <c r="AR57" s="545">
        <f t="shared" si="412"/>
        <v>17478826.220000003</v>
      </c>
      <c r="AS57" s="545">
        <f t="shared" si="412"/>
        <v>1400000</v>
      </c>
      <c r="AT57" s="546">
        <f t="shared" si="412"/>
        <v>21435826.219999999</v>
      </c>
      <c r="AU57" s="545">
        <f t="shared" si="412"/>
        <v>860491</v>
      </c>
      <c r="AV57" s="545">
        <f t="shared" si="412"/>
        <v>835871.8899999999</v>
      </c>
      <c r="AW57" s="545">
        <f t="shared" si="412"/>
        <v>0</v>
      </c>
      <c r="AX57" s="545">
        <f t="shared" si="412"/>
        <v>1696362.89</v>
      </c>
      <c r="AY57" s="545">
        <f>AY58+AY75+AY87+AY89</f>
        <v>1172921</v>
      </c>
      <c r="AZ57" s="545">
        <f t="shared" ref="AZ57" si="425">AZ58+AZ75+AZ87+AZ89</f>
        <v>1442105.2</v>
      </c>
      <c r="BA57" s="545">
        <f t="shared" ref="BA57" si="426">BA58+BA75+BA87+BA89</f>
        <v>0</v>
      </c>
      <c r="BB57" s="545">
        <f t="shared" ref="BB57" si="427">BB58+BB75+BB87+BB89</f>
        <v>2615026.2000000002</v>
      </c>
      <c r="BC57" s="545">
        <f>BC58+BC75+BC87+BC89</f>
        <v>774188</v>
      </c>
      <c r="BD57" s="545">
        <f t="shared" ref="BD57" si="428">BD58+BD75+BD87+BD89</f>
        <v>3280714.8</v>
      </c>
      <c r="BE57" s="545">
        <f t="shared" ref="BE57" si="429">BE58+BE75+BE87+BE89</f>
        <v>1400000</v>
      </c>
      <c r="BF57" s="545">
        <f t="shared" ref="BF57" si="430">BF58+BF75+BF87+BF89</f>
        <v>5454902.7999999998</v>
      </c>
      <c r="BG57" s="545">
        <f>BG58+BG75+BG87+BG89</f>
        <v>-250600</v>
      </c>
      <c r="BH57" s="545">
        <f t="shared" ref="BH57" si="431">BH58+BH75+BH87+BH89</f>
        <v>10167030.74</v>
      </c>
      <c r="BI57" s="545">
        <f t="shared" ref="BI57" si="432">BI58+BI75+BI87+BI89</f>
        <v>0</v>
      </c>
      <c r="BJ57" s="545">
        <f t="shared" ref="BJ57" si="433">BJ58+BJ75+BJ87+BJ89</f>
        <v>9916430.7400000002</v>
      </c>
      <c r="BK57" s="545">
        <f t="shared" si="412"/>
        <v>2557000</v>
      </c>
      <c r="BL57" s="545">
        <f t="shared" si="412"/>
        <v>15725722.629999999</v>
      </c>
      <c r="BM57" s="545">
        <f t="shared" si="412"/>
        <v>1400000</v>
      </c>
      <c r="BN57" s="545">
        <f t="shared" si="412"/>
        <v>19682722.629999999</v>
      </c>
      <c r="BO57" s="547">
        <f t="shared" si="412"/>
        <v>0</v>
      </c>
      <c r="BP57" s="545">
        <f t="shared" si="412"/>
        <v>3000</v>
      </c>
      <c r="BQ57" s="545">
        <f t="shared" si="412"/>
        <v>2625773.7799999993</v>
      </c>
      <c r="BR57" s="545">
        <f t="shared" si="412"/>
        <v>0</v>
      </c>
      <c r="BS57" s="546">
        <f t="shared" si="412"/>
        <v>2628773.7799999993</v>
      </c>
      <c r="BT57" s="545">
        <f>BT58+BT75+BT87+BT89</f>
        <v>0</v>
      </c>
      <c r="BU57" s="545">
        <f t="shared" ref="BU57" si="434">BU58+BU75+BU87+BU89</f>
        <v>0</v>
      </c>
      <c r="BV57" s="545">
        <f t="shared" ref="BV57" si="435">BV58+BV75+BV87+BV89</f>
        <v>0</v>
      </c>
      <c r="BW57" s="545">
        <f t="shared" ref="BW57" si="436">BW58+BW75+BW87+BW89</f>
        <v>0</v>
      </c>
      <c r="BX57" s="545">
        <f t="shared" ref="BX57:CA57" si="437">BX58+BX75+BX87+BX89</f>
        <v>0</v>
      </c>
      <c r="BY57" s="545">
        <f t="shared" si="437"/>
        <v>1753103.5900000017</v>
      </c>
      <c r="BZ57" s="545">
        <f t="shared" si="437"/>
        <v>0</v>
      </c>
      <c r="CA57" s="548">
        <f t="shared" si="437"/>
        <v>1753103.5900000017</v>
      </c>
    </row>
    <row r="58" spans="1:79" ht="14.1" customHeight="1" x14ac:dyDescent="0.2">
      <c r="A58" s="559" t="s">
        <v>153</v>
      </c>
      <c r="B58" s="523" t="s">
        <v>154</v>
      </c>
      <c r="C58" s="523"/>
      <c r="D58" s="523"/>
      <c r="E58" s="528"/>
      <c r="F58" s="525"/>
      <c r="G58" s="555">
        <f>G59+G69</f>
        <v>1585000</v>
      </c>
      <c r="H58" s="555">
        <f t="shared" ref="H58:I58" si="438">H59+H69</f>
        <v>18138000</v>
      </c>
      <c r="I58" s="555">
        <f t="shared" si="438"/>
        <v>0</v>
      </c>
      <c r="J58" s="555">
        <f t="shared" ref="J58:BS58" si="439">J59+J69</f>
        <v>19723000</v>
      </c>
      <c r="K58" s="555">
        <f>K59+K69</f>
        <v>975000</v>
      </c>
      <c r="L58" s="555">
        <f t="shared" ref="L58" si="440">L59+L69</f>
        <v>-1441755.18</v>
      </c>
      <c r="M58" s="555">
        <f t="shared" ref="M58:N58" si="441">M59+M69</f>
        <v>0</v>
      </c>
      <c r="N58" s="555">
        <f t="shared" si="441"/>
        <v>-466755.18</v>
      </c>
      <c r="O58" s="555">
        <f>O59+O69</f>
        <v>0</v>
      </c>
      <c r="P58" s="555">
        <f t="shared" ref="P58" si="442">P59+P69</f>
        <v>0</v>
      </c>
      <c r="Q58" s="555">
        <f t="shared" ref="Q58:R58" si="443">Q59+Q69</f>
        <v>0</v>
      </c>
      <c r="R58" s="555">
        <f t="shared" si="443"/>
        <v>0</v>
      </c>
      <c r="S58" s="555">
        <f>S59+S69</f>
        <v>0</v>
      </c>
      <c r="T58" s="555">
        <f t="shared" ref="T58" si="444">T59+T69</f>
        <v>263600</v>
      </c>
      <c r="U58" s="555">
        <f t="shared" ref="U58:V58" si="445">U59+U69</f>
        <v>0</v>
      </c>
      <c r="V58" s="555">
        <f t="shared" si="445"/>
        <v>263600</v>
      </c>
      <c r="W58" s="555">
        <f t="shared" si="439"/>
        <v>2560000</v>
      </c>
      <c r="X58" s="555">
        <f t="shared" si="439"/>
        <v>16959844.82</v>
      </c>
      <c r="Y58" s="555">
        <f t="shared" si="439"/>
        <v>0</v>
      </c>
      <c r="Z58" s="556">
        <f t="shared" si="439"/>
        <v>19519844.82</v>
      </c>
      <c r="AA58" s="555">
        <f t="shared" si="439"/>
        <v>1130703</v>
      </c>
      <c r="AB58" s="555">
        <f t="shared" si="439"/>
        <v>906290.85000000009</v>
      </c>
      <c r="AC58" s="555">
        <f t="shared" si="439"/>
        <v>0</v>
      </c>
      <c r="AD58" s="555">
        <f t="shared" si="439"/>
        <v>2036993.85</v>
      </c>
      <c r="AE58" s="555">
        <f>AE59+AE69</f>
        <v>1090023</v>
      </c>
      <c r="AF58" s="555">
        <f t="shared" ref="AF58:AH58" si="446">AF59+AF69</f>
        <v>973006.53</v>
      </c>
      <c r="AG58" s="555">
        <f t="shared" si="446"/>
        <v>0</v>
      </c>
      <c r="AH58" s="555">
        <f t="shared" si="446"/>
        <v>2063029.53</v>
      </c>
      <c r="AI58" s="555">
        <f>AI59+AI69</f>
        <v>590199</v>
      </c>
      <c r="AJ58" s="555">
        <f t="shared" ref="AJ58:AL58" si="447">AJ59+AJ69</f>
        <v>3006824.8</v>
      </c>
      <c r="AK58" s="555">
        <f t="shared" si="447"/>
        <v>1400000</v>
      </c>
      <c r="AL58" s="555">
        <f t="shared" si="447"/>
        <v>4997023.8</v>
      </c>
      <c r="AM58" s="555">
        <f>AM59+AM69</f>
        <v>-253925</v>
      </c>
      <c r="AN58" s="555">
        <f t="shared" ref="AN58:AP58" si="448">AN59+AN69</f>
        <v>9849020.6400000006</v>
      </c>
      <c r="AO58" s="555">
        <f t="shared" si="448"/>
        <v>-1400000</v>
      </c>
      <c r="AP58" s="555">
        <f t="shared" si="448"/>
        <v>8195095.6400000015</v>
      </c>
      <c r="AQ58" s="555">
        <f t="shared" si="439"/>
        <v>2557000</v>
      </c>
      <c r="AR58" s="555">
        <f t="shared" si="439"/>
        <v>14735142.82</v>
      </c>
      <c r="AS58" s="555">
        <f t="shared" si="439"/>
        <v>0</v>
      </c>
      <c r="AT58" s="556">
        <f t="shared" si="439"/>
        <v>17292142.82</v>
      </c>
      <c r="AU58" s="555">
        <f t="shared" si="439"/>
        <v>860491</v>
      </c>
      <c r="AV58" s="555">
        <f t="shared" si="439"/>
        <v>706430.92999999993</v>
      </c>
      <c r="AW58" s="555">
        <f t="shared" si="439"/>
        <v>0</v>
      </c>
      <c r="AX58" s="555">
        <f t="shared" si="439"/>
        <v>1566921.93</v>
      </c>
      <c r="AY58" s="555">
        <f>AY59+AY69</f>
        <v>1172921</v>
      </c>
      <c r="AZ58" s="555">
        <f t="shared" ref="AZ58" si="449">AZ59+AZ69</f>
        <v>1172366.45</v>
      </c>
      <c r="BA58" s="555">
        <f t="shared" ref="BA58:BB58" si="450">BA59+BA69</f>
        <v>0</v>
      </c>
      <c r="BB58" s="555">
        <f t="shared" si="450"/>
        <v>2345287.4500000002</v>
      </c>
      <c r="BC58" s="555">
        <f>BC59+BC69</f>
        <v>774188</v>
      </c>
      <c r="BD58" s="555">
        <f t="shared" ref="BD58" si="451">BD59+BD69</f>
        <v>2833524.8</v>
      </c>
      <c r="BE58" s="555">
        <f t="shared" ref="BE58:BF58" si="452">BE59+BE69</f>
        <v>1400000</v>
      </c>
      <c r="BF58" s="555">
        <f t="shared" si="452"/>
        <v>5007712.8</v>
      </c>
      <c r="BG58" s="555">
        <f>BG59+BG69</f>
        <v>-250600</v>
      </c>
      <c r="BH58" s="555">
        <f t="shared" ref="BH58" si="453">BH59+BH69</f>
        <v>8691494.0899999999</v>
      </c>
      <c r="BI58" s="555">
        <f t="shared" ref="BI58:BJ58" si="454">BI59+BI69</f>
        <v>-1400000</v>
      </c>
      <c r="BJ58" s="555">
        <f t="shared" si="454"/>
        <v>7040894.0899999999</v>
      </c>
      <c r="BK58" s="555">
        <f t="shared" si="439"/>
        <v>2557000</v>
      </c>
      <c r="BL58" s="555">
        <f t="shared" si="439"/>
        <v>13403816.27</v>
      </c>
      <c r="BM58" s="555">
        <f t="shared" si="439"/>
        <v>0</v>
      </c>
      <c r="BN58" s="555">
        <f t="shared" si="439"/>
        <v>15960816.27</v>
      </c>
      <c r="BO58" s="557">
        <f t="shared" si="439"/>
        <v>0</v>
      </c>
      <c r="BP58" s="555">
        <f t="shared" si="439"/>
        <v>3000</v>
      </c>
      <c r="BQ58" s="555">
        <f t="shared" si="439"/>
        <v>2224701.9999999991</v>
      </c>
      <c r="BR58" s="555">
        <f t="shared" si="439"/>
        <v>0</v>
      </c>
      <c r="BS58" s="556">
        <f t="shared" si="439"/>
        <v>2227701.9999999991</v>
      </c>
      <c r="BT58" s="555">
        <f>BT59+BT69</f>
        <v>0</v>
      </c>
      <c r="BU58" s="555">
        <f t="shared" ref="BU58" si="455">BU59+BU69</f>
        <v>0</v>
      </c>
      <c r="BV58" s="555">
        <f t="shared" ref="BV58:BW58" si="456">BV59+BV69</f>
        <v>0</v>
      </c>
      <c r="BW58" s="555">
        <f t="shared" si="456"/>
        <v>0</v>
      </c>
      <c r="BX58" s="555">
        <f t="shared" ref="BX58:CA58" si="457">BX59+BX69</f>
        <v>0</v>
      </c>
      <c r="BY58" s="555">
        <f t="shared" si="457"/>
        <v>1331326.5500000017</v>
      </c>
      <c r="BZ58" s="555">
        <f t="shared" si="457"/>
        <v>0</v>
      </c>
      <c r="CA58" s="558">
        <f t="shared" si="457"/>
        <v>1331326.5500000017</v>
      </c>
    </row>
    <row r="59" spans="1:79" ht="14.1" customHeight="1" x14ac:dyDescent="0.2">
      <c r="A59" s="123" t="s">
        <v>155</v>
      </c>
      <c r="B59" s="74" t="s">
        <v>126</v>
      </c>
      <c r="C59" s="73" t="s">
        <v>156</v>
      </c>
      <c r="D59" s="73"/>
      <c r="E59" s="76"/>
      <c r="F59" s="87"/>
      <c r="G59" s="155">
        <f>G60+G64+G65+G66+G67+G68</f>
        <v>1585000</v>
      </c>
      <c r="H59" s="155">
        <f>H60+H64+H65+H66+H67+H68</f>
        <v>15980000</v>
      </c>
      <c r="I59" s="155">
        <f t="shared" ref="I59" si="458">I60+I64+I65+I66+I67+I68</f>
        <v>0</v>
      </c>
      <c r="J59" s="155">
        <f t="shared" ref="J59:BS59" si="459">J60+J64+J65+J66+J67+J68</f>
        <v>17565000</v>
      </c>
      <c r="K59" s="155">
        <f>K60+K64+K65+K66+K67+K68</f>
        <v>975000</v>
      </c>
      <c r="L59" s="155">
        <f t="shared" ref="L59" si="460">L60+L64+L65+L66+L67+L68</f>
        <v>-1379955.18</v>
      </c>
      <c r="M59" s="155">
        <f t="shared" ref="M59:N59" si="461">M60+M64+M65+M66+M67+M68</f>
        <v>0</v>
      </c>
      <c r="N59" s="155">
        <f t="shared" si="461"/>
        <v>-404955.18</v>
      </c>
      <c r="O59" s="155">
        <f>O60+O64+O65+O66+O67+O68</f>
        <v>0</v>
      </c>
      <c r="P59" s="155">
        <f t="shared" ref="P59" si="462">P60+P64+P65+P66+P67+P68</f>
        <v>0</v>
      </c>
      <c r="Q59" s="155">
        <f t="shared" ref="Q59:R59" si="463">Q60+Q64+Q65+Q66+Q67+Q68</f>
        <v>0</v>
      </c>
      <c r="R59" s="155">
        <f t="shared" si="463"/>
        <v>0</v>
      </c>
      <c r="S59" s="155">
        <f>S60+S64+S65+S66+S67+S68</f>
        <v>0</v>
      </c>
      <c r="T59" s="155">
        <f t="shared" ref="T59" si="464">T60+T64+T65+T66+T67+T68</f>
        <v>263600</v>
      </c>
      <c r="U59" s="155">
        <f t="shared" ref="U59:V59" si="465">U60+U64+U65+U66+U67+U68</f>
        <v>0</v>
      </c>
      <c r="V59" s="155">
        <f t="shared" si="465"/>
        <v>263600</v>
      </c>
      <c r="W59" s="155">
        <f t="shared" si="459"/>
        <v>2560000</v>
      </c>
      <c r="X59" s="155">
        <f t="shared" si="459"/>
        <v>14863644.82</v>
      </c>
      <c r="Y59" s="155">
        <f t="shared" si="459"/>
        <v>0</v>
      </c>
      <c r="Z59" s="88">
        <f t="shared" si="459"/>
        <v>17423644.82</v>
      </c>
      <c r="AA59" s="155">
        <f t="shared" si="459"/>
        <v>1130703</v>
      </c>
      <c r="AB59" s="155">
        <f t="shared" si="459"/>
        <v>779288.58000000007</v>
      </c>
      <c r="AC59" s="155">
        <f t="shared" si="459"/>
        <v>0</v>
      </c>
      <c r="AD59" s="155">
        <f t="shared" si="459"/>
        <v>1909991.58</v>
      </c>
      <c r="AE59" s="155">
        <f>AE60+AE64+AE65+AE66+AE67+AE68</f>
        <v>1090023</v>
      </c>
      <c r="AF59" s="155">
        <f t="shared" ref="AF59:AH59" si="466">AF60+AF64+AF65+AF66+AF67+AF68</f>
        <v>441613.03</v>
      </c>
      <c r="AG59" s="155">
        <f t="shared" si="466"/>
        <v>0</v>
      </c>
      <c r="AH59" s="155">
        <f t="shared" si="466"/>
        <v>1531636.03</v>
      </c>
      <c r="AI59" s="155">
        <f>AI60+AI64+AI65+AI66+AI67+AI68</f>
        <v>590199</v>
      </c>
      <c r="AJ59" s="155">
        <f t="shared" ref="AJ59:AL59" si="467">AJ60+AJ64+AJ65+AJ66+AJ67+AJ68</f>
        <v>2472740.77</v>
      </c>
      <c r="AK59" s="155">
        <f t="shared" si="467"/>
        <v>1400000</v>
      </c>
      <c r="AL59" s="155">
        <f t="shared" si="467"/>
        <v>4462939.7699999996</v>
      </c>
      <c r="AM59" s="155">
        <f>AM60+AM64+AM65+AM66+AM67+AM68</f>
        <v>-253925</v>
      </c>
      <c r="AN59" s="155">
        <f t="shared" ref="AN59:AP59" si="468">AN60+AN64+AN65+AN66+AN67+AN68</f>
        <v>9257116.4400000013</v>
      </c>
      <c r="AO59" s="155">
        <f t="shared" si="468"/>
        <v>-1400000</v>
      </c>
      <c r="AP59" s="155">
        <f t="shared" si="468"/>
        <v>7603191.4400000013</v>
      </c>
      <c r="AQ59" s="155">
        <f t="shared" si="459"/>
        <v>2557000</v>
      </c>
      <c r="AR59" s="155">
        <f t="shared" si="459"/>
        <v>12950758.82</v>
      </c>
      <c r="AS59" s="155">
        <f t="shared" si="459"/>
        <v>0</v>
      </c>
      <c r="AT59" s="88">
        <f t="shared" si="459"/>
        <v>15507758.82</v>
      </c>
      <c r="AU59" s="155">
        <f t="shared" si="459"/>
        <v>860491</v>
      </c>
      <c r="AV59" s="155">
        <f t="shared" si="459"/>
        <v>690885.16999999993</v>
      </c>
      <c r="AW59" s="155">
        <f t="shared" si="459"/>
        <v>0</v>
      </c>
      <c r="AX59" s="155">
        <f t="shared" si="459"/>
        <v>1551376.17</v>
      </c>
      <c r="AY59" s="155">
        <f>AY60+AY64+AY65+AY66+AY67+AY68</f>
        <v>1172921</v>
      </c>
      <c r="AZ59" s="155">
        <f t="shared" ref="AZ59" si="469">AZ60+AZ64+AZ65+AZ66+AZ67+AZ68</f>
        <v>530416.43999999994</v>
      </c>
      <c r="BA59" s="155">
        <f t="shared" ref="BA59:BB59" si="470">BA60+BA64+BA65+BA66+BA67+BA68</f>
        <v>0</v>
      </c>
      <c r="BB59" s="155">
        <f t="shared" si="470"/>
        <v>1703337.44</v>
      </c>
      <c r="BC59" s="155">
        <f>BC60+BC64+BC65+BC66+BC67+BC68</f>
        <v>774188</v>
      </c>
      <c r="BD59" s="155">
        <f t="shared" ref="BD59" si="471">BD60+BD64+BD65+BD66+BD67+BD68</f>
        <v>2298540.77</v>
      </c>
      <c r="BE59" s="155">
        <f t="shared" ref="BE59:BF59" si="472">BE60+BE64+BE65+BE66+BE67+BE68</f>
        <v>1400000</v>
      </c>
      <c r="BF59" s="155">
        <f t="shared" si="472"/>
        <v>4472728.7699999996</v>
      </c>
      <c r="BG59" s="155">
        <f>BG60+BG64+BG65+BG66+BG67+BG68</f>
        <v>-250600</v>
      </c>
      <c r="BH59" s="155">
        <f t="shared" ref="BH59" si="473">BH60+BH64+BH65+BH66+BH67+BH68</f>
        <v>8171582.75</v>
      </c>
      <c r="BI59" s="155">
        <f t="shared" ref="BI59:BJ59" si="474">BI60+BI64+BI65+BI66+BI67+BI68</f>
        <v>-1400000</v>
      </c>
      <c r="BJ59" s="155">
        <f t="shared" si="474"/>
        <v>6520982.75</v>
      </c>
      <c r="BK59" s="155">
        <f t="shared" si="459"/>
        <v>2557000</v>
      </c>
      <c r="BL59" s="155">
        <f t="shared" si="459"/>
        <v>11691425.129999999</v>
      </c>
      <c r="BM59" s="155">
        <f t="shared" si="459"/>
        <v>0</v>
      </c>
      <c r="BN59" s="155">
        <f t="shared" si="459"/>
        <v>14248425.129999999</v>
      </c>
      <c r="BO59" s="171">
        <f t="shared" si="459"/>
        <v>0</v>
      </c>
      <c r="BP59" s="155">
        <f t="shared" si="459"/>
        <v>3000</v>
      </c>
      <c r="BQ59" s="155">
        <f t="shared" si="459"/>
        <v>1912885.9999999988</v>
      </c>
      <c r="BR59" s="155">
        <f t="shared" si="459"/>
        <v>0</v>
      </c>
      <c r="BS59" s="88">
        <f t="shared" si="459"/>
        <v>1915885.9999999988</v>
      </c>
      <c r="BT59" s="155">
        <f>BT60+BT64+BT65+BT66+BT67+BT68</f>
        <v>0</v>
      </c>
      <c r="BU59" s="155">
        <f t="shared" ref="BU59" si="475">BU60+BU64+BU65+BU66+BU67+BU68</f>
        <v>0</v>
      </c>
      <c r="BV59" s="155">
        <f t="shared" ref="BV59:BW59" si="476">BV60+BV64+BV65+BV66+BV67+BV68</f>
        <v>0</v>
      </c>
      <c r="BW59" s="155">
        <f t="shared" si="476"/>
        <v>0</v>
      </c>
      <c r="BX59" s="155">
        <f t="shared" ref="BX59:CA59" si="477">BX60+BX64+BX65+BX66+BX67+BX68</f>
        <v>0</v>
      </c>
      <c r="BY59" s="155">
        <f t="shared" si="477"/>
        <v>1259333.6900000013</v>
      </c>
      <c r="BZ59" s="155">
        <f t="shared" si="477"/>
        <v>0</v>
      </c>
      <c r="CA59" s="129">
        <f t="shared" si="477"/>
        <v>1259333.6900000013</v>
      </c>
    </row>
    <row r="60" spans="1:79" ht="14.1" customHeight="1" x14ac:dyDescent="0.2">
      <c r="A60" s="125" t="s">
        <v>157</v>
      </c>
      <c r="B60" s="81"/>
      <c r="C60" s="81" t="s">
        <v>146</v>
      </c>
      <c r="D60" s="69" t="s">
        <v>560</v>
      </c>
      <c r="E60" s="79"/>
      <c r="G60" s="154">
        <f>SUM(G61:G63)</f>
        <v>1585000</v>
      </c>
      <c r="H60" s="154">
        <f>SUM(H61:H63)</f>
        <v>9819000</v>
      </c>
      <c r="I60" s="154">
        <f t="shared" ref="I60" si="478">SUM(I61:I63)</f>
        <v>0</v>
      </c>
      <c r="J60" s="154">
        <f t="shared" ref="J60:BS60" si="479">SUM(J61:J63)</f>
        <v>11404000</v>
      </c>
      <c r="K60" s="154">
        <f>SUM(K61:K63)</f>
        <v>0</v>
      </c>
      <c r="L60" s="154">
        <f t="shared" ref="L60" si="480">SUM(L61:L63)</f>
        <v>-238955.18</v>
      </c>
      <c r="M60" s="154">
        <f t="shared" ref="M60" si="481">SUM(M61:M63)</f>
        <v>0</v>
      </c>
      <c r="N60" s="154">
        <f t="shared" ref="N60" si="482">SUM(N61:N63)</f>
        <v>-238955.18</v>
      </c>
      <c r="O60" s="154">
        <f>SUM(O61:O63)</f>
        <v>0</v>
      </c>
      <c r="P60" s="154">
        <f t="shared" ref="P60" si="483">SUM(P61:P63)</f>
        <v>0</v>
      </c>
      <c r="Q60" s="154">
        <f t="shared" ref="Q60" si="484">SUM(Q61:Q63)</f>
        <v>0</v>
      </c>
      <c r="R60" s="154">
        <f t="shared" ref="R60" si="485">SUM(R61:R63)</f>
        <v>0</v>
      </c>
      <c r="S60" s="154">
        <f>SUM(S61:S63)</f>
        <v>0</v>
      </c>
      <c r="T60" s="154">
        <f t="shared" ref="T60" si="486">SUM(T61:T63)</f>
        <v>263600</v>
      </c>
      <c r="U60" s="154">
        <f t="shared" ref="U60" si="487">SUM(U61:U63)</f>
        <v>0</v>
      </c>
      <c r="V60" s="154">
        <f t="shared" ref="V60" si="488">SUM(V61:V63)</f>
        <v>263600</v>
      </c>
      <c r="W60" s="154">
        <f t="shared" si="479"/>
        <v>1585000</v>
      </c>
      <c r="X60" s="154">
        <f t="shared" si="479"/>
        <v>9843644.8200000003</v>
      </c>
      <c r="Y60" s="154">
        <f t="shared" si="479"/>
        <v>0</v>
      </c>
      <c r="Z60" s="84">
        <f t="shared" si="479"/>
        <v>11428644.82</v>
      </c>
      <c r="AA60" s="154">
        <f t="shared" si="479"/>
        <v>1130703</v>
      </c>
      <c r="AB60" s="154">
        <f t="shared" si="479"/>
        <v>369674.58000000007</v>
      </c>
      <c r="AC60" s="154">
        <f t="shared" si="479"/>
        <v>0</v>
      </c>
      <c r="AD60" s="154">
        <f t="shared" si="479"/>
        <v>1500377.58</v>
      </c>
      <c r="AE60" s="154">
        <f>SUM(AE61:AE63)</f>
        <v>1090023</v>
      </c>
      <c r="AF60" s="154">
        <f t="shared" ref="AF60:AH60" si="489">SUM(AF61:AF63)</f>
        <v>416663.31</v>
      </c>
      <c r="AG60" s="154">
        <f t="shared" si="489"/>
        <v>0</v>
      </c>
      <c r="AH60" s="154">
        <f t="shared" si="489"/>
        <v>1506686.31</v>
      </c>
      <c r="AI60" s="154">
        <f>SUM(AI61:AI63)</f>
        <v>590199</v>
      </c>
      <c r="AJ60" s="154">
        <f t="shared" ref="AJ60:AL60" si="490">SUM(AJ61:AJ63)</f>
        <v>1345449.25</v>
      </c>
      <c r="AK60" s="154">
        <f t="shared" si="490"/>
        <v>1400000</v>
      </c>
      <c r="AL60" s="154">
        <f t="shared" si="490"/>
        <v>3335648.25</v>
      </c>
      <c r="AM60" s="154">
        <f>SUM(AM61:AM63)</f>
        <v>-1228925</v>
      </c>
      <c r="AN60" s="154">
        <f t="shared" ref="AN60:AX60" si="491">SUM(AN61:AN63)</f>
        <v>6123238.6800000006</v>
      </c>
      <c r="AO60" s="154">
        <f t="shared" si="491"/>
        <v>-1400000</v>
      </c>
      <c r="AP60" s="154">
        <f t="shared" si="491"/>
        <v>3494313.6800000006</v>
      </c>
      <c r="AQ60" s="154">
        <f t="shared" si="491"/>
        <v>1582000</v>
      </c>
      <c r="AR60" s="154">
        <f t="shared" si="491"/>
        <v>8255025.8200000012</v>
      </c>
      <c r="AS60" s="154">
        <f t="shared" si="491"/>
        <v>0</v>
      </c>
      <c r="AT60" s="84">
        <f t="shared" si="491"/>
        <v>9837025.8200000003</v>
      </c>
      <c r="AU60" s="154">
        <f t="shared" si="491"/>
        <v>860491</v>
      </c>
      <c r="AV60" s="154">
        <f t="shared" si="491"/>
        <v>315921.17</v>
      </c>
      <c r="AW60" s="154">
        <f t="shared" si="491"/>
        <v>0</v>
      </c>
      <c r="AX60" s="154">
        <f t="shared" si="491"/>
        <v>1176412.17</v>
      </c>
      <c r="AY60" s="154">
        <f>SUM(AY61:AY63)</f>
        <v>1172921</v>
      </c>
      <c r="AZ60" s="154">
        <f t="shared" ref="AZ60" si="492">SUM(AZ61:AZ63)</f>
        <v>470816.72</v>
      </c>
      <c r="BA60" s="154">
        <f t="shared" ref="BA60" si="493">SUM(BA61:BA63)</f>
        <v>0</v>
      </c>
      <c r="BB60" s="154">
        <f t="shared" ref="BB60" si="494">SUM(BB61:BB63)</f>
        <v>1643737.72</v>
      </c>
      <c r="BC60" s="154">
        <f>SUM(BC61:BC63)</f>
        <v>774188</v>
      </c>
      <c r="BD60" s="154">
        <f t="shared" ref="BD60" si="495">SUM(BD61:BD63)</f>
        <v>1344849.25</v>
      </c>
      <c r="BE60" s="154">
        <f t="shared" ref="BE60" si="496">SUM(BE61:BE63)</f>
        <v>1400000</v>
      </c>
      <c r="BF60" s="154">
        <f t="shared" ref="BF60" si="497">SUM(BF61:BF63)</f>
        <v>3519037.25</v>
      </c>
      <c r="BG60" s="154">
        <f>SUM(BG61:BG63)</f>
        <v>-1225600</v>
      </c>
      <c r="BH60" s="154">
        <f t="shared" ref="BH60" si="498">SUM(BH61:BH63)</f>
        <v>5100846.6500000004</v>
      </c>
      <c r="BI60" s="154">
        <f t="shared" ref="BI60" si="499">SUM(BI61:BI63)</f>
        <v>-1400000</v>
      </c>
      <c r="BJ60" s="154">
        <f t="shared" ref="BJ60" si="500">SUM(BJ61:BJ63)</f>
        <v>2475246.6500000004</v>
      </c>
      <c r="BK60" s="154">
        <f t="shared" si="479"/>
        <v>1582000</v>
      </c>
      <c r="BL60" s="154">
        <f t="shared" si="479"/>
        <v>7232433.79</v>
      </c>
      <c r="BM60" s="154">
        <f t="shared" si="479"/>
        <v>0</v>
      </c>
      <c r="BN60" s="154">
        <f t="shared" si="479"/>
        <v>8814433.7899999991</v>
      </c>
      <c r="BO60" s="170">
        <f t="shared" si="479"/>
        <v>0</v>
      </c>
      <c r="BP60" s="154">
        <f t="shared" si="479"/>
        <v>3000</v>
      </c>
      <c r="BQ60" s="154">
        <f t="shared" si="479"/>
        <v>1588618.9999999988</v>
      </c>
      <c r="BR60" s="154">
        <f t="shared" si="479"/>
        <v>0</v>
      </c>
      <c r="BS60" s="84">
        <f t="shared" si="479"/>
        <v>1591618.9999999988</v>
      </c>
      <c r="BT60" s="154">
        <f>SUM(BT61:BT63)</f>
        <v>0</v>
      </c>
      <c r="BU60" s="154">
        <f t="shared" ref="BU60" si="501">SUM(BU61:BU63)</f>
        <v>0</v>
      </c>
      <c r="BV60" s="154">
        <f t="shared" ref="BV60" si="502">SUM(BV61:BV63)</f>
        <v>0</v>
      </c>
      <c r="BW60" s="154">
        <f t="shared" ref="BW60" si="503">SUM(BW61:BW63)</f>
        <v>0</v>
      </c>
      <c r="BX60" s="154">
        <f t="shared" ref="BX60:CA60" si="504">SUM(BX61:BX63)</f>
        <v>0</v>
      </c>
      <c r="BY60" s="154">
        <f t="shared" si="504"/>
        <v>1022592.0300000012</v>
      </c>
      <c r="BZ60" s="154">
        <f t="shared" si="504"/>
        <v>0</v>
      </c>
      <c r="CA60" s="126">
        <f t="shared" si="504"/>
        <v>1022592.0300000012</v>
      </c>
    </row>
    <row r="61" spans="1:79" ht="14.1" customHeight="1" x14ac:dyDescent="0.2">
      <c r="A61" s="125" t="s">
        <v>561</v>
      </c>
      <c r="B61" s="78"/>
      <c r="C61" s="78"/>
      <c r="D61" s="78" t="s">
        <v>524</v>
      </c>
      <c r="E61" s="69" t="s">
        <v>158</v>
      </c>
      <c r="F61" s="69"/>
      <c r="G61" s="152">
        <v>1585000</v>
      </c>
      <c r="H61" s="152">
        <f>6944000</f>
        <v>6944000</v>
      </c>
      <c r="I61" s="152"/>
      <c r="J61" s="152">
        <f t="shared" si="24"/>
        <v>8529000</v>
      </c>
      <c r="K61" s="152"/>
      <c r="L61" s="152"/>
      <c r="M61" s="152"/>
      <c r="N61" s="152">
        <f t="shared" ref="N61:N68" si="505">SUM(K61:M61)</f>
        <v>0</v>
      </c>
      <c r="O61" s="152"/>
      <c r="P61" s="152"/>
      <c r="Q61" s="152"/>
      <c r="R61" s="152">
        <f t="shared" ref="R61:R68" si="506">SUM(O61:Q61)</f>
        <v>0</v>
      </c>
      <c r="S61" s="152"/>
      <c r="T61" s="152">
        <v>263600</v>
      </c>
      <c r="U61" s="152"/>
      <c r="V61" s="152">
        <f t="shared" ref="V61:V68" si="507">SUM(S61:U61)</f>
        <v>263600</v>
      </c>
      <c r="W61" s="152">
        <f t="shared" ref="W61:W68" si="508">G61-O61+S61+K61</f>
        <v>1585000</v>
      </c>
      <c r="X61" s="152">
        <f t="shared" ref="X61:Y68" si="509">H61-P61+T61+L61</f>
        <v>7207600</v>
      </c>
      <c r="Y61" s="152">
        <f t="shared" si="509"/>
        <v>0</v>
      </c>
      <c r="Z61" s="168">
        <f t="shared" ref="Z61:Z68" si="510">SUM(W61:Y61)</f>
        <v>8792600</v>
      </c>
      <c r="AA61" s="152">
        <f>700+2237.5+700+14000+212645+40000+16000+10000+229515+800+2437.5+800+16000+10000+249912+800+2525+800+40794+16000+10000+249912+800+2525+800</f>
        <v>1130703</v>
      </c>
      <c r="AB61" s="152">
        <f>336+2190+2000+53753.41+16000+8600+3375+1000+8816.94+8435+8435+8180.4+20000+940+7657.24+7657.24+1000+3494.54+17500+5920+800+800+6120+6120+800+10737.42+2166+77172.59+6712.84+1000+3363.46+18176.5+2075+19100+10960+10960+800</f>
        <v>363154.58000000007</v>
      </c>
      <c r="AC61" s="152"/>
      <c r="AD61" s="152">
        <f t="shared" ref="AD61:AD68" si="511">SUM(AA61:AC61)</f>
        <v>1493857.58</v>
      </c>
      <c r="AE61" s="152">
        <f>545949+5000+5000+249912+800+2525+800+10000+16000+800+2525+800+249912</f>
        <v>1090023</v>
      </c>
      <c r="AF61" s="152">
        <f>288431.01+980+1821+5161.2+2000+7000+4800+4800+3800+9213+11592.16+1690+12835+1848.14</f>
        <v>355971.51</v>
      </c>
      <c r="AG61" s="152"/>
      <c r="AH61" s="152">
        <f t="shared" ref="AH61:AH68" si="512">SUM(AE61:AG61)</f>
        <v>1445994.51</v>
      </c>
      <c r="AI61" s="152">
        <f>296037+10000+249912+800+2525+800+5000+5000+16000+800+2525+800</f>
        <v>590199</v>
      </c>
      <c r="AJ61" s="152">
        <f>16329+394264.71+1463+1115+19760+2258.5+3295+14194.24+5527.12+16329+3500+7000+7000+8200+8200+1216.5+745+775+13797+7106.14+14033.88+2551+2687+2434+12160+22000+3275+800+1668.5+33+10244.94+16720+3018.41+7000+58600+21200+300000+1140+19511.81+5500</f>
        <v>1036652.7500000001</v>
      </c>
      <c r="AK61" s="152">
        <v>1400000</v>
      </c>
      <c r="AL61" s="152">
        <f t="shared" ref="AL61:AL68" si="513">SUM(AI61:AK61)</f>
        <v>3026851.75</v>
      </c>
      <c r="AM61" s="152">
        <f>645240+10000-1397328-118000-60000-60000-138912-25000-25000-25000-5000-5500-18925-5500</f>
        <v>-1228925</v>
      </c>
      <c r="AN61" s="152">
        <f>1706828.8+14500+14500+215+7542+9040+620+5398+3237+11561.97+6787+19402.53+13450+15000+1098+3600+6600+4000+4329+732+2470+3765+13808.8+3515+4065+3087.5+1505+2630+38554+35+3920+888+12697+4045+2780+32724+2600+1490000+50000+500000+385+4906.44-0.1+176747.09</f>
        <v>4203569.03</v>
      </c>
      <c r="AO61" s="152">
        <v>-1400000</v>
      </c>
      <c r="AP61" s="152">
        <f t="shared" ref="AP61:AP68" si="514">SUM(AM61:AO61)</f>
        <v>1574644.0300000003</v>
      </c>
      <c r="AQ61" s="152">
        <f t="shared" ref="AQ61:AS68" si="515">AA61+AE61+AI61+AM61</f>
        <v>1582000</v>
      </c>
      <c r="AR61" s="152">
        <f t="shared" si="515"/>
        <v>5959347.870000001</v>
      </c>
      <c r="AS61" s="152">
        <f t="shared" si="515"/>
        <v>0</v>
      </c>
      <c r="AT61" s="168">
        <f t="shared" ref="AT61:AT68" si="516">SUM(AQ61:AS61)</f>
        <v>7541347.870000001</v>
      </c>
      <c r="AU61" s="152">
        <f>700+2237.5+700+14000+212645+40000+16000+10000+229515+800+2437.5+800+10000+40619+10000+249912+16000+800+2525+800</f>
        <v>860491</v>
      </c>
      <c r="AV61" s="152">
        <f>336+2190+2000+16000+8600+3375+1000+8816.94+8435+8435+8180.4+20000+940+7657.24+7657.24+1000+3494.54+17500+5920+800+800+6120+6120+800+10737.42+2166+77172.59+6712.84+1000+3363.46+18176.5+2075+19100+10960+10960+800</f>
        <v>309401.17</v>
      </c>
      <c r="AW61" s="152"/>
      <c r="AX61" s="152">
        <f t="shared" ref="AX61:AX68" si="517">SUM(AU61:AW61)</f>
        <v>1169892.17</v>
      </c>
      <c r="AY61" s="152">
        <f>657768.45+138267.55+800+2525+800+10000+16000+16000+10000+800+2525+800+249912+66723</f>
        <v>1172921</v>
      </c>
      <c r="AZ61" s="152">
        <f>296933.42+24000+8110+200+12441+980+1821+5161.2+2000+7000+400+4400+4400+3600+9213+12835+1848.14+1690+11592.16+200+400+400</f>
        <v>409624.92</v>
      </c>
      <c r="BA61" s="152"/>
      <c r="BB61" s="152">
        <f t="shared" ref="BB61:BB68" si="518">SUM(AY61:BA61)</f>
        <v>1582545.9199999999</v>
      </c>
      <c r="BC61" s="152">
        <f>483351+10000+800+249912+10000+800+2525+800+16000</f>
        <v>774188</v>
      </c>
      <c r="BD61" s="152">
        <f>359710.67+1815+8129.04+11130+13580+1463+1115+19760+2258.5+3295+14194.24+5327.12+16329+3500+7000+7000+8200+8200+1216.5+745+775+13797+7106.14+14033.88+2551+2687+2434+11960+22000+3275+800+16329+1668.5+33+10244.94+16720+3018.41+300000+1140+200+200+5000+2000+58600+21200+19311.81+5500</f>
        <v>1036552.75</v>
      </c>
      <c r="BE61" s="152">
        <v>1400000</v>
      </c>
      <c r="BF61" s="152">
        <f t="shared" ref="BF61:BF68" si="519">SUM(BC61:BE61)</f>
        <v>3210740.75</v>
      </c>
      <c r="BG61" s="152">
        <f>354362+40000+250078+800+2525+800+10000-1397328-118000-60000-60000-138912-25000-25000-25000-5000-5500-18925-5500</f>
        <v>-1225600</v>
      </c>
      <c r="BH61" s="152">
        <f>1223654.44+974.36+200+200+200+200+200+200+14500+14500+215+7542+9040+620+5398+11561.97+6787+19402.53+250+200+300+200+250+200+3237+13450+3600+6600+200+89600+15000+1098+4000+4329+732+2470+3765+13808.8+3515+4065+3087.5+1505+2630+38554+35+3920+888+12697+4045+2780+32724+2600+1490000+50000+500000-0.1</f>
        <v>3631730.5</v>
      </c>
      <c r="BI61" s="152">
        <v>-1400000</v>
      </c>
      <c r="BJ61" s="152">
        <f t="shared" ref="BJ61:BJ68" si="520">SUM(BG61:BI61)</f>
        <v>1006130.5</v>
      </c>
      <c r="BK61" s="152">
        <f t="shared" ref="BK61:BM68" si="521">AU61+AY61+BC61+BG61</f>
        <v>1582000</v>
      </c>
      <c r="BL61" s="152">
        <f t="shared" si="521"/>
        <v>5387309.3399999999</v>
      </c>
      <c r="BM61" s="152">
        <f t="shared" si="521"/>
        <v>0</v>
      </c>
      <c r="BN61" s="152">
        <f t="shared" ref="BN61:BN68" si="522">SUM(BK61:BM61)</f>
        <v>6969309.3399999999</v>
      </c>
      <c r="BO61" s="168"/>
      <c r="BP61" s="152">
        <f t="shared" ref="BP61:BR68" si="523">W61-AQ61</f>
        <v>3000</v>
      </c>
      <c r="BQ61" s="152">
        <f t="shared" si="523"/>
        <v>1248252.129999999</v>
      </c>
      <c r="BR61" s="152">
        <f t="shared" si="523"/>
        <v>0</v>
      </c>
      <c r="BS61" s="168">
        <f t="shared" ref="BS61:BS68" si="524">SUM(BP61:BR61)</f>
        <v>1251252.129999999</v>
      </c>
      <c r="BT61" s="152"/>
      <c r="BU61" s="152"/>
      <c r="BV61" s="152"/>
      <c r="BW61" s="152">
        <f t="shared" ref="BW61:BW68" si="525">SUM(BT61:BV61)</f>
        <v>0</v>
      </c>
      <c r="BX61" s="152">
        <f t="shared" si="20"/>
        <v>0</v>
      </c>
      <c r="BY61" s="152">
        <f t="shared" si="21"/>
        <v>572038.53000000119</v>
      </c>
      <c r="BZ61" s="152">
        <f t="shared" si="22"/>
        <v>0</v>
      </c>
      <c r="CA61" s="587">
        <f t="shared" si="23"/>
        <v>572038.53000000119</v>
      </c>
    </row>
    <row r="62" spans="1:79" ht="14.1" customHeight="1" x14ac:dyDescent="0.2">
      <c r="A62" s="125" t="s">
        <v>562</v>
      </c>
      <c r="B62" s="568"/>
      <c r="C62" s="78"/>
      <c r="D62" s="78" t="s">
        <v>536</v>
      </c>
      <c r="E62" s="565" t="s">
        <v>563</v>
      </c>
      <c r="F62" s="70"/>
      <c r="G62" s="152"/>
      <c r="H62" s="152">
        <v>250000</v>
      </c>
      <c r="I62" s="152"/>
      <c r="J62" s="152">
        <f t="shared" si="24"/>
        <v>250000</v>
      </c>
      <c r="K62" s="152"/>
      <c r="L62" s="152">
        <v>-10728.2</v>
      </c>
      <c r="M62" s="152"/>
      <c r="N62" s="152">
        <f t="shared" si="505"/>
        <v>-10728.2</v>
      </c>
      <c r="O62" s="152"/>
      <c r="P62" s="152"/>
      <c r="Q62" s="152"/>
      <c r="R62" s="152">
        <f t="shared" si="506"/>
        <v>0</v>
      </c>
      <c r="S62" s="152"/>
      <c r="T62" s="152"/>
      <c r="U62" s="152"/>
      <c r="V62" s="152">
        <f t="shared" si="507"/>
        <v>0</v>
      </c>
      <c r="W62" s="152">
        <f t="shared" si="508"/>
        <v>0</v>
      </c>
      <c r="X62" s="152">
        <f t="shared" si="509"/>
        <v>239271.8</v>
      </c>
      <c r="Y62" s="152">
        <f t="shared" si="509"/>
        <v>0</v>
      </c>
      <c r="Z62" s="168">
        <f t="shared" si="510"/>
        <v>239271.8</v>
      </c>
      <c r="AA62" s="152"/>
      <c r="AB62" s="152">
        <v>6120</v>
      </c>
      <c r="AC62" s="152"/>
      <c r="AD62" s="152">
        <f t="shared" si="511"/>
        <v>6120</v>
      </c>
      <c r="AE62" s="152"/>
      <c r="AF62" s="152">
        <f>13471.8+800</f>
        <v>14271.8</v>
      </c>
      <c r="AG62" s="152"/>
      <c r="AH62" s="152">
        <f t="shared" si="512"/>
        <v>14271.8</v>
      </c>
      <c r="AI62" s="152"/>
      <c r="AJ62" s="152">
        <v>-800</v>
      </c>
      <c r="AK62" s="152"/>
      <c r="AL62" s="152">
        <f t="shared" si="513"/>
        <v>-800</v>
      </c>
      <c r="AM62" s="152"/>
      <c r="AN62" s="152">
        <f>100000+20000+79880+19800</f>
        <v>219680</v>
      </c>
      <c r="AO62" s="152"/>
      <c r="AP62" s="152">
        <f t="shared" si="514"/>
        <v>219680</v>
      </c>
      <c r="AQ62" s="152">
        <f t="shared" si="515"/>
        <v>0</v>
      </c>
      <c r="AR62" s="152">
        <f t="shared" si="515"/>
        <v>239271.8</v>
      </c>
      <c r="AS62" s="152">
        <f t="shared" si="515"/>
        <v>0</v>
      </c>
      <c r="AT62" s="168">
        <f t="shared" si="516"/>
        <v>239271.8</v>
      </c>
      <c r="AU62" s="152"/>
      <c r="AV62" s="152">
        <v>6120</v>
      </c>
      <c r="AW62" s="152"/>
      <c r="AX62" s="152">
        <f t="shared" si="517"/>
        <v>6120</v>
      </c>
      <c r="AY62" s="152"/>
      <c r="AZ62" s="152">
        <f>13471.8+500</f>
        <v>13971.8</v>
      </c>
      <c r="BA62" s="152"/>
      <c r="BB62" s="152">
        <f t="shared" si="518"/>
        <v>13971.8</v>
      </c>
      <c r="BC62" s="152"/>
      <c r="BD62" s="152">
        <v>-500</v>
      </c>
      <c r="BE62" s="152"/>
      <c r="BF62" s="152">
        <f t="shared" si="519"/>
        <v>-500</v>
      </c>
      <c r="BG62" s="152"/>
      <c r="BH62" s="152">
        <f>100000+20000</f>
        <v>120000</v>
      </c>
      <c r="BI62" s="152"/>
      <c r="BJ62" s="152">
        <f t="shared" si="520"/>
        <v>120000</v>
      </c>
      <c r="BK62" s="152">
        <f t="shared" si="521"/>
        <v>0</v>
      </c>
      <c r="BL62" s="152">
        <f t="shared" si="521"/>
        <v>139591.79999999999</v>
      </c>
      <c r="BM62" s="152">
        <f t="shared" si="521"/>
        <v>0</v>
      </c>
      <c r="BN62" s="152">
        <f t="shared" si="522"/>
        <v>139591.79999999999</v>
      </c>
      <c r="BO62" s="168"/>
      <c r="BP62" s="152">
        <f t="shared" si="523"/>
        <v>0</v>
      </c>
      <c r="BQ62" s="152">
        <f t="shared" si="523"/>
        <v>0</v>
      </c>
      <c r="BR62" s="152">
        <f t="shared" si="523"/>
        <v>0</v>
      </c>
      <c r="BS62" s="168">
        <f t="shared" si="524"/>
        <v>0</v>
      </c>
      <c r="BT62" s="152"/>
      <c r="BU62" s="152"/>
      <c r="BV62" s="152"/>
      <c r="BW62" s="152">
        <f t="shared" si="525"/>
        <v>0</v>
      </c>
      <c r="BX62" s="152">
        <f t="shared" si="20"/>
        <v>0</v>
      </c>
      <c r="BY62" s="152">
        <f t="shared" si="21"/>
        <v>99680</v>
      </c>
      <c r="BZ62" s="152">
        <f t="shared" si="22"/>
        <v>0</v>
      </c>
      <c r="CA62" s="587">
        <f t="shared" si="23"/>
        <v>99680</v>
      </c>
    </row>
    <row r="63" spans="1:79" ht="14.1" customHeight="1" x14ac:dyDescent="0.2">
      <c r="A63" s="125" t="s">
        <v>564</v>
      </c>
      <c r="B63" s="78"/>
      <c r="C63" s="78"/>
      <c r="D63" s="78" t="s">
        <v>184</v>
      </c>
      <c r="E63" s="69" t="s">
        <v>565</v>
      </c>
      <c r="F63" s="69"/>
      <c r="G63" s="152"/>
      <c r="H63" s="152">
        <v>2625000</v>
      </c>
      <c r="I63" s="152"/>
      <c r="J63" s="152">
        <f t="shared" si="24"/>
        <v>2625000</v>
      </c>
      <c r="K63" s="152"/>
      <c r="L63" s="152">
        <f>-208956.77-19270.21</f>
        <v>-228226.97999999998</v>
      </c>
      <c r="M63" s="152"/>
      <c r="N63" s="152">
        <f t="shared" si="505"/>
        <v>-228226.97999999998</v>
      </c>
      <c r="O63" s="152"/>
      <c r="P63" s="152"/>
      <c r="Q63" s="152"/>
      <c r="R63" s="152">
        <f t="shared" si="506"/>
        <v>0</v>
      </c>
      <c r="S63" s="152"/>
      <c r="T63" s="152"/>
      <c r="U63" s="152"/>
      <c r="V63" s="152">
        <f t="shared" si="507"/>
        <v>0</v>
      </c>
      <c r="W63" s="152">
        <f t="shared" si="508"/>
        <v>0</v>
      </c>
      <c r="X63" s="152">
        <f t="shared" si="509"/>
        <v>2396773.02</v>
      </c>
      <c r="Y63" s="152">
        <f t="shared" si="509"/>
        <v>0</v>
      </c>
      <c r="Z63" s="168">
        <f t="shared" si="510"/>
        <v>2396773.02</v>
      </c>
      <c r="AA63" s="152"/>
      <c r="AB63" s="152">
        <v>400</v>
      </c>
      <c r="AC63" s="152"/>
      <c r="AD63" s="152">
        <f t="shared" si="511"/>
        <v>400</v>
      </c>
      <c r="AE63" s="152"/>
      <c r="AF63" s="152">
        <f>10000+33000+3420</f>
        <v>46420</v>
      </c>
      <c r="AG63" s="152"/>
      <c r="AH63" s="152">
        <f t="shared" si="512"/>
        <v>46420</v>
      </c>
      <c r="AI63" s="152"/>
      <c r="AJ63" s="152">
        <f>65550+5985+5760+5985+198316.5+28000</f>
        <v>309596.5</v>
      </c>
      <c r="AK63" s="152"/>
      <c r="AL63" s="152">
        <f t="shared" si="513"/>
        <v>309596.5</v>
      </c>
      <c r="AM63" s="152"/>
      <c r="AN63" s="152">
        <f>81345+12160+12405+1057.13+7207+91035+8400+6600+9100+6018.52+6245+6096+5880+10707.4+6890+23085+21375+10500+2835+4480+9243.75+1120+400+15200+11900+8922.5+10500+9487.5+7420+5360.4+9175.82+9531.25+22191.96+10660.32+30780+23085+19513.55+8200+7000+27702+10521.05+17500+4480+36000+600000+100000+184115+70275+96283.5</f>
        <v>1699989.6500000001</v>
      </c>
      <c r="AO63" s="152"/>
      <c r="AP63" s="152">
        <f t="shared" si="514"/>
        <v>1699989.6500000001</v>
      </c>
      <c r="AQ63" s="152">
        <f t="shared" si="515"/>
        <v>0</v>
      </c>
      <c r="AR63" s="152">
        <f t="shared" si="515"/>
        <v>2056406.1500000001</v>
      </c>
      <c r="AS63" s="152">
        <f t="shared" si="515"/>
        <v>0</v>
      </c>
      <c r="AT63" s="168">
        <f t="shared" si="516"/>
        <v>2056406.1500000001</v>
      </c>
      <c r="AU63" s="152"/>
      <c r="AV63" s="152">
        <v>400</v>
      </c>
      <c r="AW63" s="152"/>
      <c r="AX63" s="152">
        <f t="shared" si="517"/>
        <v>400</v>
      </c>
      <c r="AY63" s="152"/>
      <c r="AZ63" s="152">
        <f>10000+33000+800+3420</f>
        <v>47220</v>
      </c>
      <c r="BA63" s="152"/>
      <c r="BB63" s="152">
        <f t="shared" si="518"/>
        <v>47220</v>
      </c>
      <c r="BC63" s="152"/>
      <c r="BD63" s="152">
        <f>64750+5985+5760+5985+198316.5+28000</f>
        <v>308796.5</v>
      </c>
      <c r="BE63" s="152"/>
      <c r="BF63" s="152">
        <f t="shared" si="519"/>
        <v>308796.5</v>
      </c>
      <c r="BG63" s="152"/>
      <c r="BH63" s="152">
        <f>81345+12160+12405+1057.13+7207+91035+8200+6400+8900+5818.52+6045+5896+5680+10507.4+6640+23085+21375+2835+4480+200+200+200+200+200+200+200+200+250+10500+9043.75+1120+400+15200+11900+8922.5+10500+9487.5+7420+5360.4+9175.82+9531.25+22191.96+10660.32+30780+23085+19513.55+8200+7000+27702+10521.05+17500+4480+36000+600000+100000</f>
        <v>1349116.1500000001</v>
      </c>
      <c r="BI63" s="152"/>
      <c r="BJ63" s="152">
        <f t="shared" si="520"/>
        <v>1349116.1500000001</v>
      </c>
      <c r="BK63" s="152">
        <f t="shared" si="521"/>
        <v>0</v>
      </c>
      <c r="BL63" s="152">
        <f t="shared" si="521"/>
        <v>1705532.6500000001</v>
      </c>
      <c r="BM63" s="152">
        <f t="shared" si="521"/>
        <v>0</v>
      </c>
      <c r="BN63" s="152">
        <f t="shared" si="522"/>
        <v>1705532.6500000001</v>
      </c>
      <c r="BO63" s="168"/>
      <c r="BP63" s="152">
        <f t="shared" si="523"/>
        <v>0</v>
      </c>
      <c r="BQ63" s="152">
        <f t="shared" si="523"/>
        <v>340366.86999999988</v>
      </c>
      <c r="BR63" s="152">
        <f t="shared" si="523"/>
        <v>0</v>
      </c>
      <c r="BS63" s="168">
        <f t="shared" si="524"/>
        <v>340366.86999999988</v>
      </c>
      <c r="BT63" s="152"/>
      <c r="BU63" s="152"/>
      <c r="BV63" s="152"/>
      <c r="BW63" s="152">
        <f t="shared" si="525"/>
        <v>0</v>
      </c>
      <c r="BX63" s="152">
        <f t="shared" si="20"/>
        <v>0</v>
      </c>
      <c r="BY63" s="152">
        <f t="shared" si="21"/>
        <v>350873.5</v>
      </c>
      <c r="BZ63" s="152">
        <f t="shared" si="22"/>
        <v>0</v>
      </c>
      <c r="CA63" s="587">
        <f t="shared" si="23"/>
        <v>350873.5</v>
      </c>
    </row>
    <row r="64" spans="1:79" ht="14.1" customHeight="1" x14ac:dyDescent="0.2">
      <c r="A64" s="125" t="s">
        <v>159</v>
      </c>
      <c r="B64" s="78"/>
      <c r="C64" s="81" t="s">
        <v>147</v>
      </c>
      <c r="D64" s="69" t="s">
        <v>566</v>
      </c>
      <c r="E64" s="79"/>
      <c r="G64" s="152"/>
      <c r="H64" s="152"/>
      <c r="I64" s="152"/>
      <c r="J64" s="152">
        <f t="shared" si="24"/>
        <v>0</v>
      </c>
      <c r="K64" s="152"/>
      <c r="L64" s="152"/>
      <c r="M64" s="152"/>
      <c r="N64" s="152">
        <f t="shared" si="505"/>
        <v>0</v>
      </c>
      <c r="O64" s="152"/>
      <c r="P64" s="152"/>
      <c r="Q64" s="152"/>
      <c r="R64" s="152">
        <f t="shared" si="506"/>
        <v>0</v>
      </c>
      <c r="S64" s="152"/>
      <c r="T64" s="152"/>
      <c r="U64" s="152"/>
      <c r="V64" s="152">
        <f t="shared" si="507"/>
        <v>0</v>
      </c>
      <c r="W64" s="152">
        <f t="shared" si="508"/>
        <v>0</v>
      </c>
      <c r="X64" s="152">
        <f t="shared" si="509"/>
        <v>0</v>
      </c>
      <c r="Y64" s="152">
        <f t="shared" si="509"/>
        <v>0</v>
      </c>
      <c r="Z64" s="168">
        <f t="shared" si="510"/>
        <v>0</v>
      </c>
      <c r="AA64" s="152"/>
      <c r="AB64" s="152"/>
      <c r="AC64" s="152"/>
      <c r="AD64" s="152">
        <f t="shared" si="511"/>
        <v>0</v>
      </c>
      <c r="AE64" s="152"/>
      <c r="AF64" s="152"/>
      <c r="AG64" s="152"/>
      <c r="AH64" s="152">
        <f t="shared" si="512"/>
        <v>0</v>
      </c>
      <c r="AI64" s="152"/>
      <c r="AJ64" s="152"/>
      <c r="AK64" s="152"/>
      <c r="AL64" s="152">
        <f t="shared" si="513"/>
        <v>0</v>
      </c>
      <c r="AM64" s="152"/>
      <c r="AN64" s="152"/>
      <c r="AO64" s="152"/>
      <c r="AP64" s="152">
        <f t="shared" si="514"/>
        <v>0</v>
      </c>
      <c r="AQ64" s="152">
        <f t="shared" si="515"/>
        <v>0</v>
      </c>
      <c r="AR64" s="152">
        <f t="shared" si="515"/>
        <v>0</v>
      </c>
      <c r="AS64" s="152">
        <f t="shared" si="515"/>
        <v>0</v>
      </c>
      <c r="AT64" s="168">
        <f t="shared" si="516"/>
        <v>0</v>
      </c>
      <c r="AU64" s="152"/>
      <c r="AV64" s="152"/>
      <c r="AW64" s="152"/>
      <c r="AX64" s="152">
        <f t="shared" si="517"/>
        <v>0</v>
      </c>
      <c r="AY64" s="152"/>
      <c r="AZ64" s="152"/>
      <c r="BA64" s="152"/>
      <c r="BB64" s="152">
        <f t="shared" si="518"/>
        <v>0</v>
      </c>
      <c r="BC64" s="152"/>
      <c r="BD64" s="152"/>
      <c r="BE64" s="152"/>
      <c r="BF64" s="152">
        <f t="shared" si="519"/>
        <v>0</v>
      </c>
      <c r="BG64" s="152"/>
      <c r="BH64" s="152"/>
      <c r="BI64" s="152"/>
      <c r="BJ64" s="152">
        <f t="shared" si="520"/>
        <v>0</v>
      </c>
      <c r="BK64" s="152">
        <f t="shared" si="521"/>
        <v>0</v>
      </c>
      <c r="BL64" s="152">
        <f t="shared" si="521"/>
        <v>0</v>
      </c>
      <c r="BM64" s="152">
        <f t="shared" si="521"/>
        <v>0</v>
      </c>
      <c r="BN64" s="152">
        <f t="shared" si="522"/>
        <v>0</v>
      </c>
      <c r="BO64" s="168"/>
      <c r="BP64" s="152">
        <f t="shared" si="523"/>
        <v>0</v>
      </c>
      <c r="BQ64" s="152">
        <f t="shared" si="523"/>
        <v>0</v>
      </c>
      <c r="BR64" s="152">
        <f t="shared" si="523"/>
        <v>0</v>
      </c>
      <c r="BS64" s="168">
        <f t="shared" si="524"/>
        <v>0</v>
      </c>
      <c r="BT64" s="152"/>
      <c r="BU64" s="152"/>
      <c r="BV64" s="152"/>
      <c r="BW64" s="152">
        <f t="shared" si="525"/>
        <v>0</v>
      </c>
      <c r="BX64" s="152">
        <f t="shared" si="20"/>
        <v>0</v>
      </c>
      <c r="BY64" s="152">
        <f t="shared" si="21"/>
        <v>0</v>
      </c>
      <c r="BZ64" s="152">
        <f t="shared" si="22"/>
        <v>0</v>
      </c>
      <c r="CA64" s="587">
        <f t="shared" si="23"/>
        <v>0</v>
      </c>
    </row>
    <row r="65" spans="1:79" ht="14.1" customHeight="1" x14ac:dyDescent="0.2">
      <c r="A65" s="122" t="s">
        <v>160</v>
      </c>
      <c r="B65" s="568"/>
      <c r="C65" s="81" t="s">
        <v>149</v>
      </c>
      <c r="D65" s="69" t="s">
        <v>567</v>
      </c>
      <c r="E65" s="566"/>
      <c r="G65" s="152"/>
      <c r="H65" s="152"/>
      <c r="I65" s="152"/>
      <c r="J65" s="152">
        <f t="shared" si="24"/>
        <v>0</v>
      </c>
      <c r="K65" s="152"/>
      <c r="L65" s="152"/>
      <c r="M65" s="152"/>
      <c r="N65" s="152">
        <f t="shared" si="505"/>
        <v>0</v>
      </c>
      <c r="O65" s="152"/>
      <c r="P65" s="152"/>
      <c r="Q65" s="152"/>
      <c r="R65" s="152">
        <f t="shared" si="506"/>
        <v>0</v>
      </c>
      <c r="S65" s="152"/>
      <c r="T65" s="152"/>
      <c r="U65" s="152"/>
      <c r="V65" s="152">
        <f t="shared" si="507"/>
        <v>0</v>
      </c>
      <c r="W65" s="152">
        <f t="shared" si="508"/>
        <v>0</v>
      </c>
      <c r="X65" s="152">
        <f t="shared" si="509"/>
        <v>0</v>
      </c>
      <c r="Y65" s="152">
        <f t="shared" si="509"/>
        <v>0</v>
      </c>
      <c r="Z65" s="168">
        <f t="shared" si="510"/>
        <v>0</v>
      </c>
      <c r="AA65" s="152"/>
      <c r="AB65" s="152"/>
      <c r="AC65" s="152"/>
      <c r="AD65" s="152">
        <f t="shared" si="511"/>
        <v>0</v>
      </c>
      <c r="AE65" s="152"/>
      <c r="AF65" s="152"/>
      <c r="AG65" s="152"/>
      <c r="AH65" s="152">
        <f t="shared" si="512"/>
        <v>0</v>
      </c>
      <c r="AI65" s="152"/>
      <c r="AJ65" s="152"/>
      <c r="AK65" s="152"/>
      <c r="AL65" s="152">
        <f t="shared" si="513"/>
        <v>0</v>
      </c>
      <c r="AM65" s="152"/>
      <c r="AN65" s="152"/>
      <c r="AO65" s="152"/>
      <c r="AP65" s="152">
        <f t="shared" si="514"/>
        <v>0</v>
      </c>
      <c r="AQ65" s="152">
        <f t="shared" si="515"/>
        <v>0</v>
      </c>
      <c r="AR65" s="152">
        <f t="shared" si="515"/>
        <v>0</v>
      </c>
      <c r="AS65" s="152">
        <f t="shared" si="515"/>
        <v>0</v>
      </c>
      <c r="AT65" s="168">
        <f t="shared" si="516"/>
        <v>0</v>
      </c>
      <c r="AU65" s="152"/>
      <c r="AV65" s="152"/>
      <c r="AW65" s="152"/>
      <c r="AX65" s="152">
        <f t="shared" si="517"/>
        <v>0</v>
      </c>
      <c r="AY65" s="152"/>
      <c r="AZ65" s="152"/>
      <c r="BA65" s="152"/>
      <c r="BB65" s="152">
        <f t="shared" si="518"/>
        <v>0</v>
      </c>
      <c r="BC65" s="152"/>
      <c r="BD65" s="152"/>
      <c r="BE65" s="152"/>
      <c r="BF65" s="152">
        <f t="shared" si="519"/>
        <v>0</v>
      </c>
      <c r="BG65" s="152"/>
      <c r="BH65" s="152"/>
      <c r="BI65" s="152"/>
      <c r="BJ65" s="152">
        <f t="shared" si="520"/>
        <v>0</v>
      </c>
      <c r="BK65" s="152">
        <f t="shared" si="521"/>
        <v>0</v>
      </c>
      <c r="BL65" s="152">
        <f t="shared" si="521"/>
        <v>0</v>
      </c>
      <c r="BM65" s="152">
        <f t="shared" si="521"/>
        <v>0</v>
      </c>
      <c r="BN65" s="152">
        <f t="shared" si="522"/>
        <v>0</v>
      </c>
      <c r="BO65" s="168"/>
      <c r="BP65" s="152">
        <f t="shared" si="523"/>
        <v>0</v>
      </c>
      <c r="BQ65" s="152">
        <f t="shared" si="523"/>
        <v>0</v>
      </c>
      <c r="BR65" s="152">
        <f t="shared" si="523"/>
        <v>0</v>
      </c>
      <c r="BS65" s="168">
        <f t="shared" si="524"/>
        <v>0</v>
      </c>
      <c r="BT65" s="152"/>
      <c r="BU65" s="152"/>
      <c r="BV65" s="152"/>
      <c r="BW65" s="152">
        <f t="shared" si="525"/>
        <v>0</v>
      </c>
      <c r="BX65" s="152">
        <f t="shared" si="20"/>
        <v>0</v>
      </c>
      <c r="BY65" s="152">
        <f t="shared" si="21"/>
        <v>0</v>
      </c>
      <c r="BZ65" s="152">
        <f t="shared" si="22"/>
        <v>0</v>
      </c>
      <c r="CA65" s="587">
        <f t="shared" si="23"/>
        <v>0</v>
      </c>
    </row>
    <row r="66" spans="1:79" ht="14.1" customHeight="1" x14ac:dyDescent="0.2">
      <c r="A66" s="122" t="s">
        <v>161</v>
      </c>
      <c r="B66" s="568"/>
      <c r="C66" s="81" t="s">
        <v>150</v>
      </c>
      <c r="D66" s="69" t="s">
        <v>568</v>
      </c>
      <c r="E66" s="566"/>
      <c r="G66" s="152"/>
      <c r="H66" s="152"/>
      <c r="I66" s="152"/>
      <c r="J66" s="152">
        <f t="shared" si="24"/>
        <v>0</v>
      </c>
      <c r="K66" s="152"/>
      <c r="L66" s="152"/>
      <c r="M66" s="152"/>
      <c r="N66" s="152">
        <f t="shared" si="505"/>
        <v>0</v>
      </c>
      <c r="O66" s="152"/>
      <c r="P66" s="152"/>
      <c r="Q66" s="152"/>
      <c r="R66" s="152">
        <f t="shared" si="506"/>
        <v>0</v>
      </c>
      <c r="S66" s="152"/>
      <c r="T66" s="152"/>
      <c r="U66" s="152"/>
      <c r="V66" s="152">
        <f t="shared" si="507"/>
        <v>0</v>
      </c>
      <c r="W66" s="152">
        <f t="shared" si="508"/>
        <v>0</v>
      </c>
      <c r="X66" s="152">
        <f t="shared" si="509"/>
        <v>0</v>
      </c>
      <c r="Y66" s="152">
        <f t="shared" si="509"/>
        <v>0</v>
      </c>
      <c r="Z66" s="168">
        <f t="shared" si="510"/>
        <v>0</v>
      </c>
      <c r="AA66" s="152"/>
      <c r="AB66" s="152"/>
      <c r="AC66" s="152"/>
      <c r="AD66" s="152">
        <f t="shared" si="511"/>
        <v>0</v>
      </c>
      <c r="AE66" s="152"/>
      <c r="AF66" s="152"/>
      <c r="AG66" s="152"/>
      <c r="AH66" s="152">
        <f t="shared" si="512"/>
        <v>0</v>
      </c>
      <c r="AI66" s="152"/>
      <c r="AJ66" s="152"/>
      <c r="AK66" s="152"/>
      <c r="AL66" s="152">
        <f t="shared" si="513"/>
        <v>0</v>
      </c>
      <c r="AM66" s="152"/>
      <c r="AN66" s="152"/>
      <c r="AO66" s="152"/>
      <c r="AP66" s="152">
        <f t="shared" si="514"/>
        <v>0</v>
      </c>
      <c r="AQ66" s="152">
        <f t="shared" si="515"/>
        <v>0</v>
      </c>
      <c r="AR66" s="152">
        <f t="shared" si="515"/>
        <v>0</v>
      </c>
      <c r="AS66" s="152">
        <f t="shared" si="515"/>
        <v>0</v>
      </c>
      <c r="AT66" s="168">
        <f t="shared" si="516"/>
        <v>0</v>
      </c>
      <c r="AU66" s="152"/>
      <c r="AV66" s="152"/>
      <c r="AW66" s="152"/>
      <c r="AX66" s="152">
        <f t="shared" si="517"/>
        <v>0</v>
      </c>
      <c r="AY66" s="152"/>
      <c r="AZ66" s="152"/>
      <c r="BA66" s="152"/>
      <c r="BB66" s="152">
        <f t="shared" si="518"/>
        <v>0</v>
      </c>
      <c r="BC66" s="152"/>
      <c r="BD66" s="152"/>
      <c r="BE66" s="152"/>
      <c r="BF66" s="152">
        <f t="shared" si="519"/>
        <v>0</v>
      </c>
      <c r="BG66" s="152"/>
      <c r="BH66" s="152"/>
      <c r="BI66" s="152"/>
      <c r="BJ66" s="152">
        <f t="shared" si="520"/>
        <v>0</v>
      </c>
      <c r="BK66" s="152">
        <f t="shared" si="521"/>
        <v>0</v>
      </c>
      <c r="BL66" s="152">
        <f t="shared" si="521"/>
        <v>0</v>
      </c>
      <c r="BM66" s="152">
        <f t="shared" si="521"/>
        <v>0</v>
      </c>
      <c r="BN66" s="152">
        <f t="shared" si="522"/>
        <v>0</v>
      </c>
      <c r="BO66" s="168"/>
      <c r="BP66" s="152">
        <f t="shared" si="523"/>
        <v>0</v>
      </c>
      <c r="BQ66" s="152">
        <f t="shared" si="523"/>
        <v>0</v>
      </c>
      <c r="BR66" s="152">
        <f t="shared" si="523"/>
        <v>0</v>
      </c>
      <c r="BS66" s="168">
        <f t="shared" si="524"/>
        <v>0</v>
      </c>
      <c r="BT66" s="152"/>
      <c r="BU66" s="152"/>
      <c r="BV66" s="152"/>
      <c r="BW66" s="152">
        <f t="shared" si="525"/>
        <v>0</v>
      </c>
      <c r="BX66" s="152">
        <f t="shared" si="20"/>
        <v>0</v>
      </c>
      <c r="BY66" s="152">
        <f t="shared" si="21"/>
        <v>0</v>
      </c>
      <c r="BZ66" s="152">
        <f t="shared" si="22"/>
        <v>0</v>
      </c>
      <c r="CA66" s="587">
        <f t="shared" si="23"/>
        <v>0</v>
      </c>
    </row>
    <row r="67" spans="1:79" ht="14.1" customHeight="1" x14ac:dyDescent="0.2">
      <c r="A67" s="122" t="s">
        <v>569</v>
      </c>
      <c r="B67" s="568"/>
      <c r="C67" s="81" t="s">
        <v>200</v>
      </c>
      <c r="D67" s="69" t="s">
        <v>162</v>
      </c>
      <c r="E67" s="566"/>
      <c r="G67" s="152"/>
      <c r="H67" s="152">
        <v>6161000</v>
      </c>
      <c r="I67" s="152"/>
      <c r="J67" s="152">
        <f t="shared" si="24"/>
        <v>6161000</v>
      </c>
      <c r="K67" s="152">
        <v>975000</v>
      </c>
      <c r="L67" s="152">
        <f>-975000-166000</f>
        <v>-1141000</v>
      </c>
      <c r="M67" s="152"/>
      <c r="N67" s="152">
        <f t="shared" si="505"/>
        <v>-166000</v>
      </c>
      <c r="O67" s="152"/>
      <c r="P67" s="152"/>
      <c r="Q67" s="152"/>
      <c r="R67" s="152">
        <f t="shared" si="506"/>
        <v>0</v>
      </c>
      <c r="S67" s="152"/>
      <c r="T67" s="152"/>
      <c r="U67" s="152"/>
      <c r="V67" s="152">
        <f t="shared" si="507"/>
        <v>0</v>
      </c>
      <c r="W67" s="152">
        <f t="shared" si="508"/>
        <v>975000</v>
      </c>
      <c r="X67" s="152">
        <f t="shared" si="509"/>
        <v>5020000</v>
      </c>
      <c r="Y67" s="152">
        <f t="shared" si="509"/>
        <v>0</v>
      </c>
      <c r="Z67" s="168">
        <f t="shared" si="510"/>
        <v>5995000</v>
      </c>
      <c r="AA67" s="152"/>
      <c r="AB67" s="152">
        <f>4980+4980+4980+4500+4000+2500+44700+29440+21600+12533+2028+1581+7000+5000+600+1200+45400+7650+12555+12555+12320+19008+17760+21600+16000+45328+34650+13166</f>
        <v>409614</v>
      </c>
      <c r="AC67" s="152"/>
      <c r="AD67" s="152">
        <f t="shared" si="511"/>
        <v>409614</v>
      </c>
      <c r="AE67" s="152"/>
      <c r="AF67" s="152">
        <f>11304.22+13645.5</f>
        <v>24949.72</v>
      </c>
      <c r="AG67" s="152"/>
      <c r="AH67" s="152">
        <f t="shared" si="512"/>
        <v>24949.72</v>
      </c>
      <c r="AI67" s="152"/>
      <c r="AJ67" s="152">
        <f>307616.56+5400+22425+4499.5+8760+8760+8480+8480+4060+55350+21945+48900+15750+54400+13392.46+10080+4440+11600+11600+19000+16380+3325.5+5100+187650+81860+14437.5+30800+37800+33600+42000+29400</f>
        <v>1127291.52</v>
      </c>
      <c r="AK67" s="152"/>
      <c r="AL67" s="152">
        <f t="shared" si="513"/>
        <v>1127291.52</v>
      </c>
      <c r="AM67" s="152">
        <v>975000</v>
      </c>
      <c r="AN67" s="152">
        <f>2333878.1+2920.12+225+3033+585000+700000+50000+200000-2920.12-975000+236741.66</f>
        <v>3133877.7600000002</v>
      </c>
      <c r="AO67" s="152"/>
      <c r="AP67" s="152">
        <f t="shared" si="514"/>
        <v>4108877.7600000002</v>
      </c>
      <c r="AQ67" s="152">
        <f t="shared" si="515"/>
        <v>975000</v>
      </c>
      <c r="AR67" s="152">
        <f t="shared" si="515"/>
        <v>4695733</v>
      </c>
      <c r="AS67" s="152">
        <f t="shared" si="515"/>
        <v>0</v>
      </c>
      <c r="AT67" s="168">
        <f t="shared" si="516"/>
        <v>5670733</v>
      </c>
      <c r="AU67" s="152"/>
      <c r="AV67" s="152">
        <f>4980+4980+4980+4500+4000+2500+44700+21600+12533+2028+1581+7000+5000+600+1200+45400+7650+12555+12555+12320+29440+19008+21600+17760+16000+45328+13166</f>
        <v>374964</v>
      </c>
      <c r="AW67" s="152"/>
      <c r="AX67" s="152">
        <f t="shared" si="517"/>
        <v>374964</v>
      </c>
      <c r="AY67" s="152">
        <v>0</v>
      </c>
      <c r="AZ67" s="152">
        <f>34650+11304.22+13645.5</f>
        <v>59599.72</v>
      </c>
      <c r="BA67" s="152"/>
      <c r="BB67" s="152">
        <f t="shared" si="518"/>
        <v>59599.72</v>
      </c>
      <c r="BC67" s="152"/>
      <c r="BD67" s="152">
        <f>260531.56+39900+7185+5400+22425+4499.5+8760+8760+8480+8480+4060+55350+21945+48900+15750+54400+13392.46+10080+4440+11600+11600+19000+3325.5+16380+5100+187650+81860+14437.5</f>
        <v>953691.52</v>
      </c>
      <c r="BE67" s="152"/>
      <c r="BF67" s="152">
        <f t="shared" si="519"/>
        <v>953691.52</v>
      </c>
      <c r="BG67" s="152">
        <v>975000</v>
      </c>
      <c r="BH67" s="152">
        <f>1532478.1+225+975000+3033+585000+700000+50000+200000-975000</f>
        <v>3070736.1</v>
      </c>
      <c r="BI67" s="152"/>
      <c r="BJ67" s="152">
        <f t="shared" si="520"/>
        <v>4045736.1</v>
      </c>
      <c r="BK67" s="152">
        <f t="shared" si="521"/>
        <v>975000</v>
      </c>
      <c r="BL67" s="152">
        <f t="shared" si="521"/>
        <v>4458991.34</v>
      </c>
      <c r="BM67" s="152">
        <f t="shared" si="521"/>
        <v>0</v>
      </c>
      <c r="BN67" s="152">
        <f t="shared" si="522"/>
        <v>5433991.3399999999</v>
      </c>
      <c r="BO67" s="168"/>
      <c r="BP67" s="152">
        <f t="shared" si="523"/>
        <v>0</v>
      </c>
      <c r="BQ67" s="152">
        <f t="shared" si="523"/>
        <v>324267</v>
      </c>
      <c r="BR67" s="152">
        <f t="shared" si="523"/>
        <v>0</v>
      </c>
      <c r="BS67" s="168">
        <f t="shared" si="524"/>
        <v>324267</v>
      </c>
      <c r="BT67" s="152"/>
      <c r="BU67" s="152"/>
      <c r="BV67" s="152"/>
      <c r="BW67" s="152">
        <f t="shared" si="525"/>
        <v>0</v>
      </c>
      <c r="BX67" s="152">
        <f t="shared" si="20"/>
        <v>0</v>
      </c>
      <c r="BY67" s="152">
        <f t="shared" si="21"/>
        <v>236741.66000000015</v>
      </c>
      <c r="BZ67" s="152">
        <f t="shared" si="22"/>
        <v>0</v>
      </c>
      <c r="CA67" s="587">
        <f t="shared" si="23"/>
        <v>236741.66000000015</v>
      </c>
    </row>
    <row r="68" spans="1:79" ht="14.1" customHeight="1" x14ac:dyDescent="0.2">
      <c r="A68" s="122" t="s">
        <v>570</v>
      </c>
      <c r="B68" s="568"/>
      <c r="C68" s="81" t="s">
        <v>201</v>
      </c>
      <c r="D68" s="69" t="s">
        <v>571</v>
      </c>
      <c r="E68" s="566"/>
      <c r="G68" s="152"/>
      <c r="H68" s="152"/>
      <c r="I68" s="152"/>
      <c r="J68" s="152">
        <f t="shared" si="24"/>
        <v>0</v>
      </c>
      <c r="K68" s="152"/>
      <c r="L68" s="152"/>
      <c r="M68" s="152"/>
      <c r="N68" s="152">
        <f t="shared" si="505"/>
        <v>0</v>
      </c>
      <c r="O68" s="152"/>
      <c r="P68" s="152"/>
      <c r="Q68" s="152"/>
      <c r="R68" s="152">
        <f t="shared" si="506"/>
        <v>0</v>
      </c>
      <c r="S68" s="152"/>
      <c r="T68" s="152"/>
      <c r="U68" s="152"/>
      <c r="V68" s="152">
        <f t="shared" si="507"/>
        <v>0</v>
      </c>
      <c r="W68" s="152">
        <f t="shared" si="508"/>
        <v>0</v>
      </c>
      <c r="X68" s="152">
        <f t="shared" si="509"/>
        <v>0</v>
      </c>
      <c r="Y68" s="152">
        <f t="shared" si="509"/>
        <v>0</v>
      </c>
      <c r="Z68" s="168">
        <f t="shared" si="510"/>
        <v>0</v>
      </c>
      <c r="AA68" s="152"/>
      <c r="AB68" s="152"/>
      <c r="AC68" s="152"/>
      <c r="AD68" s="152">
        <f t="shared" si="511"/>
        <v>0</v>
      </c>
      <c r="AE68" s="152"/>
      <c r="AF68" s="152"/>
      <c r="AG68" s="152"/>
      <c r="AH68" s="152">
        <f t="shared" si="512"/>
        <v>0</v>
      </c>
      <c r="AI68" s="152"/>
      <c r="AJ68" s="152"/>
      <c r="AK68" s="152"/>
      <c r="AL68" s="152">
        <f t="shared" si="513"/>
        <v>0</v>
      </c>
      <c r="AM68" s="152"/>
      <c r="AN68" s="152"/>
      <c r="AO68" s="152"/>
      <c r="AP68" s="152">
        <f t="shared" si="514"/>
        <v>0</v>
      </c>
      <c r="AQ68" s="152">
        <f t="shared" si="515"/>
        <v>0</v>
      </c>
      <c r="AR68" s="152">
        <f t="shared" si="515"/>
        <v>0</v>
      </c>
      <c r="AS68" s="152">
        <f t="shared" si="515"/>
        <v>0</v>
      </c>
      <c r="AT68" s="168">
        <f t="shared" si="516"/>
        <v>0</v>
      </c>
      <c r="AU68" s="152"/>
      <c r="AV68" s="152"/>
      <c r="AW68" s="152"/>
      <c r="AX68" s="152">
        <f t="shared" si="517"/>
        <v>0</v>
      </c>
      <c r="AY68" s="152"/>
      <c r="AZ68" s="152"/>
      <c r="BA68" s="152"/>
      <c r="BB68" s="152">
        <f t="shared" si="518"/>
        <v>0</v>
      </c>
      <c r="BC68" s="152"/>
      <c r="BD68" s="152"/>
      <c r="BE68" s="152"/>
      <c r="BF68" s="152">
        <f t="shared" si="519"/>
        <v>0</v>
      </c>
      <c r="BG68" s="152"/>
      <c r="BH68" s="152"/>
      <c r="BI68" s="152"/>
      <c r="BJ68" s="152">
        <f t="shared" si="520"/>
        <v>0</v>
      </c>
      <c r="BK68" s="152">
        <f t="shared" si="521"/>
        <v>0</v>
      </c>
      <c r="BL68" s="152">
        <f t="shared" si="521"/>
        <v>0</v>
      </c>
      <c r="BM68" s="152">
        <f t="shared" si="521"/>
        <v>0</v>
      </c>
      <c r="BN68" s="152">
        <f t="shared" si="522"/>
        <v>0</v>
      </c>
      <c r="BO68" s="168"/>
      <c r="BP68" s="152">
        <f t="shared" si="523"/>
        <v>0</v>
      </c>
      <c r="BQ68" s="152">
        <f t="shared" si="523"/>
        <v>0</v>
      </c>
      <c r="BR68" s="152">
        <f t="shared" si="523"/>
        <v>0</v>
      </c>
      <c r="BS68" s="168">
        <f t="shared" si="524"/>
        <v>0</v>
      </c>
      <c r="BT68" s="152"/>
      <c r="BU68" s="152"/>
      <c r="BV68" s="152"/>
      <c r="BW68" s="152">
        <f t="shared" si="525"/>
        <v>0</v>
      </c>
      <c r="BX68" s="152">
        <f t="shared" si="20"/>
        <v>0</v>
      </c>
      <c r="BY68" s="152">
        <f t="shared" si="21"/>
        <v>0</v>
      </c>
      <c r="BZ68" s="152">
        <f t="shared" si="22"/>
        <v>0</v>
      </c>
      <c r="CA68" s="587">
        <f t="shared" si="23"/>
        <v>0</v>
      </c>
    </row>
    <row r="69" spans="1:79" ht="14.1" customHeight="1" x14ac:dyDescent="0.2">
      <c r="A69" s="125" t="s">
        <v>163</v>
      </c>
      <c r="B69" s="78" t="s">
        <v>131</v>
      </c>
      <c r="C69" s="568" t="s">
        <v>164</v>
      </c>
      <c r="D69" s="574"/>
      <c r="E69" s="79"/>
      <c r="G69" s="156">
        <f>SUM(G70:G74)</f>
        <v>0</v>
      </c>
      <c r="H69" s="156">
        <f t="shared" ref="H69:I69" si="526">SUM(H70:H74)</f>
        <v>2158000</v>
      </c>
      <c r="I69" s="156">
        <f t="shared" si="526"/>
        <v>0</v>
      </c>
      <c r="J69" s="156">
        <f t="shared" ref="J69:BS69" si="527">SUM(J70:J74)</f>
        <v>2158000</v>
      </c>
      <c r="K69" s="156">
        <f>SUM(K70:K74)</f>
        <v>0</v>
      </c>
      <c r="L69" s="156">
        <f t="shared" ref="L69" si="528">SUM(L70:L74)</f>
        <v>-61800</v>
      </c>
      <c r="M69" s="156">
        <f t="shared" ref="M69:N69" si="529">SUM(M70:M74)</f>
        <v>0</v>
      </c>
      <c r="N69" s="156">
        <f t="shared" si="529"/>
        <v>-61800</v>
      </c>
      <c r="O69" s="156">
        <f>SUM(O70:O74)</f>
        <v>0</v>
      </c>
      <c r="P69" s="156">
        <f t="shared" ref="P69" si="530">SUM(P70:P74)</f>
        <v>0</v>
      </c>
      <c r="Q69" s="156">
        <f t="shared" ref="Q69:R69" si="531">SUM(Q70:Q74)</f>
        <v>0</v>
      </c>
      <c r="R69" s="156">
        <f t="shared" si="531"/>
        <v>0</v>
      </c>
      <c r="S69" s="156">
        <f>SUM(S70:S74)</f>
        <v>0</v>
      </c>
      <c r="T69" s="156">
        <f t="shared" ref="T69" si="532">SUM(T70:T74)</f>
        <v>0</v>
      </c>
      <c r="U69" s="156">
        <f t="shared" ref="U69:V69" si="533">SUM(U70:U74)</f>
        <v>0</v>
      </c>
      <c r="V69" s="156">
        <f t="shared" si="533"/>
        <v>0</v>
      </c>
      <c r="W69" s="156">
        <f t="shared" si="527"/>
        <v>0</v>
      </c>
      <c r="X69" s="156">
        <f t="shared" si="527"/>
        <v>2096200</v>
      </c>
      <c r="Y69" s="156">
        <f t="shared" si="527"/>
        <v>0</v>
      </c>
      <c r="Z69" s="89">
        <f t="shared" si="527"/>
        <v>2096200</v>
      </c>
      <c r="AA69" s="156">
        <f t="shared" ref="AA69:AX69" si="534">SUM(AA70:AA74)</f>
        <v>0</v>
      </c>
      <c r="AB69" s="156">
        <f t="shared" si="534"/>
        <v>127002.26999999999</v>
      </c>
      <c r="AC69" s="156">
        <f t="shared" si="534"/>
        <v>0</v>
      </c>
      <c r="AD69" s="156">
        <f t="shared" si="534"/>
        <v>127002.26999999999</v>
      </c>
      <c r="AE69" s="156">
        <f>SUM(AE70:AE74)</f>
        <v>0</v>
      </c>
      <c r="AF69" s="156">
        <f t="shared" ref="AF69:AH69" si="535">SUM(AF70:AF74)</f>
        <v>531393.5</v>
      </c>
      <c r="AG69" s="156">
        <f t="shared" si="535"/>
        <v>0</v>
      </c>
      <c r="AH69" s="156">
        <f t="shared" si="535"/>
        <v>531393.5</v>
      </c>
      <c r="AI69" s="156">
        <f>SUM(AI70:AI74)</f>
        <v>0</v>
      </c>
      <c r="AJ69" s="156">
        <f t="shared" ref="AJ69:AL69" si="536">SUM(AJ70:AJ74)</f>
        <v>534084.03</v>
      </c>
      <c r="AK69" s="156">
        <f t="shared" si="536"/>
        <v>0</v>
      </c>
      <c r="AL69" s="156">
        <f t="shared" si="536"/>
        <v>534084.03</v>
      </c>
      <c r="AM69" s="156">
        <f>SUM(AM70:AM74)</f>
        <v>0</v>
      </c>
      <c r="AN69" s="156">
        <f t="shared" ref="AN69:AP69" si="537">SUM(AN70:AN74)</f>
        <v>591904.19999999995</v>
      </c>
      <c r="AO69" s="156">
        <f t="shared" si="537"/>
        <v>0</v>
      </c>
      <c r="AP69" s="156">
        <f t="shared" si="537"/>
        <v>591904.19999999995</v>
      </c>
      <c r="AQ69" s="156">
        <f t="shared" si="534"/>
        <v>0</v>
      </c>
      <c r="AR69" s="156">
        <f t="shared" si="534"/>
        <v>1784384</v>
      </c>
      <c r="AS69" s="156">
        <f t="shared" si="534"/>
        <v>0</v>
      </c>
      <c r="AT69" s="89">
        <f t="shared" si="534"/>
        <v>1784384</v>
      </c>
      <c r="AU69" s="156">
        <f t="shared" si="534"/>
        <v>0</v>
      </c>
      <c r="AV69" s="156">
        <f t="shared" si="534"/>
        <v>15545.76</v>
      </c>
      <c r="AW69" s="156">
        <f t="shared" si="534"/>
        <v>0</v>
      </c>
      <c r="AX69" s="156">
        <f t="shared" si="534"/>
        <v>15545.76</v>
      </c>
      <c r="AY69" s="156">
        <f>SUM(AY70:AY74)</f>
        <v>0</v>
      </c>
      <c r="AZ69" s="156">
        <f t="shared" ref="AZ69" si="538">SUM(AZ70:AZ74)</f>
        <v>641950.01</v>
      </c>
      <c r="BA69" s="156">
        <f t="shared" ref="BA69:BB69" si="539">SUM(BA70:BA74)</f>
        <v>0</v>
      </c>
      <c r="BB69" s="156">
        <f t="shared" si="539"/>
        <v>641950.01</v>
      </c>
      <c r="BC69" s="156">
        <f>SUM(BC70:BC74)</f>
        <v>0</v>
      </c>
      <c r="BD69" s="156">
        <f t="shared" ref="BD69" si="540">SUM(BD70:BD74)</f>
        <v>534984.02999999991</v>
      </c>
      <c r="BE69" s="156">
        <f t="shared" ref="BE69:BF69" si="541">SUM(BE70:BE74)</f>
        <v>0</v>
      </c>
      <c r="BF69" s="156">
        <f t="shared" si="541"/>
        <v>534984.02999999991</v>
      </c>
      <c r="BG69" s="156">
        <f>SUM(BG70:BG74)</f>
        <v>0</v>
      </c>
      <c r="BH69" s="156">
        <f t="shared" ref="BH69" si="542">SUM(BH70:BH74)</f>
        <v>519911.33999999997</v>
      </c>
      <c r="BI69" s="156">
        <f t="shared" ref="BI69:BJ69" si="543">SUM(BI70:BI74)</f>
        <v>0</v>
      </c>
      <c r="BJ69" s="156">
        <f t="shared" si="543"/>
        <v>519911.33999999997</v>
      </c>
      <c r="BK69" s="156">
        <f t="shared" si="527"/>
        <v>0</v>
      </c>
      <c r="BL69" s="156">
        <f t="shared" si="527"/>
        <v>1712391.1399999997</v>
      </c>
      <c r="BM69" s="156">
        <f t="shared" si="527"/>
        <v>0</v>
      </c>
      <c r="BN69" s="156">
        <f t="shared" si="527"/>
        <v>1712391.1399999997</v>
      </c>
      <c r="BO69" s="172">
        <f t="shared" si="527"/>
        <v>0</v>
      </c>
      <c r="BP69" s="156">
        <f t="shared" si="527"/>
        <v>0</v>
      </c>
      <c r="BQ69" s="156">
        <f t="shared" si="527"/>
        <v>311816</v>
      </c>
      <c r="BR69" s="156">
        <f t="shared" si="527"/>
        <v>0</v>
      </c>
      <c r="BS69" s="89">
        <f t="shared" si="527"/>
        <v>311816</v>
      </c>
      <c r="BT69" s="156">
        <f>SUM(BT70:BT74)</f>
        <v>0</v>
      </c>
      <c r="BU69" s="156">
        <f t="shared" ref="BU69" si="544">SUM(BU70:BU74)</f>
        <v>0</v>
      </c>
      <c r="BV69" s="156">
        <f t="shared" ref="BV69:BW69" si="545">SUM(BV70:BV74)</f>
        <v>0</v>
      </c>
      <c r="BW69" s="156">
        <f t="shared" si="545"/>
        <v>0</v>
      </c>
      <c r="BX69" s="156">
        <f t="shared" ref="BX69:CA69" si="546">SUM(BX70:BX74)</f>
        <v>0</v>
      </c>
      <c r="BY69" s="156">
        <f t="shared" si="546"/>
        <v>71992.860000000335</v>
      </c>
      <c r="BZ69" s="156">
        <f t="shared" si="546"/>
        <v>0</v>
      </c>
      <c r="CA69" s="130">
        <f t="shared" si="546"/>
        <v>71992.860000000335</v>
      </c>
    </row>
    <row r="70" spans="1:79" ht="14.1" customHeight="1" x14ac:dyDescent="0.2">
      <c r="A70" s="122" t="s">
        <v>572</v>
      </c>
      <c r="B70" s="78"/>
      <c r="C70" s="81" t="s">
        <v>146</v>
      </c>
      <c r="D70" s="69" t="s">
        <v>573</v>
      </c>
      <c r="E70" s="79"/>
      <c r="G70" s="152"/>
      <c r="H70" s="152">
        <v>2158000</v>
      </c>
      <c r="I70" s="152"/>
      <c r="J70" s="152">
        <f t="shared" si="24"/>
        <v>2158000</v>
      </c>
      <c r="K70" s="152"/>
      <c r="L70" s="152">
        <v>-61800</v>
      </c>
      <c r="M70" s="152"/>
      <c r="N70" s="152">
        <f t="shared" ref="N70:N74" si="547">SUM(K70:M70)</f>
        <v>-61800</v>
      </c>
      <c r="O70" s="152"/>
      <c r="P70" s="152"/>
      <c r="Q70" s="152"/>
      <c r="R70" s="152">
        <f t="shared" ref="R70:R74" si="548">SUM(O70:Q70)</f>
        <v>0</v>
      </c>
      <c r="S70" s="152"/>
      <c r="T70" s="152"/>
      <c r="U70" s="152"/>
      <c r="V70" s="152">
        <f t="shared" ref="V70:V74" si="549">SUM(S70:U70)</f>
        <v>0</v>
      </c>
      <c r="W70" s="152">
        <f>G70-O70+S70+K70</f>
        <v>0</v>
      </c>
      <c r="X70" s="152">
        <f t="shared" ref="X70:Y74" si="550">H70-P70+T70+L70</f>
        <v>2096200</v>
      </c>
      <c r="Y70" s="152">
        <f t="shared" si="550"/>
        <v>0</v>
      </c>
      <c r="Z70" s="168">
        <f>SUM(W70:Y70)</f>
        <v>2096200</v>
      </c>
      <c r="AA70" s="152"/>
      <c r="AB70" s="152">
        <f>600+675+675+800+1835.76+10960+111456.51</f>
        <v>127002.26999999999</v>
      </c>
      <c r="AC70" s="152"/>
      <c r="AD70" s="152">
        <f t="shared" ref="AD70:AD74" si="551">SUM(AA70:AC70)</f>
        <v>127002.26999999999</v>
      </c>
      <c r="AE70" s="152"/>
      <c r="AF70" s="152">
        <f>314139.37+1000+400+1080+2200+1000+2181.74+3547.51+2148.54+203696.34</f>
        <v>531393.5</v>
      </c>
      <c r="AG70" s="152"/>
      <c r="AH70" s="152">
        <f t="shared" ref="AH70:AH74" si="552">SUM(AE70:AG70)</f>
        <v>531393.5</v>
      </c>
      <c r="AI70" s="152"/>
      <c r="AJ70" s="152">
        <f>386018.44+1000+3231.41+6570+5600+3600+5600+4000+2995.84+4044.92+4000+5340.32+5300+8182.55+11500+17920+6300+6300+6196.44+5352.5+5300+4572+4500+4692.8+4998.96+331.24+10636.61</f>
        <v>534084.03</v>
      </c>
      <c r="AK70" s="152"/>
      <c r="AL70" s="152">
        <f t="shared" ref="AL70:AL74" si="553">SUM(AI70:AK70)</f>
        <v>534084.03</v>
      </c>
      <c r="AM70" s="152"/>
      <c r="AN70" s="152">
        <f>260743.91+11440+11440+7374+2560+3100+82000+5446.96+5492.72+5215.68+10937+4590+7225+14865+1000+7978.16+3951.04+4551.87+60000+10000+1275+53310+5210+12197.86</f>
        <v>591904.19999999995</v>
      </c>
      <c r="AO70" s="152"/>
      <c r="AP70" s="152">
        <f t="shared" ref="AP70:AP74" si="554">SUM(AM70:AO70)</f>
        <v>591904.19999999995</v>
      </c>
      <c r="AQ70" s="152">
        <f t="shared" ref="AQ70:AS74" si="555">AA70+AE70+AI70+AM70</f>
        <v>0</v>
      </c>
      <c r="AR70" s="152">
        <f t="shared" si="555"/>
        <v>1784384</v>
      </c>
      <c r="AS70" s="152">
        <f t="shared" si="555"/>
        <v>0</v>
      </c>
      <c r="AT70" s="168">
        <f>SUM(AQ70:AS70)</f>
        <v>1784384</v>
      </c>
      <c r="AU70" s="152"/>
      <c r="AV70" s="152">
        <f>600+675+675+800+1835.76+10960</f>
        <v>15545.76</v>
      </c>
      <c r="AW70" s="152"/>
      <c r="AX70" s="152">
        <f t="shared" ref="AX70:AX74" si="556">SUM(AU70:AW70)</f>
        <v>15545.76</v>
      </c>
      <c r="AY70" s="152"/>
      <c r="AZ70" s="152">
        <f>425595.88+1000+1681.74+3547.51+2148.54+1000+2200+1080+203696.34</f>
        <v>641950.01</v>
      </c>
      <c r="BA70" s="152"/>
      <c r="BB70" s="152">
        <f t="shared" ref="BB70:BB74" si="557">SUM(AY70:BA70)</f>
        <v>641950.01</v>
      </c>
      <c r="BC70" s="152"/>
      <c r="BD70" s="152">
        <f>386268.44+200+250+200+1000+3231.41+6570+5400+3400+5400+3600+2795.84+3844.92+3600+5140.32+5050+8182.55+11500+17920+250+6300+6300+6196.44+5352.5+5300+4572+4500+4692.8+4998.96+331.24+200+200+200+400+200+200+400+200+10636.61</f>
        <v>534984.02999999991</v>
      </c>
      <c r="BE70" s="152"/>
      <c r="BF70" s="152">
        <f t="shared" ref="BF70:BF74" si="558">SUM(BC70:BE70)</f>
        <v>534984.02999999991</v>
      </c>
      <c r="BG70" s="152"/>
      <c r="BH70" s="152">
        <f>259543.91+200+400+400+11440+11440+7374+2560+3100+200+5046.96+5092.72+5015.68+82000+400+400+200+10937+4590+7225+14865+1000+7978.16+3951.04+4551.87+60000+10000</f>
        <v>519911.33999999997</v>
      </c>
      <c r="BI70" s="152"/>
      <c r="BJ70" s="152">
        <f t="shared" ref="BJ70:BJ74" si="559">SUM(BG70:BI70)</f>
        <v>519911.33999999997</v>
      </c>
      <c r="BK70" s="152">
        <f t="shared" ref="BK70:BM74" si="560">AU70+AY70+BC70+BG70</f>
        <v>0</v>
      </c>
      <c r="BL70" s="152">
        <f t="shared" si="560"/>
        <v>1712391.1399999997</v>
      </c>
      <c r="BM70" s="152">
        <f t="shared" si="560"/>
        <v>0</v>
      </c>
      <c r="BN70" s="152">
        <f>SUM(BK70:BM70)</f>
        <v>1712391.1399999997</v>
      </c>
      <c r="BO70" s="168"/>
      <c r="BP70" s="152">
        <f t="shared" ref="BP70:BR74" si="561">W70-AQ70</f>
        <v>0</v>
      </c>
      <c r="BQ70" s="152">
        <f t="shared" si="561"/>
        <v>311816</v>
      </c>
      <c r="BR70" s="152">
        <f t="shared" si="561"/>
        <v>0</v>
      </c>
      <c r="BS70" s="168">
        <f>SUM(BP70:BR70)</f>
        <v>311816</v>
      </c>
      <c r="BT70" s="152"/>
      <c r="BU70" s="152"/>
      <c r="BV70" s="152"/>
      <c r="BW70" s="152">
        <f t="shared" ref="BW70:BW74" si="562">SUM(BT70:BV70)</f>
        <v>0</v>
      </c>
      <c r="BX70" s="152">
        <f t="shared" si="20"/>
        <v>0</v>
      </c>
      <c r="BY70" s="152">
        <f t="shared" si="21"/>
        <v>71992.860000000335</v>
      </c>
      <c r="BZ70" s="152">
        <f t="shared" si="22"/>
        <v>0</v>
      </c>
      <c r="CA70" s="587">
        <f t="shared" si="23"/>
        <v>71992.860000000335</v>
      </c>
    </row>
    <row r="71" spans="1:79" ht="14.1" customHeight="1" x14ac:dyDescent="0.2">
      <c r="A71" s="122" t="s">
        <v>574</v>
      </c>
      <c r="B71" s="78" t="s">
        <v>13</v>
      </c>
      <c r="C71" s="81" t="s">
        <v>147</v>
      </c>
      <c r="D71" s="79" t="s">
        <v>165</v>
      </c>
      <c r="G71" s="152"/>
      <c r="H71" s="152"/>
      <c r="I71" s="152"/>
      <c r="J71" s="152">
        <f t="shared" si="24"/>
        <v>0</v>
      </c>
      <c r="K71" s="152"/>
      <c r="L71" s="152"/>
      <c r="M71" s="152"/>
      <c r="N71" s="152">
        <f t="shared" si="547"/>
        <v>0</v>
      </c>
      <c r="O71" s="152"/>
      <c r="P71" s="152"/>
      <c r="Q71" s="152"/>
      <c r="R71" s="152">
        <f t="shared" si="548"/>
        <v>0</v>
      </c>
      <c r="S71" s="152"/>
      <c r="T71" s="152"/>
      <c r="U71" s="152"/>
      <c r="V71" s="152">
        <f t="shared" si="549"/>
        <v>0</v>
      </c>
      <c r="W71" s="152">
        <f>G71-O71+S71+K71</f>
        <v>0</v>
      </c>
      <c r="X71" s="152">
        <f t="shared" si="550"/>
        <v>0</v>
      </c>
      <c r="Y71" s="152">
        <f t="shared" si="550"/>
        <v>0</v>
      </c>
      <c r="Z71" s="168">
        <f>SUM(W71:Y71)</f>
        <v>0</v>
      </c>
      <c r="AA71" s="152"/>
      <c r="AB71" s="152">
        <v>0</v>
      </c>
      <c r="AC71" s="152"/>
      <c r="AD71" s="152">
        <f t="shared" si="551"/>
        <v>0</v>
      </c>
      <c r="AE71" s="152"/>
      <c r="AF71" s="152"/>
      <c r="AG71" s="152"/>
      <c r="AH71" s="152">
        <f t="shared" si="552"/>
        <v>0</v>
      </c>
      <c r="AI71" s="152"/>
      <c r="AJ71" s="152"/>
      <c r="AK71" s="152"/>
      <c r="AL71" s="152">
        <f t="shared" si="553"/>
        <v>0</v>
      </c>
      <c r="AM71" s="152"/>
      <c r="AN71" s="152"/>
      <c r="AO71" s="152"/>
      <c r="AP71" s="152">
        <f t="shared" si="554"/>
        <v>0</v>
      </c>
      <c r="AQ71" s="152">
        <f t="shared" si="555"/>
        <v>0</v>
      </c>
      <c r="AR71" s="152">
        <f t="shared" si="555"/>
        <v>0</v>
      </c>
      <c r="AS71" s="152">
        <f t="shared" si="555"/>
        <v>0</v>
      </c>
      <c r="AT71" s="168">
        <f>SUM(AQ71:AS71)</f>
        <v>0</v>
      </c>
      <c r="AU71" s="152"/>
      <c r="AV71" s="152"/>
      <c r="AW71" s="152"/>
      <c r="AX71" s="152">
        <f t="shared" si="556"/>
        <v>0</v>
      </c>
      <c r="AY71" s="152"/>
      <c r="AZ71" s="152"/>
      <c r="BA71" s="152"/>
      <c r="BB71" s="152">
        <f t="shared" si="557"/>
        <v>0</v>
      </c>
      <c r="BC71" s="152"/>
      <c r="BD71" s="152"/>
      <c r="BE71" s="152"/>
      <c r="BF71" s="152">
        <f t="shared" si="558"/>
        <v>0</v>
      </c>
      <c r="BG71" s="152"/>
      <c r="BH71" s="152"/>
      <c r="BI71" s="152"/>
      <c r="BJ71" s="152">
        <f t="shared" si="559"/>
        <v>0</v>
      </c>
      <c r="BK71" s="152">
        <f t="shared" si="560"/>
        <v>0</v>
      </c>
      <c r="BL71" s="152">
        <f t="shared" si="560"/>
        <v>0</v>
      </c>
      <c r="BM71" s="152">
        <f t="shared" si="560"/>
        <v>0</v>
      </c>
      <c r="BN71" s="152">
        <f>SUM(BK71:BM71)</f>
        <v>0</v>
      </c>
      <c r="BO71" s="168"/>
      <c r="BP71" s="152">
        <f t="shared" si="561"/>
        <v>0</v>
      </c>
      <c r="BQ71" s="152">
        <f t="shared" si="561"/>
        <v>0</v>
      </c>
      <c r="BR71" s="152">
        <f t="shared" si="561"/>
        <v>0</v>
      </c>
      <c r="BS71" s="168">
        <f>SUM(BP71:BR71)</f>
        <v>0</v>
      </c>
      <c r="BT71" s="152"/>
      <c r="BU71" s="152"/>
      <c r="BV71" s="152"/>
      <c r="BW71" s="152">
        <f t="shared" si="562"/>
        <v>0</v>
      </c>
      <c r="BX71" s="152">
        <f t="shared" si="20"/>
        <v>0</v>
      </c>
      <c r="BY71" s="152">
        <f t="shared" si="21"/>
        <v>0</v>
      </c>
      <c r="BZ71" s="152">
        <f t="shared" si="22"/>
        <v>0</v>
      </c>
      <c r="CA71" s="587">
        <f t="shared" si="23"/>
        <v>0</v>
      </c>
    </row>
    <row r="72" spans="1:79" ht="14.1" customHeight="1" x14ac:dyDescent="0.2">
      <c r="A72" s="122" t="s">
        <v>575</v>
      </c>
      <c r="B72" s="78" t="s">
        <v>13</v>
      </c>
      <c r="C72" s="81" t="s">
        <v>149</v>
      </c>
      <c r="D72" s="79" t="s">
        <v>166</v>
      </c>
      <c r="G72" s="152"/>
      <c r="H72" s="152"/>
      <c r="I72" s="152"/>
      <c r="J72" s="152">
        <f t="shared" si="24"/>
        <v>0</v>
      </c>
      <c r="K72" s="152"/>
      <c r="L72" s="152"/>
      <c r="M72" s="152"/>
      <c r="N72" s="152">
        <f t="shared" si="547"/>
        <v>0</v>
      </c>
      <c r="O72" s="152"/>
      <c r="P72" s="152"/>
      <c r="Q72" s="152"/>
      <c r="R72" s="152">
        <f t="shared" si="548"/>
        <v>0</v>
      </c>
      <c r="S72" s="152"/>
      <c r="T72" s="152"/>
      <c r="U72" s="152"/>
      <c r="V72" s="152">
        <f t="shared" si="549"/>
        <v>0</v>
      </c>
      <c r="W72" s="152">
        <f>G72-O72+S72+K72</f>
        <v>0</v>
      </c>
      <c r="X72" s="152">
        <f t="shared" si="550"/>
        <v>0</v>
      </c>
      <c r="Y72" s="152">
        <f t="shared" si="550"/>
        <v>0</v>
      </c>
      <c r="Z72" s="168">
        <f>SUM(W72:Y72)</f>
        <v>0</v>
      </c>
      <c r="AA72" s="152"/>
      <c r="AB72" s="152"/>
      <c r="AC72" s="152"/>
      <c r="AD72" s="152">
        <f t="shared" si="551"/>
        <v>0</v>
      </c>
      <c r="AE72" s="152"/>
      <c r="AF72" s="152"/>
      <c r="AG72" s="152"/>
      <c r="AH72" s="152">
        <f t="shared" si="552"/>
        <v>0</v>
      </c>
      <c r="AI72" s="152"/>
      <c r="AJ72" s="152"/>
      <c r="AK72" s="152"/>
      <c r="AL72" s="152">
        <f t="shared" si="553"/>
        <v>0</v>
      </c>
      <c r="AM72" s="152"/>
      <c r="AN72" s="152"/>
      <c r="AO72" s="152"/>
      <c r="AP72" s="152">
        <f t="shared" si="554"/>
        <v>0</v>
      </c>
      <c r="AQ72" s="152">
        <f t="shared" si="555"/>
        <v>0</v>
      </c>
      <c r="AR72" s="152">
        <f t="shared" si="555"/>
        <v>0</v>
      </c>
      <c r="AS72" s="152">
        <f t="shared" si="555"/>
        <v>0</v>
      </c>
      <c r="AT72" s="168">
        <f>SUM(AQ72:AS72)</f>
        <v>0</v>
      </c>
      <c r="AU72" s="152"/>
      <c r="AV72" s="152"/>
      <c r="AW72" s="152"/>
      <c r="AX72" s="152">
        <f t="shared" si="556"/>
        <v>0</v>
      </c>
      <c r="AY72" s="152"/>
      <c r="AZ72" s="152"/>
      <c r="BA72" s="152"/>
      <c r="BB72" s="152">
        <f t="shared" si="557"/>
        <v>0</v>
      </c>
      <c r="BC72" s="152"/>
      <c r="BD72" s="152"/>
      <c r="BE72" s="152"/>
      <c r="BF72" s="152">
        <f t="shared" si="558"/>
        <v>0</v>
      </c>
      <c r="BG72" s="152"/>
      <c r="BH72" s="152"/>
      <c r="BI72" s="152"/>
      <c r="BJ72" s="152">
        <f t="shared" si="559"/>
        <v>0</v>
      </c>
      <c r="BK72" s="152">
        <f t="shared" si="560"/>
        <v>0</v>
      </c>
      <c r="BL72" s="152">
        <f t="shared" si="560"/>
        <v>0</v>
      </c>
      <c r="BM72" s="152">
        <f t="shared" si="560"/>
        <v>0</v>
      </c>
      <c r="BN72" s="152">
        <f>SUM(BK72:BM72)</f>
        <v>0</v>
      </c>
      <c r="BO72" s="168"/>
      <c r="BP72" s="152">
        <f t="shared" si="561"/>
        <v>0</v>
      </c>
      <c r="BQ72" s="152">
        <f t="shared" si="561"/>
        <v>0</v>
      </c>
      <c r="BR72" s="152">
        <f t="shared" si="561"/>
        <v>0</v>
      </c>
      <c r="BS72" s="168">
        <f>SUM(BP72:BR72)</f>
        <v>0</v>
      </c>
      <c r="BT72" s="152"/>
      <c r="BU72" s="152"/>
      <c r="BV72" s="152"/>
      <c r="BW72" s="152">
        <f t="shared" si="562"/>
        <v>0</v>
      </c>
      <c r="BX72" s="152">
        <f t="shared" si="20"/>
        <v>0</v>
      </c>
      <c r="BY72" s="152">
        <f t="shared" si="21"/>
        <v>0</v>
      </c>
      <c r="BZ72" s="152">
        <f t="shared" si="22"/>
        <v>0</v>
      </c>
      <c r="CA72" s="587">
        <f t="shared" si="23"/>
        <v>0</v>
      </c>
    </row>
    <row r="73" spans="1:79" ht="14.1" customHeight="1" x14ac:dyDescent="0.2">
      <c r="A73" s="122" t="s">
        <v>576</v>
      </c>
      <c r="B73" s="568"/>
      <c r="C73" s="81" t="s">
        <v>150</v>
      </c>
      <c r="D73" s="901" t="s">
        <v>568</v>
      </c>
      <c r="E73" s="902"/>
      <c r="G73" s="152"/>
      <c r="H73" s="152"/>
      <c r="I73" s="152"/>
      <c r="J73" s="152">
        <f t="shared" si="24"/>
        <v>0</v>
      </c>
      <c r="K73" s="152"/>
      <c r="L73" s="152"/>
      <c r="M73" s="152"/>
      <c r="N73" s="152">
        <f t="shared" si="547"/>
        <v>0</v>
      </c>
      <c r="O73" s="152"/>
      <c r="P73" s="152"/>
      <c r="Q73" s="152"/>
      <c r="R73" s="152">
        <f t="shared" si="548"/>
        <v>0</v>
      </c>
      <c r="S73" s="152"/>
      <c r="T73" s="152"/>
      <c r="U73" s="152"/>
      <c r="V73" s="152">
        <f t="shared" si="549"/>
        <v>0</v>
      </c>
      <c r="W73" s="152">
        <f>G73-O73+S73+K73</f>
        <v>0</v>
      </c>
      <c r="X73" s="152">
        <f t="shared" si="550"/>
        <v>0</v>
      </c>
      <c r="Y73" s="152">
        <f t="shared" si="550"/>
        <v>0</v>
      </c>
      <c r="Z73" s="168">
        <f>SUM(W73:Y73)</f>
        <v>0</v>
      </c>
      <c r="AA73" s="152"/>
      <c r="AB73" s="152"/>
      <c r="AC73" s="152"/>
      <c r="AD73" s="152">
        <f t="shared" si="551"/>
        <v>0</v>
      </c>
      <c r="AE73" s="152"/>
      <c r="AF73" s="152"/>
      <c r="AG73" s="152"/>
      <c r="AH73" s="152">
        <f t="shared" si="552"/>
        <v>0</v>
      </c>
      <c r="AI73" s="152"/>
      <c r="AJ73" s="152"/>
      <c r="AK73" s="152"/>
      <c r="AL73" s="152">
        <f t="shared" si="553"/>
        <v>0</v>
      </c>
      <c r="AM73" s="152"/>
      <c r="AN73" s="152"/>
      <c r="AO73" s="152"/>
      <c r="AP73" s="152">
        <f t="shared" si="554"/>
        <v>0</v>
      </c>
      <c r="AQ73" s="152">
        <f t="shared" si="555"/>
        <v>0</v>
      </c>
      <c r="AR73" s="152">
        <f t="shared" si="555"/>
        <v>0</v>
      </c>
      <c r="AS73" s="152">
        <f t="shared" si="555"/>
        <v>0</v>
      </c>
      <c r="AT73" s="168">
        <f>SUM(AQ73:AS73)</f>
        <v>0</v>
      </c>
      <c r="AU73" s="152"/>
      <c r="AV73" s="152"/>
      <c r="AW73" s="152"/>
      <c r="AX73" s="152">
        <f t="shared" si="556"/>
        <v>0</v>
      </c>
      <c r="AY73" s="152"/>
      <c r="AZ73" s="152"/>
      <c r="BA73" s="152"/>
      <c r="BB73" s="152">
        <f t="shared" si="557"/>
        <v>0</v>
      </c>
      <c r="BC73" s="152"/>
      <c r="BD73" s="152"/>
      <c r="BE73" s="152"/>
      <c r="BF73" s="152">
        <f t="shared" si="558"/>
        <v>0</v>
      </c>
      <c r="BG73" s="152"/>
      <c r="BH73" s="152"/>
      <c r="BI73" s="152"/>
      <c r="BJ73" s="152">
        <f t="shared" si="559"/>
        <v>0</v>
      </c>
      <c r="BK73" s="152">
        <f t="shared" si="560"/>
        <v>0</v>
      </c>
      <c r="BL73" s="152">
        <f t="shared" si="560"/>
        <v>0</v>
      </c>
      <c r="BM73" s="152">
        <f t="shared" si="560"/>
        <v>0</v>
      </c>
      <c r="BN73" s="152">
        <f>SUM(BK73:BM73)</f>
        <v>0</v>
      </c>
      <c r="BO73" s="168"/>
      <c r="BP73" s="152">
        <f t="shared" si="561"/>
        <v>0</v>
      </c>
      <c r="BQ73" s="152">
        <f t="shared" si="561"/>
        <v>0</v>
      </c>
      <c r="BR73" s="152">
        <f t="shared" si="561"/>
        <v>0</v>
      </c>
      <c r="BS73" s="168">
        <f>SUM(BP73:BR73)</f>
        <v>0</v>
      </c>
      <c r="BT73" s="152"/>
      <c r="BU73" s="152"/>
      <c r="BV73" s="152"/>
      <c r="BW73" s="152">
        <f t="shared" si="562"/>
        <v>0</v>
      </c>
      <c r="BX73" s="152">
        <f t="shared" si="20"/>
        <v>0</v>
      </c>
      <c r="BY73" s="152">
        <f t="shared" si="21"/>
        <v>0</v>
      </c>
      <c r="BZ73" s="152">
        <f t="shared" si="22"/>
        <v>0</v>
      </c>
      <c r="CA73" s="587">
        <f t="shared" si="23"/>
        <v>0</v>
      </c>
    </row>
    <row r="74" spans="1:79" ht="14.1" customHeight="1" x14ac:dyDescent="0.2">
      <c r="A74" s="122" t="s">
        <v>577</v>
      </c>
      <c r="B74" s="568"/>
      <c r="C74" s="81">
        <v>5</v>
      </c>
      <c r="D74" s="901" t="s">
        <v>167</v>
      </c>
      <c r="E74" s="902"/>
      <c r="G74" s="152"/>
      <c r="H74" s="152"/>
      <c r="I74" s="152"/>
      <c r="J74" s="152">
        <f t="shared" si="24"/>
        <v>0</v>
      </c>
      <c r="K74" s="152"/>
      <c r="L74" s="152"/>
      <c r="M74" s="152"/>
      <c r="N74" s="152">
        <f t="shared" si="547"/>
        <v>0</v>
      </c>
      <c r="O74" s="152"/>
      <c r="P74" s="152"/>
      <c r="Q74" s="152"/>
      <c r="R74" s="152">
        <f t="shared" si="548"/>
        <v>0</v>
      </c>
      <c r="S74" s="152"/>
      <c r="T74" s="152"/>
      <c r="U74" s="152"/>
      <c r="V74" s="152">
        <f t="shared" si="549"/>
        <v>0</v>
      </c>
      <c r="W74" s="152">
        <f>G74-O74+S74+K74</f>
        <v>0</v>
      </c>
      <c r="X74" s="152">
        <f t="shared" si="550"/>
        <v>0</v>
      </c>
      <c r="Y74" s="152">
        <f t="shared" si="550"/>
        <v>0</v>
      </c>
      <c r="Z74" s="168">
        <f>SUM(W74:Y74)</f>
        <v>0</v>
      </c>
      <c r="AA74" s="152"/>
      <c r="AB74" s="152"/>
      <c r="AC74" s="152"/>
      <c r="AD74" s="152">
        <f t="shared" si="551"/>
        <v>0</v>
      </c>
      <c r="AE74" s="152"/>
      <c r="AF74" s="152"/>
      <c r="AG74" s="152"/>
      <c r="AH74" s="152">
        <f t="shared" si="552"/>
        <v>0</v>
      </c>
      <c r="AI74" s="152"/>
      <c r="AJ74" s="152"/>
      <c r="AK74" s="152"/>
      <c r="AL74" s="152">
        <f t="shared" si="553"/>
        <v>0</v>
      </c>
      <c r="AM74" s="152"/>
      <c r="AN74" s="152"/>
      <c r="AO74" s="152"/>
      <c r="AP74" s="152">
        <f t="shared" si="554"/>
        <v>0</v>
      </c>
      <c r="AQ74" s="152">
        <f t="shared" si="555"/>
        <v>0</v>
      </c>
      <c r="AR74" s="152">
        <f t="shared" si="555"/>
        <v>0</v>
      </c>
      <c r="AS74" s="152">
        <f t="shared" si="555"/>
        <v>0</v>
      </c>
      <c r="AT74" s="168">
        <f>SUM(AQ74:AS74)</f>
        <v>0</v>
      </c>
      <c r="AU74" s="152"/>
      <c r="AV74" s="152"/>
      <c r="AW74" s="152"/>
      <c r="AX74" s="152">
        <f t="shared" si="556"/>
        <v>0</v>
      </c>
      <c r="AY74" s="152"/>
      <c r="AZ74" s="152"/>
      <c r="BA74" s="152"/>
      <c r="BB74" s="152">
        <f t="shared" si="557"/>
        <v>0</v>
      </c>
      <c r="BC74" s="152"/>
      <c r="BD74" s="152"/>
      <c r="BE74" s="152"/>
      <c r="BF74" s="152">
        <f t="shared" si="558"/>
        <v>0</v>
      </c>
      <c r="BG74" s="152"/>
      <c r="BH74" s="152"/>
      <c r="BI74" s="152"/>
      <c r="BJ74" s="152">
        <f t="shared" si="559"/>
        <v>0</v>
      </c>
      <c r="BK74" s="152">
        <f t="shared" si="560"/>
        <v>0</v>
      </c>
      <c r="BL74" s="152">
        <f t="shared" si="560"/>
        <v>0</v>
      </c>
      <c r="BM74" s="152">
        <f t="shared" si="560"/>
        <v>0</v>
      </c>
      <c r="BN74" s="152">
        <f>SUM(BK74:BM74)</f>
        <v>0</v>
      </c>
      <c r="BO74" s="168"/>
      <c r="BP74" s="152">
        <f t="shared" si="561"/>
        <v>0</v>
      </c>
      <c r="BQ74" s="152">
        <f t="shared" si="561"/>
        <v>0</v>
      </c>
      <c r="BR74" s="152">
        <f t="shared" si="561"/>
        <v>0</v>
      </c>
      <c r="BS74" s="168">
        <f>SUM(BP74:BR74)</f>
        <v>0</v>
      </c>
      <c r="BT74" s="152"/>
      <c r="BU74" s="152"/>
      <c r="BV74" s="152"/>
      <c r="BW74" s="152">
        <f t="shared" si="562"/>
        <v>0</v>
      </c>
      <c r="BX74" s="152">
        <f t="shared" si="20"/>
        <v>0</v>
      </c>
      <c r="BY74" s="152">
        <f t="shared" si="21"/>
        <v>0</v>
      </c>
      <c r="BZ74" s="152">
        <f t="shared" si="22"/>
        <v>0</v>
      </c>
      <c r="CA74" s="587">
        <f t="shared" si="23"/>
        <v>0</v>
      </c>
    </row>
    <row r="75" spans="1:79" ht="14.1" customHeight="1" x14ac:dyDescent="0.2">
      <c r="A75" s="559" t="s">
        <v>168</v>
      </c>
      <c r="B75" s="523" t="s">
        <v>169</v>
      </c>
      <c r="C75" s="523"/>
      <c r="D75" s="523"/>
      <c r="E75" s="528"/>
      <c r="F75" s="525"/>
      <c r="G75" s="530">
        <f>G76+G78+G82+G86</f>
        <v>0</v>
      </c>
      <c r="H75" s="530">
        <f t="shared" ref="H75:I75" si="563">H76+H78+H82+H86</f>
        <v>1725000</v>
      </c>
      <c r="I75" s="530">
        <f t="shared" si="563"/>
        <v>0</v>
      </c>
      <c r="J75" s="530">
        <f t="shared" ref="J75:BS75" si="564">J76+J78+J82+J86</f>
        <v>1725000</v>
      </c>
      <c r="K75" s="530">
        <f>K76+K78+K82+K86</f>
        <v>0</v>
      </c>
      <c r="L75" s="530">
        <f t="shared" ref="L75" si="565">L76+L78+L82+L86</f>
        <v>-168000</v>
      </c>
      <c r="M75" s="530">
        <f t="shared" ref="M75:N75" si="566">M76+M78+M82+M86</f>
        <v>0</v>
      </c>
      <c r="N75" s="530">
        <f t="shared" si="566"/>
        <v>-168000</v>
      </c>
      <c r="O75" s="530">
        <f>O76+O78+O82+O86</f>
        <v>0</v>
      </c>
      <c r="P75" s="530">
        <f t="shared" ref="P75" si="567">P76+P78+P82+P86</f>
        <v>0</v>
      </c>
      <c r="Q75" s="530">
        <f t="shared" ref="Q75:R75" si="568">Q76+Q78+Q82+Q86</f>
        <v>0</v>
      </c>
      <c r="R75" s="530">
        <f t="shared" si="568"/>
        <v>0</v>
      </c>
      <c r="S75" s="530">
        <f>S76+S78+S82+S86</f>
        <v>0</v>
      </c>
      <c r="T75" s="530">
        <f t="shared" ref="T75" si="569">T76+T78+T82+T86</f>
        <v>0</v>
      </c>
      <c r="U75" s="530">
        <f t="shared" ref="U75:V75" si="570">U76+U78+U82+U86</f>
        <v>0</v>
      </c>
      <c r="V75" s="530">
        <f t="shared" si="570"/>
        <v>0</v>
      </c>
      <c r="W75" s="530">
        <f t="shared" si="564"/>
        <v>0</v>
      </c>
      <c r="X75" s="530">
        <f t="shared" si="564"/>
        <v>1557000</v>
      </c>
      <c r="Y75" s="530">
        <f t="shared" si="564"/>
        <v>0</v>
      </c>
      <c r="Z75" s="531">
        <f t="shared" si="564"/>
        <v>1557000</v>
      </c>
      <c r="AA75" s="530">
        <f t="shared" si="564"/>
        <v>0</v>
      </c>
      <c r="AB75" s="530">
        <f t="shared" si="564"/>
        <v>129440.96000000001</v>
      </c>
      <c r="AC75" s="530">
        <f t="shared" si="564"/>
        <v>0</v>
      </c>
      <c r="AD75" s="530">
        <f t="shared" si="564"/>
        <v>129440.96000000001</v>
      </c>
      <c r="AE75" s="530">
        <f>AE76+AE78+AE82+AE86</f>
        <v>0</v>
      </c>
      <c r="AF75" s="530">
        <f t="shared" ref="AF75:AH75" si="571">AF76+AF78+AF82+AF86</f>
        <v>156758.75</v>
      </c>
      <c r="AG75" s="530">
        <f t="shared" si="571"/>
        <v>0</v>
      </c>
      <c r="AH75" s="530">
        <f t="shared" si="571"/>
        <v>156758.75</v>
      </c>
      <c r="AI75" s="530">
        <f>AI76+AI78+AI82+AI86</f>
        <v>0</v>
      </c>
      <c r="AJ75" s="530">
        <f t="shared" ref="AJ75:AL75" si="572">AJ76+AJ78+AJ82+AJ86</f>
        <v>226033</v>
      </c>
      <c r="AK75" s="530">
        <f t="shared" si="572"/>
        <v>0</v>
      </c>
      <c r="AL75" s="530">
        <f t="shared" si="572"/>
        <v>226033</v>
      </c>
      <c r="AM75" s="530">
        <f>AM76+AM78+AM82+AM86</f>
        <v>0</v>
      </c>
      <c r="AN75" s="530">
        <f t="shared" ref="AN75:AP75" si="573">AN76+AN78+AN82+AN86</f>
        <v>798795.51</v>
      </c>
      <c r="AO75" s="530">
        <f t="shared" si="573"/>
        <v>0</v>
      </c>
      <c r="AP75" s="530">
        <f t="shared" si="573"/>
        <v>798795.51</v>
      </c>
      <c r="AQ75" s="530">
        <f t="shared" si="564"/>
        <v>0</v>
      </c>
      <c r="AR75" s="530">
        <f t="shared" si="564"/>
        <v>1311028.22</v>
      </c>
      <c r="AS75" s="530">
        <f t="shared" si="564"/>
        <v>0</v>
      </c>
      <c r="AT75" s="531">
        <f t="shared" si="564"/>
        <v>1311028.22</v>
      </c>
      <c r="AU75" s="530">
        <f t="shared" si="564"/>
        <v>0</v>
      </c>
      <c r="AV75" s="530">
        <f t="shared" si="564"/>
        <v>129440.96000000001</v>
      </c>
      <c r="AW75" s="530">
        <f t="shared" si="564"/>
        <v>0</v>
      </c>
      <c r="AX75" s="530">
        <f t="shared" si="564"/>
        <v>129440.96000000001</v>
      </c>
      <c r="AY75" s="530">
        <f>AY76+AY78+AY82+AY86</f>
        <v>0</v>
      </c>
      <c r="AZ75" s="530">
        <f t="shared" ref="AZ75" si="574">AZ76+AZ78+AZ82+AZ86</f>
        <v>156758.75</v>
      </c>
      <c r="BA75" s="530">
        <f t="shared" ref="BA75:BB75" si="575">BA76+BA78+BA82+BA86</f>
        <v>0</v>
      </c>
      <c r="BB75" s="530">
        <f t="shared" si="575"/>
        <v>156758.75</v>
      </c>
      <c r="BC75" s="530">
        <f>BC76+BC78+BC82+BC86</f>
        <v>0</v>
      </c>
      <c r="BD75" s="530">
        <f t="shared" ref="BD75" si="576">BD76+BD78+BD82+BD86</f>
        <v>226033</v>
      </c>
      <c r="BE75" s="530">
        <f t="shared" ref="BE75:BF75" si="577">BE76+BE78+BE82+BE86</f>
        <v>0</v>
      </c>
      <c r="BF75" s="530">
        <f t="shared" si="577"/>
        <v>226033</v>
      </c>
      <c r="BG75" s="530">
        <f>BG76+BG78+BG82+BG86</f>
        <v>0</v>
      </c>
      <c r="BH75" s="530">
        <f t="shared" ref="BH75" si="578">BH76+BH78+BH82+BH86</f>
        <v>465353.47000000003</v>
      </c>
      <c r="BI75" s="530">
        <f t="shared" ref="BI75:BJ75" si="579">BI76+BI78+BI82+BI86</f>
        <v>0</v>
      </c>
      <c r="BJ75" s="530">
        <f t="shared" si="579"/>
        <v>465353.47000000003</v>
      </c>
      <c r="BK75" s="530">
        <f t="shared" si="564"/>
        <v>0</v>
      </c>
      <c r="BL75" s="530">
        <f t="shared" si="564"/>
        <v>977586.17999999993</v>
      </c>
      <c r="BM75" s="530">
        <f t="shared" si="564"/>
        <v>0</v>
      </c>
      <c r="BN75" s="530">
        <f t="shared" si="564"/>
        <v>977586.17999999993</v>
      </c>
      <c r="BO75" s="532">
        <f t="shared" si="564"/>
        <v>0</v>
      </c>
      <c r="BP75" s="530">
        <f t="shared" si="564"/>
        <v>0</v>
      </c>
      <c r="BQ75" s="530">
        <f t="shared" si="564"/>
        <v>245971.78000000003</v>
      </c>
      <c r="BR75" s="530">
        <f t="shared" si="564"/>
        <v>0</v>
      </c>
      <c r="BS75" s="531">
        <f t="shared" si="564"/>
        <v>245971.78000000003</v>
      </c>
      <c r="BT75" s="530">
        <f>BT76+BT78+BT82+BT86</f>
        <v>0</v>
      </c>
      <c r="BU75" s="530">
        <f t="shared" ref="BU75" si="580">BU76+BU78+BU82+BU86</f>
        <v>0</v>
      </c>
      <c r="BV75" s="530">
        <f t="shared" ref="BV75:BW75" si="581">BV76+BV78+BV82+BV86</f>
        <v>0</v>
      </c>
      <c r="BW75" s="530">
        <f t="shared" si="581"/>
        <v>0</v>
      </c>
      <c r="BX75" s="530">
        <f t="shared" ref="BX75:CA75" si="582">BX76+BX78+BX82+BX86</f>
        <v>0</v>
      </c>
      <c r="BY75" s="530">
        <f t="shared" si="582"/>
        <v>333442.03999999998</v>
      </c>
      <c r="BZ75" s="530">
        <f t="shared" si="582"/>
        <v>0</v>
      </c>
      <c r="CA75" s="533">
        <f t="shared" si="582"/>
        <v>333442.03999999998</v>
      </c>
    </row>
    <row r="76" spans="1:79" ht="14.1" customHeight="1" x14ac:dyDescent="0.2">
      <c r="A76" s="127" t="s">
        <v>170</v>
      </c>
      <c r="B76" s="78" t="s">
        <v>126</v>
      </c>
      <c r="C76" s="69" t="s">
        <v>171</v>
      </c>
      <c r="D76" s="69"/>
      <c r="E76" s="79"/>
      <c r="G76" s="154">
        <f>G77</f>
        <v>0</v>
      </c>
      <c r="H76" s="154">
        <f t="shared" ref="H76:I76" si="583">H77</f>
        <v>1000000</v>
      </c>
      <c r="I76" s="154">
        <f t="shared" si="583"/>
        <v>0</v>
      </c>
      <c r="J76" s="154">
        <f t="shared" ref="J76:BS76" si="584">J77</f>
        <v>1000000</v>
      </c>
      <c r="K76" s="154">
        <f>K77</f>
        <v>0</v>
      </c>
      <c r="L76" s="154">
        <f t="shared" ref="L76" si="585">L77</f>
        <v>-168000</v>
      </c>
      <c r="M76" s="154">
        <f t="shared" ref="M76" si="586">M77</f>
        <v>0</v>
      </c>
      <c r="N76" s="154">
        <f t="shared" si="584"/>
        <v>-168000</v>
      </c>
      <c r="O76" s="154">
        <f>O77</f>
        <v>0</v>
      </c>
      <c r="P76" s="154">
        <f t="shared" ref="P76" si="587">P77</f>
        <v>0</v>
      </c>
      <c r="Q76" s="154">
        <f t="shared" ref="Q76" si="588">Q77</f>
        <v>0</v>
      </c>
      <c r="R76" s="154">
        <f t="shared" si="584"/>
        <v>0</v>
      </c>
      <c r="S76" s="154">
        <f>S77</f>
        <v>0</v>
      </c>
      <c r="T76" s="154">
        <f t="shared" ref="T76" si="589">T77</f>
        <v>0</v>
      </c>
      <c r="U76" s="154">
        <f t="shared" ref="U76" si="590">U77</f>
        <v>0</v>
      </c>
      <c r="V76" s="154">
        <f t="shared" si="584"/>
        <v>0</v>
      </c>
      <c r="W76" s="154">
        <f t="shared" si="584"/>
        <v>0</v>
      </c>
      <c r="X76" s="154">
        <f t="shared" si="584"/>
        <v>832000</v>
      </c>
      <c r="Y76" s="154">
        <f t="shared" si="584"/>
        <v>0</v>
      </c>
      <c r="Z76" s="84">
        <f t="shared" si="584"/>
        <v>832000</v>
      </c>
      <c r="AA76" s="154">
        <f t="shared" si="584"/>
        <v>0</v>
      </c>
      <c r="AB76" s="154">
        <f t="shared" si="584"/>
        <v>122540.96</v>
      </c>
      <c r="AC76" s="154">
        <f t="shared" si="584"/>
        <v>0</v>
      </c>
      <c r="AD76" s="154">
        <f t="shared" si="584"/>
        <v>122540.96</v>
      </c>
      <c r="AE76" s="154">
        <f>AE77</f>
        <v>0</v>
      </c>
      <c r="AF76" s="154">
        <f t="shared" ref="AF76:AG76" si="591">AF77</f>
        <v>135833</v>
      </c>
      <c r="AG76" s="154">
        <f t="shared" si="591"/>
        <v>0</v>
      </c>
      <c r="AH76" s="154">
        <f t="shared" si="584"/>
        <v>135833</v>
      </c>
      <c r="AI76" s="154">
        <f>AI77</f>
        <v>0</v>
      </c>
      <c r="AJ76" s="154">
        <f t="shared" ref="AJ76:AK76" si="592">AJ77</f>
        <v>0</v>
      </c>
      <c r="AK76" s="154">
        <f t="shared" si="592"/>
        <v>0</v>
      </c>
      <c r="AL76" s="154">
        <f t="shared" si="584"/>
        <v>0</v>
      </c>
      <c r="AM76" s="154">
        <f>AM77</f>
        <v>0</v>
      </c>
      <c r="AN76" s="154">
        <f t="shared" ref="AN76:AO76" si="593">AN77</f>
        <v>421126.04</v>
      </c>
      <c r="AO76" s="154">
        <f t="shared" si="593"/>
        <v>0</v>
      </c>
      <c r="AP76" s="154">
        <f t="shared" si="584"/>
        <v>421126.04</v>
      </c>
      <c r="AQ76" s="154">
        <f t="shared" si="584"/>
        <v>0</v>
      </c>
      <c r="AR76" s="154">
        <f t="shared" si="584"/>
        <v>679500</v>
      </c>
      <c r="AS76" s="154">
        <f t="shared" si="584"/>
        <v>0</v>
      </c>
      <c r="AT76" s="84">
        <f t="shared" si="584"/>
        <v>679500</v>
      </c>
      <c r="AU76" s="154">
        <f t="shared" si="584"/>
        <v>0</v>
      </c>
      <c r="AV76" s="154">
        <f t="shared" si="584"/>
        <v>122540.96</v>
      </c>
      <c r="AW76" s="154">
        <f t="shared" si="584"/>
        <v>0</v>
      </c>
      <c r="AX76" s="154">
        <f t="shared" si="584"/>
        <v>122540.96</v>
      </c>
      <c r="AY76" s="154">
        <f>AY77</f>
        <v>0</v>
      </c>
      <c r="AZ76" s="154">
        <f t="shared" ref="AZ76" si="594">AZ77</f>
        <v>135833</v>
      </c>
      <c r="BA76" s="154">
        <f t="shared" ref="BA76" si="595">BA77</f>
        <v>0</v>
      </c>
      <c r="BB76" s="154">
        <f t="shared" si="584"/>
        <v>135833</v>
      </c>
      <c r="BC76" s="154">
        <f>BC77</f>
        <v>0</v>
      </c>
      <c r="BD76" s="154">
        <f t="shared" ref="BD76" si="596">BD77</f>
        <v>0</v>
      </c>
      <c r="BE76" s="154">
        <f t="shared" ref="BE76" si="597">BE77</f>
        <v>0</v>
      </c>
      <c r="BF76" s="154">
        <f t="shared" si="584"/>
        <v>0</v>
      </c>
      <c r="BG76" s="154">
        <f>BG77</f>
        <v>0</v>
      </c>
      <c r="BH76" s="154">
        <f t="shared" ref="BH76" si="598">BH77</f>
        <v>300000</v>
      </c>
      <c r="BI76" s="154">
        <f t="shared" ref="BI76" si="599">BI77</f>
        <v>0</v>
      </c>
      <c r="BJ76" s="154">
        <f t="shared" si="584"/>
        <v>300000</v>
      </c>
      <c r="BK76" s="154">
        <f t="shared" si="584"/>
        <v>0</v>
      </c>
      <c r="BL76" s="154">
        <f t="shared" si="584"/>
        <v>558373.96</v>
      </c>
      <c r="BM76" s="154">
        <f t="shared" si="584"/>
        <v>0</v>
      </c>
      <c r="BN76" s="154">
        <f t="shared" si="584"/>
        <v>558373.96</v>
      </c>
      <c r="BO76" s="170">
        <f t="shared" si="584"/>
        <v>0</v>
      </c>
      <c r="BP76" s="154">
        <f t="shared" si="584"/>
        <v>0</v>
      </c>
      <c r="BQ76" s="154">
        <f t="shared" si="584"/>
        <v>152500</v>
      </c>
      <c r="BR76" s="154">
        <f t="shared" si="584"/>
        <v>0</v>
      </c>
      <c r="BS76" s="84">
        <f t="shared" si="584"/>
        <v>152500</v>
      </c>
      <c r="BT76" s="154">
        <f>BT77</f>
        <v>0</v>
      </c>
      <c r="BU76" s="154">
        <f t="shared" ref="BU76" si="600">BU77</f>
        <v>0</v>
      </c>
      <c r="BV76" s="154">
        <f t="shared" ref="BV76:BW76" si="601">BV77</f>
        <v>0</v>
      </c>
      <c r="BW76" s="154">
        <f t="shared" si="601"/>
        <v>0</v>
      </c>
      <c r="BX76" s="154">
        <f t="shared" ref="BX76:CA76" si="602">BX77</f>
        <v>0</v>
      </c>
      <c r="BY76" s="154">
        <f t="shared" si="602"/>
        <v>121126.04000000004</v>
      </c>
      <c r="BZ76" s="154">
        <f t="shared" si="602"/>
        <v>0</v>
      </c>
      <c r="CA76" s="126">
        <f t="shared" si="602"/>
        <v>121126.04000000004</v>
      </c>
    </row>
    <row r="77" spans="1:79" ht="14.1" customHeight="1" x14ac:dyDescent="0.2">
      <c r="A77" s="127" t="s">
        <v>172</v>
      </c>
      <c r="B77" s="78"/>
      <c r="C77" s="81" t="s">
        <v>146</v>
      </c>
      <c r="D77" s="69" t="s">
        <v>578</v>
      </c>
      <c r="E77" s="79"/>
      <c r="G77" s="152"/>
      <c r="H77" s="152">
        <v>1000000</v>
      </c>
      <c r="I77" s="152"/>
      <c r="J77" s="152">
        <f t="shared" si="24"/>
        <v>1000000</v>
      </c>
      <c r="K77" s="152"/>
      <c r="L77" s="152">
        <v>-168000</v>
      </c>
      <c r="M77" s="152"/>
      <c r="N77" s="152">
        <f t="shared" ref="N77" si="603">SUM(K77:M77)</f>
        <v>-168000</v>
      </c>
      <c r="O77" s="152"/>
      <c r="P77" s="152"/>
      <c r="Q77" s="152"/>
      <c r="R77" s="152">
        <f t="shared" ref="R77" si="604">SUM(O77:Q77)</f>
        <v>0</v>
      </c>
      <c r="S77" s="152"/>
      <c r="T77" s="152"/>
      <c r="U77" s="152"/>
      <c r="V77" s="152">
        <f t="shared" ref="V77" si="605">SUM(S77:U77)</f>
        <v>0</v>
      </c>
      <c r="W77" s="152">
        <f>G77-O77+S77+K77</f>
        <v>0</v>
      </c>
      <c r="X77" s="152">
        <f t="shared" ref="X77:Y80" si="606">H77-P77+T77+L77</f>
        <v>832000</v>
      </c>
      <c r="Y77" s="152">
        <f t="shared" si="606"/>
        <v>0</v>
      </c>
      <c r="Z77" s="168">
        <f>SUM(W77:Y77)</f>
        <v>832000</v>
      </c>
      <c r="AA77" s="152"/>
      <c r="AB77" s="152">
        <f>11542+9766+4682+7470+40200+18000+1000+4297.96+1389+839+14104+9251</f>
        <v>122540.96</v>
      </c>
      <c r="AC77" s="152"/>
      <c r="AD77" s="152">
        <f t="shared" ref="AD77" si="607">SUM(AA77:AC77)</f>
        <v>122540.96</v>
      </c>
      <c r="AE77" s="152"/>
      <c r="AF77" s="152">
        <v>135833</v>
      </c>
      <c r="AG77" s="152"/>
      <c r="AH77" s="152">
        <f t="shared" ref="AH77" si="608">SUM(AE77:AG77)</f>
        <v>135833</v>
      </c>
      <c r="AI77" s="152"/>
      <c r="AJ77" s="152"/>
      <c r="AK77" s="152"/>
      <c r="AL77" s="152">
        <f t="shared" ref="AL77" si="609">SUM(AI77:AK77)</f>
        <v>0</v>
      </c>
      <c r="AM77" s="152"/>
      <c r="AN77" s="152">
        <f>150000+150000+107026.04+14100</f>
        <v>421126.04</v>
      </c>
      <c r="AO77" s="152"/>
      <c r="AP77" s="152">
        <f t="shared" ref="AP77" si="610">SUM(AM77:AO77)</f>
        <v>421126.04</v>
      </c>
      <c r="AQ77" s="152">
        <f t="shared" ref="AQ77:AS80" si="611">AA77+AE77+AI77+AM77</f>
        <v>0</v>
      </c>
      <c r="AR77" s="152">
        <f t="shared" si="611"/>
        <v>679500</v>
      </c>
      <c r="AS77" s="152">
        <f t="shared" si="611"/>
        <v>0</v>
      </c>
      <c r="AT77" s="168">
        <f>SUM(AQ77:AS77)</f>
        <v>679500</v>
      </c>
      <c r="AU77" s="152"/>
      <c r="AV77" s="152">
        <f>11542+9766+4682+7470+59200+4297.96+1389+839+14104+9251</f>
        <v>122540.96</v>
      </c>
      <c r="AW77" s="152"/>
      <c r="AX77" s="152">
        <f t="shared" ref="AX77" si="612">SUM(AU77:AW77)</f>
        <v>122540.96</v>
      </c>
      <c r="AY77" s="152"/>
      <c r="AZ77" s="152">
        <v>135833</v>
      </c>
      <c r="BA77" s="152"/>
      <c r="BB77" s="152">
        <f t="shared" ref="BB77" si="613">SUM(AY77:BA77)</f>
        <v>135833</v>
      </c>
      <c r="BC77" s="152"/>
      <c r="BD77" s="152"/>
      <c r="BE77" s="152"/>
      <c r="BF77" s="152">
        <f t="shared" ref="BF77" si="614">SUM(BC77:BE77)</f>
        <v>0</v>
      </c>
      <c r="BG77" s="152"/>
      <c r="BH77" s="152">
        <f>150000+150000</f>
        <v>300000</v>
      </c>
      <c r="BI77" s="152"/>
      <c r="BJ77" s="152">
        <f t="shared" ref="BJ77" si="615">SUM(BG77:BI77)</f>
        <v>300000</v>
      </c>
      <c r="BK77" s="152">
        <f t="shared" ref="BK77:BM80" si="616">AU77+AY77+BC77+BG77</f>
        <v>0</v>
      </c>
      <c r="BL77" s="152">
        <f t="shared" si="616"/>
        <v>558373.96</v>
      </c>
      <c r="BM77" s="152">
        <f t="shared" si="616"/>
        <v>0</v>
      </c>
      <c r="BN77" s="152">
        <f>SUM(BK77:BM77)</f>
        <v>558373.96</v>
      </c>
      <c r="BO77" s="168"/>
      <c r="BP77" s="152">
        <f t="shared" ref="BP77:BR80" si="617">W77-AQ77</f>
        <v>0</v>
      </c>
      <c r="BQ77" s="152">
        <f t="shared" si="617"/>
        <v>152500</v>
      </c>
      <c r="BR77" s="152">
        <f t="shared" si="617"/>
        <v>0</v>
      </c>
      <c r="BS77" s="168">
        <f>SUM(BP77:BR77)</f>
        <v>152500</v>
      </c>
      <c r="BT77" s="152"/>
      <c r="BU77" s="152"/>
      <c r="BV77" s="152"/>
      <c r="BW77" s="152">
        <f t="shared" ref="BW77" si="618">SUM(BT77:BV77)</f>
        <v>0</v>
      </c>
      <c r="BX77" s="152">
        <f t="shared" si="20"/>
        <v>0</v>
      </c>
      <c r="BY77" s="152">
        <f t="shared" si="21"/>
        <v>121126.04000000004</v>
      </c>
      <c r="BZ77" s="152">
        <f t="shared" si="22"/>
        <v>0</v>
      </c>
      <c r="CA77" s="587">
        <f t="shared" si="23"/>
        <v>121126.04000000004</v>
      </c>
    </row>
    <row r="78" spans="1:79" ht="14.1" customHeight="1" x14ac:dyDescent="0.2">
      <c r="A78" s="131" t="s">
        <v>173</v>
      </c>
      <c r="B78" s="78" t="s">
        <v>13</v>
      </c>
      <c r="C78" s="78" t="s">
        <v>131</v>
      </c>
      <c r="D78" s="568" t="s">
        <v>174</v>
      </c>
      <c r="E78" s="79"/>
      <c r="G78" s="154">
        <f>SUM(G79:G81)</f>
        <v>0</v>
      </c>
      <c r="H78" s="154">
        <f t="shared" ref="H78:I78" si="619">SUM(H79:H81)</f>
        <v>0</v>
      </c>
      <c r="I78" s="154">
        <f t="shared" si="619"/>
        <v>0</v>
      </c>
      <c r="J78" s="154">
        <f t="shared" ref="J78:BS78" si="620">SUM(J79:J81)</f>
        <v>0</v>
      </c>
      <c r="K78" s="154">
        <f>SUM(K79:K81)</f>
        <v>0</v>
      </c>
      <c r="L78" s="154">
        <f t="shared" ref="L78" si="621">SUM(L79:L81)</f>
        <v>0</v>
      </c>
      <c r="M78" s="154">
        <f t="shared" ref="M78:N78" si="622">SUM(M79:M81)</f>
        <v>0</v>
      </c>
      <c r="N78" s="154">
        <f t="shared" si="622"/>
        <v>0</v>
      </c>
      <c r="O78" s="154">
        <f>SUM(O79:O81)</f>
        <v>0</v>
      </c>
      <c r="P78" s="154">
        <f t="shared" ref="P78" si="623">SUM(P79:P81)</f>
        <v>0</v>
      </c>
      <c r="Q78" s="154">
        <f t="shared" ref="Q78:R78" si="624">SUM(Q79:Q81)</f>
        <v>0</v>
      </c>
      <c r="R78" s="154">
        <f t="shared" si="624"/>
        <v>0</v>
      </c>
      <c r="S78" s="154">
        <f>SUM(S79:S81)</f>
        <v>0</v>
      </c>
      <c r="T78" s="154">
        <f t="shared" ref="T78" si="625">SUM(T79:T81)</f>
        <v>0</v>
      </c>
      <c r="U78" s="154">
        <f t="shared" ref="U78:V78" si="626">SUM(U79:U81)</f>
        <v>0</v>
      </c>
      <c r="V78" s="154">
        <f t="shared" si="626"/>
        <v>0</v>
      </c>
      <c r="W78" s="154">
        <f t="shared" si="620"/>
        <v>0</v>
      </c>
      <c r="X78" s="154">
        <f t="shared" si="620"/>
        <v>0</v>
      </c>
      <c r="Y78" s="154">
        <f t="shared" si="620"/>
        <v>0</v>
      </c>
      <c r="Z78" s="84">
        <f t="shared" si="620"/>
        <v>0</v>
      </c>
      <c r="AA78" s="154">
        <f t="shared" si="620"/>
        <v>0</v>
      </c>
      <c r="AB78" s="154">
        <f t="shared" si="620"/>
        <v>0</v>
      </c>
      <c r="AC78" s="154">
        <f t="shared" si="620"/>
        <v>0</v>
      </c>
      <c r="AD78" s="154">
        <f t="shared" si="620"/>
        <v>0</v>
      </c>
      <c r="AE78" s="154">
        <f>SUM(AE79:AE81)</f>
        <v>0</v>
      </c>
      <c r="AF78" s="154">
        <f t="shared" ref="AF78:AH78" si="627">SUM(AF79:AF81)</f>
        <v>0</v>
      </c>
      <c r="AG78" s="154">
        <f t="shared" si="627"/>
        <v>0</v>
      </c>
      <c r="AH78" s="154">
        <f t="shared" si="627"/>
        <v>0</v>
      </c>
      <c r="AI78" s="154">
        <f>SUM(AI79:AI81)</f>
        <v>0</v>
      </c>
      <c r="AJ78" s="154">
        <f t="shared" ref="AJ78:AL78" si="628">SUM(AJ79:AJ81)</f>
        <v>0</v>
      </c>
      <c r="AK78" s="154">
        <f t="shared" si="628"/>
        <v>0</v>
      </c>
      <c r="AL78" s="154">
        <f t="shared" si="628"/>
        <v>0</v>
      </c>
      <c r="AM78" s="154">
        <f>SUM(AM79:AM81)</f>
        <v>0</v>
      </c>
      <c r="AN78" s="154">
        <f t="shared" ref="AN78:AP78" si="629">SUM(AN79:AN81)</f>
        <v>0</v>
      </c>
      <c r="AO78" s="154">
        <f t="shared" si="629"/>
        <v>0</v>
      </c>
      <c r="AP78" s="154">
        <f t="shared" si="629"/>
        <v>0</v>
      </c>
      <c r="AQ78" s="154">
        <f t="shared" si="620"/>
        <v>0</v>
      </c>
      <c r="AR78" s="154">
        <f t="shared" si="620"/>
        <v>0</v>
      </c>
      <c r="AS78" s="154">
        <f t="shared" si="620"/>
        <v>0</v>
      </c>
      <c r="AT78" s="84">
        <f t="shared" si="620"/>
        <v>0</v>
      </c>
      <c r="AU78" s="154">
        <f t="shared" si="620"/>
        <v>0</v>
      </c>
      <c r="AV78" s="154">
        <f t="shared" si="620"/>
        <v>0</v>
      </c>
      <c r="AW78" s="154">
        <f t="shared" si="620"/>
        <v>0</v>
      </c>
      <c r="AX78" s="154">
        <f t="shared" si="620"/>
        <v>0</v>
      </c>
      <c r="AY78" s="154">
        <f>SUM(AY79:AY81)</f>
        <v>0</v>
      </c>
      <c r="AZ78" s="154">
        <f t="shared" ref="AZ78" si="630">SUM(AZ79:AZ81)</f>
        <v>0</v>
      </c>
      <c r="BA78" s="154">
        <f t="shared" ref="BA78:BB78" si="631">SUM(BA79:BA81)</f>
        <v>0</v>
      </c>
      <c r="BB78" s="154">
        <f t="shared" si="631"/>
        <v>0</v>
      </c>
      <c r="BC78" s="154">
        <f>SUM(BC79:BC81)</f>
        <v>0</v>
      </c>
      <c r="BD78" s="154">
        <f t="shared" ref="BD78" si="632">SUM(BD79:BD81)</f>
        <v>0</v>
      </c>
      <c r="BE78" s="154">
        <f t="shared" ref="BE78:BF78" si="633">SUM(BE79:BE81)</f>
        <v>0</v>
      </c>
      <c r="BF78" s="154">
        <f t="shared" si="633"/>
        <v>0</v>
      </c>
      <c r="BG78" s="154">
        <f>SUM(BG79:BG81)</f>
        <v>0</v>
      </c>
      <c r="BH78" s="154">
        <f t="shared" ref="BH78" si="634">SUM(BH79:BH81)</f>
        <v>0</v>
      </c>
      <c r="BI78" s="154">
        <f t="shared" ref="BI78:BJ78" si="635">SUM(BI79:BI81)</f>
        <v>0</v>
      </c>
      <c r="BJ78" s="154">
        <f t="shared" si="635"/>
        <v>0</v>
      </c>
      <c r="BK78" s="154">
        <f t="shared" si="620"/>
        <v>0</v>
      </c>
      <c r="BL78" s="154">
        <f t="shared" si="620"/>
        <v>0</v>
      </c>
      <c r="BM78" s="154">
        <f t="shared" si="620"/>
        <v>0</v>
      </c>
      <c r="BN78" s="154">
        <f t="shared" si="620"/>
        <v>0</v>
      </c>
      <c r="BO78" s="170">
        <f t="shared" si="620"/>
        <v>0</v>
      </c>
      <c r="BP78" s="154">
        <f t="shared" si="620"/>
        <v>0</v>
      </c>
      <c r="BQ78" s="154">
        <f t="shared" si="620"/>
        <v>0</v>
      </c>
      <c r="BR78" s="154">
        <f t="shared" si="620"/>
        <v>0</v>
      </c>
      <c r="BS78" s="84">
        <f t="shared" si="620"/>
        <v>0</v>
      </c>
      <c r="BT78" s="154">
        <f>SUM(BT79:BT81)</f>
        <v>0</v>
      </c>
      <c r="BU78" s="154">
        <f t="shared" ref="BU78" si="636">SUM(BU79:BU81)</f>
        <v>0</v>
      </c>
      <c r="BV78" s="154">
        <f t="shared" ref="BV78:BW78" si="637">SUM(BV79:BV81)</f>
        <v>0</v>
      </c>
      <c r="BW78" s="154">
        <f t="shared" si="637"/>
        <v>0</v>
      </c>
      <c r="BX78" s="154">
        <f t="shared" ref="BX78:CA78" si="638">SUM(BX79:BX81)</f>
        <v>0</v>
      </c>
      <c r="BY78" s="154">
        <f t="shared" si="638"/>
        <v>0</v>
      </c>
      <c r="BZ78" s="154">
        <f t="shared" si="638"/>
        <v>0</v>
      </c>
      <c r="CA78" s="126">
        <f t="shared" si="638"/>
        <v>0</v>
      </c>
    </row>
    <row r="79" spans="1:79" ht="14.1" customHeight="1" x14ac:dyDescent="0.2">
      <c r="A79" s="122" t="s">
        <v>579</v>
      </c>
      <c r="B79" s="78"/>
      <c r="C79" s="78"/>
      <c r="D79" s="78" t="s">
        <v>528</v>
      </c>
      <c r="E79" s="79" t="s">
        <v>177</v>
      </c>
      <c r="G79" s="152"/>
      <c r="H79" s="152"/>
      <c r="I79" s="152"/>
      <c r="J79" s="152">
        <f t="shared" si="24"/>
        <v>0</v>
      </c>
      <c r="K79" s="152"/>
      <c r="L79" s="152"/>
      <c r="M79" s="152"/>
      <c r="N79" s="152">
        <f t="shared" ref="N79:N81" si="639">SUM(K79:M79)</f>
        <v>0</v>
      </c>
      <c r="O79" s="152"/>
      <c r="P79" s="152"/>
      <c r="Q79" s="152"/>
      <c r="R79" s="152">
        <f t="shared" ref="R79:R81" si="640">SUM(O79:Q79)</f>
        <v>0</v>
      </c>
      <c r="S79" s="152"/>
      <c r="T79" s="152"/>
      <c r="U79" s="152"/>
      <c r="V79" s="152">
        <f t="shared" ref="V79:V81" si="641">SUM(S79:U79)</f>
        <v>0</v>
      </c>
      <c r="W79" s="152">
        <f>G79-O79+S79+K79</f>
        <v>0</v>
      </c>
      <c r="X79" s="152">
        <f t="shared" si="606"/>
        <v>0</v>
      </c>
      <c r="Y79" s="152">
        <f t="shared" si="606"/>
        <v>0</v>
      </c>
      <c r="Z79" s="168">
        <f>SUM(W79:Y79)</f>
        <v>0</v>
      </c>
      <c r="AA79" s="152"/>
      <c r="AB79" s="152"/>
      <c r="AC79" s="152"/>
      <c r="AD79" s="152">
        <f t="shared" ref="AD79:AD81" si="642">SUM(AA79:AC79)</f>
        <v>0</v>
      </c>
      <c r="AE79" s="152"/>
      <c r="AF79" s="152"/>
      <c r="AG79" s="152"/>
      <c r="AH79" s="152">
        <f t="shared" ref="AH79:AH81" si="643">SUM(AE79:AG79)</f>
        <v>0</v>
      </c>
      <c r="AI79" s="152"/>
      <c r="AJ79" s="152"/>
      <c r="AK79" s="152"/>
      <c r="AL79" s="152">
        <f t="shared" ref="AL79:AL81" si="644">SUM(AI79:AK79)</f>
        <v>0</v>
      </c>
      <c r="AM79" s="152"/>
      <c r="AN79" s="152"/>
      <c r="AO79" s="152"/>
      <c r="AP79" s="152">
        <f t="shared" ref="AP79:AP81" si="645">SUM(AM79:AO79)</f>
        <v>0</v>
      </c>
      <c r="AQ79" s="152">
        <f t="shared" si="611"/>
        <v>0</v>
      </c>
      <c r="AR79" s="152">
        <f t="shared" si="611"/>
        <v>0</v>
      </c>
      <c r="AS79" s="152">
        <f t="shared" si="611"/>
        <v>0</v>
      </c>
      <c r="AT79" s="168">
        <f>SUM(AQ79:AS79)</f>
        <v>0</v>
      </c>
      <c r="AU79" s="152"/>
      <c r="AV79" s="152"/>
      <c r="AW79" s="152"/>
      <c r="AX79" s="152">
        <f t="shared" ref="AX79:AX81" si="646">SUM(AU79:AW79)</f>
        <v>0</v>
      </c>
      <c r="AY79" s="152"/>
      <c r="AZ79" s="152"/>
      <c r="BA79" s="152"/>
      <c r="BB79" s="152">
        <f t="shared" ref="BB79:BB81" si="647">SUM(AY79:BA79)</f>
        <v>0</v>
      </c>
      <c r="BC79" s="152"/>
      <c r="BD79" s="152"/>
      <c r="BE79" s="152"/>
      <c r="BF79" s="152">
        <f t="shared" ref="BF79:BF81" si="648">SUM(BC79:BE79)</f>
        <v>0</v>
      </c>
      <c r="BG79" s="152"/>
      <c r="BH79" s="152"/>
      <c r="BI79" s="152"/>
      <c r="BJ79" s="152">
        <f t="shared" ref="BJ79:BJ81" si="649">SUM(BG79:BI79)</f>
        <v>0</v>
      </c>
      <c r="BK79" s="152">
        <f t="shared" si="616"/>
        <v>0</v>
      </c>
      <c r="BL79" s="152">
        <f t="shared" si="616"/>
        <v>0</v>
      </c>
      <c r="BM79" s="152">
        <f t="shared" si="616"/>
        <v>0</v>
      </c>
      <c r="BN79" s="152">
        <f>SUM(BK79:BM79)</f>
        <v>0</v>
      </c>
      <c r="BO79" s="168"/>
      <c r="BP79" s="152">
        <f t="shared" si="617"/>
        <v>0</v>
      </c>
      <c r="BQ79" s="152">
        <f t="shared" si="617"/>
        <v>0</v>
      </c>
      <c r="BR79" s="152">
        <f t="shared" si="617"/>
        <v>0</v>
      </c>
      <c r="BS79" s="168">
        <f>SUM(BP79:BR79)</f>
        <v>0</v>
      </c>
      <c r="BT79" s="152"/>
      <c r="BU79" s="152"/>
      <c r="BV79" s="152"/>
      <c r="BW79" s="152">
        <f t="shared" ref="BW79:BW81" si="650">SUM(BT79:BV79)</f>
        <v>0</v>
      </c>
      <c r="BX79" s="152">
        <f t="shared" si="20"/>
        <v>0</v>
      </c>
      <c r="BY79" s="152">
        <f t="shared" si="21"/>
        <v>0</v>
      </c>
      <c r="BZ79" s="152">
        <f t="shared" si="22"/>
        <v>0</v>
      </c>
      <c r="CA79" s="587">
        <f t="shared" si="23"/>
        <v>0</v>
      </c>
    </row>
    <row r="80" spans="1:79" ht="14.1" customHeight="1" x14ac:dyDescent="0.2">
      <c r="A80" s="122" t="s">
        <v>178</v>
      </c>
      <c r="B80" s="78"/>
      <c r="C80" s="78"/>
      <c r="D80" s="81">
        <v>2</v>
      </c>
      <c r="E80" s="79" t="s">
        <v>179</v>
      </c>
      <c r="G80" s="152"/>
      <c r="H80" s="152"/>
      <c r="I80" s="152"/>
      <c r="J80" s="152">
        <f t="shared" si="24"/>
        <v>0</v>
      </c>
      <c r="K80" s="152"/>
      <c r="L80" s="152"/>
      <c r="M80" s="152"/>
      <c r="N80" s="152">
        <f t="shared" si="639"/>
        <v>0</v>
      </c>
      <c r="O80" s="152"/>
      <c r="P80" s="152"/>
      <c r="Q80" s="152"/>
      <c r="R80" s="152">
        <f t="shared" si="640"/>
        <v>0</v>
      </c>
      <c r="S80" s="152"/>
      <c r="T80" s="152"/>
      <c r="U80" s="152"/>
      <c r="V80" s="152">
        <f t="shared" si="641"/>
        <v>0</v>
      </c>
      <c r="W80" s="152">
        <f>G80-O80+S80+K80</f>
        <v>0</v>
      </c>
      <c r="X80" s="152">
        <f t="shared" si="606"/>
        <v>0</v>
      </c>
      <c r="Y80" s="152">
        <f t="shared" si="606"/>
        <v>0</v>
      </c>
      <c r="Z80" s="168">
        <f>SUM(W80:Y80)</f>
        <v>0</v>
      </c>
      <c r="AA80" s="152"/>
      <c r="AB80" s="152"/>
      <c r="AC80" s="152"/>
      <c r="AD80" s="152">
        <f t="shared" si="642"/>
        <v>0</v>
      </c>
      <c r="AE80" s="152"/>
      <c r="AF80" s="152"/>
      <c r="AG80" s="152"/>
      <c r="AH80" s="152">
        <f t="shared" si="643"/>
        <v>0</v>
      </c>
      <c r="AI80" s="152"/>
      <c r="AJ80" s="152"/>
      <c r="AK80" s="152"/>
      <c r="AL80" s="152">
        <f t="shared" si="644"/>
        <v>0</v>
      </c>
      <c r="AM80" s="152"/>
      <c r="AN80" s="152"/>
      <c r="AO80" s="152"/>
      <c r="AP80" s="152">
        <f t="shared" si="645"/>
        <v>0</v>
      </c>
      <c r="AQ80" s="152">
        <f t="shared" si="611"/>
        <v>0</v>
      </c>
      <c r="AR80" s="152">
        <f t="shared" si="611"/>
        <v>0</v>
      </c>
      <c r="AS80" s="152">
        <f t="shared" si="611"/>
        <v>0</v>
      </c>
      <c r="AT80" s="168">
        <f>SUM(AQ80:AS80)</f>
        <v>0</v>
      </c>
      <c r="AU80" s="152"/>
      <c r="AV80" s="152"/>
      <c r="AW80" s="152"/>
      <c r="AX80" s="152">
        <f t="shared" si="646"/>
        <v>0</v>
      </c>
      <c r="AY80" s="152"/>
      <c r="AZ80" s="152"/>
      <c r="BA80" s="152"/>
      <c r="BB80" s="152">
        <f t="shared" si="647"/>
        <v>0</v>
      </c>
      <c r="BC80" s="152"/>
      <c r="BD80" s="152"/>
      <c r="BE80" s="152"/>
      <c r="BF80" s="152">
        <f t="shared" si="648"/>
        <v>0</v>
      </c>
      <c r="BG80" s="152"/>
      <c r="BH80" s="152"/>
      <c r="BI80" s="152"/>
      <c r="BJ80" s="152">
        <f t="shared" si="649"/>
        <v>0</v>
      </c>
      <c r="BK80" s="152">
        <f t="shared" si="616"/>
        <v>0</v>
      </c>
      <c r="BL80" s="152">
        <f t="shared" si="616"/>
        <v>0</v>
      </c>
      <c r="BM80" s="152">
        <f t="shared" si="616"/>
        <v>0</v>
      </c>
      <c r="BN80" s="152">
        <f>SUM(BK80:BM80)</f>
        <v>0</v>
      </c>
      <c r="BO80" s="168"/>
      <c r="BP80" s="152">
        <f t="shared" si="617"/>
        <v>0</v>
      </c>
      <c r="BQ80" s="152">
        <f t="shared" si="617"/>
        <v>0</v>
      </c>
      <c r="BR80" s="152">
        <f t="shared" si="617"/>
        <v>0</v>
      </c>
      <c r="BS80" s="168">
        <f>SUM(BP80:BR80)</f>
        <v>0</v>
      </c>
      <c r="BT80" s="152"/>
      <c r="BU80" s="152"/>
      <c r="BV80" s="152"/>
      <c r="BW80" s="152">
        <f t="shared" si="650"/>
        <v>0</v>
      </c>
      <c r="BX80" s="152">
        <f t="shared" si="20"/>
        <v>0</v>
      </c>
      <c r="BY80" s="152">
        <f t="shared" si="21"/>
        <v>0</v>
      </c>
      <c r="BZ80" s="152">
        <f t="shared" si="22"/>
        <v>0</v>
      </c>
      <c r="CA80" s="587">
        <f t="shared" si="23"/>
        <v>0</v>
      </c>
    </row>
    <row r="81" spans="1:91" ht="14.1" customHeight="1" x14ac:dyDescent="0.2">
      <c r="A81" s="122" t="s">
        <v>180</v>
      </c>
      <c r="B81" s="78" t="s">
        <v>580</v>
      </c>
      <c r="C81" s="78" t="s">
        <v>581</v>
      </c>
      <c r="D81" s="901" t="s">
        <v>182</v>
      </c>
      <c r="E81" s="902"/>
      <c r="G81" s="152"/>
      <c r="H81" s="152"/>
      <c r="I81" s="152"/>
      <c r="J81" s="152">
        <f t="shared" si="24"/>
        <v>0</v>
      </c>
      <c r="K81" s="152"/>
      <c r="L81" s="152"/>
      <c r="M81" s="152"/>
      <c r="N81" s="152">
        <f t="shared" si="639"/>
        <v>0</v>
      </c>
      <c r="O81" s="152"/>
      <c r="P81" s="152"/>
      <c r="Q81" s="152"/>
      <c r="R81" s="152">
        <f t="shared" si="640"/>
        <v>0</v>
      </c>
      <c r="S81" s="152"/>
      <c r="T81" s="152"/>
      <c r="U81" s="152"/>
      <c r="V81" s="152">
        <f t="shared" si="641"/>
        <v>0</v>
      </c>
      <c r="W81" s="152"/>
      <c r="X81" s="152"/>
      <c r="Y81" s="152"/>
      <c r="AA81" s="152"/>
      <c r="AB81" s="152"/>
      <c r="AC81" s="152"/>
      <c r="AD81" s="152">
        <f t="shared" si="642"/>
        <v>0</v>
      </c>
      <c r="AE81" s="152"/>
      <c r="AF81" s="152"/>
      <c r="AG81" s="152"/>
      <c r="AH81" s="152">
        <f t="shared" si="643"/>
        <v>0</v>
      </c>
      <c r="AI81" s="152"/>
      <c r="AJ81" s="152"/>
      <c r="AK81" s="152"/>
      <c r="AL81" s="152">
        <f t="shared" si="644"/>
        <v>0</v>
      </c>
      <c r="AM81" s="152"/>
      <c r="AN81" s="152"/>
      <c r="AO81" s="152"/>
      <c r="AP81" s="152">
        <f t="shared" si="645"/>
        <v>0</v>
      </c>
      <c r="AQ81" s="152"/>
      <c r="AR81" s="152"/>
      <c r="AS81" s="152"/>
      <c r="AU81" s="152"/>
      <c r="AV81" s="152"/>
      <c r="AW81" s="152"/>
      <c r="AX81" s="152">
        <f t="shared" si="646"/>
        <v>0</v>
      </c>
      <c r="AY81" s="152"/>
      <c r="AZ81" s="152"/>
      <c r="BA81" s="152"/>
      <c r="BB81" s="152">
        <f t="shared" si="647"/>
        <v>0</v>
      </c>
      <c r="BC81" s="152"/>
      <c r="BD81" s="152"/>
      <c r="BE81" s="152"/>
      <c r="BF81" s="152">
        <f t="shared" si="648"/>
        <v>0</v>
      </c>
      <c r="BG81" s="152"/>
      <c r="BH81" s="152"/>
      <c r="BI81" s="152"/>
      <c r="BJ81" s="152">
        <f t="shared" si="649"/>
        <v>0</v>
      </c>
      <c r="BK81" s="152"/>
      <c r="BL81" s="152"/>
      <c r="BM81" s="152"/>
      <c r="BN81" s="152"/>
      <c r="BO81" s="168"/>
      <c r="BP81" s="152"/>
      <c r="BQ81" s="152"/>
      <c r="BR81" s="152"/>
      <c r="BT81" s="152"/>
      <c r="BU81" s="152"/>
      <c r="BV81" s="152"/>
      <c r="BW81" s="152">
        <f t="shared" si="650"/>
        <v>0</v>
      </c>
      <c r="BX81" s="152">
        <f t="shared" si="20"/>
        <v>0</v>
      </c>
      <c r="BY81" s="152">
        <f t="shared" si="21"/>
        <v>0</v>
      </c>
      <c r="BZ81" s="152">
        <f t="shared" si="22"/>
        <v>0</v>
      </c>
      <c r="CA81" s="587">
        <f t="shared" si="23"/>
        <v>0</v>
      </c>
    </row>
    <row r="82" spans="1:91" ht="14.1" customHeight="1" x14ac:dyDescent="0.2">
      <c r="A82" s="122" t="s">
        <v>183</v>
      </c>
      <c r="B82" s="78" t="s">
        <v>134</v>
      </c>
      <c r="C82" s="78"/>
      <c r="D82" s="901" t="s">
        <v>582</v>
      </c>
      <c r="E82" s="902"/>
      <c r="G82" s="154">
        <f>SUM(G83:G85)</f>
        <v>0</v>
      </c>
      <c r="H82" s="154">
        <f t="shared" ref="H82:I82" si="651">SUM(H83:H85)</f>
        <v>725000</v>
      </c>
      <c r="I82" s="154">
        <f t="shared" si="651"/>
        <v>0</v>
      </c>
      <c r="J82" s="154">
        <f t="shared" ref="J82:BS82" si="652">SUM(J83:J85)</f>
        <v>725000</v>
      </c>
      <c r="K82" s="154">
        <f>SUM(K83:K85)</f>
        <v>0</v>
      </c>
      <c r="L82" s="154">
        <f t="shared" ref="L82" si="653">SUM(L83:L85)</f>
        <v>0</v>
      </c>
      <c r="M82" s="154">
        <f t="shared" ref="M82:N82" si="654">SUM(M83:M85)</f>
        <v>0</v>
      </c>
      <c r="N82" s="154">
        <f t="shared" si="654"/>
        <v>0</v>
      </c>
      <c r="O82" s="154">
        <f>SUM(O83:O85)</f>
        <v>0</v>
      </c>
      <c r="P82" s="154">
        <f t="shared" ref="P82" si="655">SUM(P83:P85)</f>
        <v>0</v>
      </c>
      <c r="Q82" s="154">
        <f t="shared" ref="Q82:R82" si="656">SUM(Q83:Q85)</f>
        <v>0</v>
      </c>
      <c r="R82" s="154">
        <f t="shared" si="656"/>
        <v>0</v>
      </c>
      <c r="S82" s="154">
        <f>SUM(S83:S85)</f>
        <v>0</v>
      </c>
      <c r="T82" s="154">
        <f t="shared" ref="T82" si="657">SUM(T83:T85)</f>
        <v>0</v>
      </c>
      <c r="U82" s="154">
        <f t="shared" ref="U82:V82" si="658">SUM(U83:U85)</f>
        <v>0</v>
      </c>
      <c r="V82" s="154">
        <f t="shared" si="658"/>
        <v>0</v>
      </c>
      <c r="W82" s="154">
        <f t="shared" si="652"/>
        <v>0</v>
      </c>
      <c r="X82" s="154">
        <f t="shared" si="652"/>
        <v>725000</v>
      </c>
      <c r="Y82" s="154">
        <f t="shared" si="652"/>
        <v>0</v>
      </c>
      <c r="Z82" s="84">
        <f t="shared" si="652"/>
        <v>725000</v>
      </c>
      <c r="AA82" s="154">
        <f t="shared" si="652"/>
        <v>0</v>
      </c>
      <c r="AB82" s="154">
        <f t="shared" si="652"/>
        <v>6900</v>
      </c>
      <c r="AC82" s="154">
        <f t="shared" si="652"/>
        <v>0</v>
      </c>
      <c r="AD82" s="154">
        <f t="shared" si="652"/>
        <v>6900</v>
      </c>
      <c r="AE82" s="154">
        <f>SUM(AE83:AE85)</f>
        <v>0</v>
      </c>
      <c r="AF82" s="154">
        <f t="shared" ref="AF82:AH82" si="659">SUM(AF83:AF85)</f>
        <v>20925.75</v>
      </c>
      <c r="AG82" s="154">
        <f t="shared" si="659"/>
        <v>0</v>
      </c>
      <c r="AH82" s="154">
        <f t="shared" si="659"/>
        <v>20925.75</v>
      </c>
      <c r="AI82" s="154">
        <f>SUM(AI83:AI85)</f>
        <v>0</v>
      </c>
      <c r="AJ82" s="154">
        <f t="shared" ref="AJ82:AL82" si="660">SUM(AJ83:AJ85)</f>
        <v>226033</v>
      </c>
      <c r="AK82" s="154">
        <f t="shared" si="660"/>
        <v>0</v>
      </c>
      <c r="AL82" s="154">
        <f t="shared" si="660"/>
        <v>226033</v>
      </c>
      <c r="AM82" s="154">
        <f>SUM(AM83:AM85)</f>
        <v>0</v>
      </c>
      <c r="AN82" s="154">
        <f t="shared" ref="AN82:AP82" si="661">SUM(AN83:AN85)</f>
        <v>377669.47000000003</v>
      </c>
      <c r="AO82" s="154">
        <f t="shared" si="661"/>
        <v>0</v>
      </c>
      <c r="AP82" s="154">
        <f t="shared" si="661"/>
        <v>377669.47000000003</v>
      </c>
      <c r="AQ82" s="154">
        <f t="shared" si="652"/>
        <v>0</v>
      </c>
      <c r="AR82" s="154">
        <f t="shared" si="652"/>
        <v>631528.22</v>
      </c>
      <c r="AS82" s="154">
        <f t="shared" si="652"/>
        <v>0</v>
      </c>
      <c r="AT82" s="84">
        <f t="shared" si="652"/>
        <v>631528.22</v>
      </c>
      <c r="AU82" s="154">
        <f t="shared" si="652"/>
        <v>0</v>
      </c>
      <c r="AV82" s="154">
        <f t="shared" si="652"/>
        <v>6900</v>
      </c>
      <c r="AW82" s="154">
        <f t="shared" si="652"/>
        <v>0</v>
      </c>
      <c r="AX82" s="154">
        <f t="shared" si="652"/>
        <v>6900</v>
      </c>
      <c r="AY82" s="154">
        <f>SUM(AY83:AY85)</f>
        <v>0</v>
      </c>
      <c r="AZ82" s="154">
        <f t="shared" ref="AZ82" si="662">SUM(AZ83:AZ85)</f>
        <v>20925.75</v>
      </c>
      <c r="BA82" s="154">
        <f t="shared" ref="BA82:BB82" si="663">SUM(BA83:BA85)</f>
        <v>0</v>
      </c>
      <c r="BB82" s="154">
        <f t="shared" si="663"/>
        <v>20925.75</v>
      </c>
      <c r="BC82" s="154">
        <f>SUM(BC83:BC85)</f>
        <v>0</v>
      </c>
      <c r="BD82" s="154">
        <f t="shared" ref="BD82" si="664">SUM(BD83:BD85)</f>
        <v>226033</v>
      </c>
      <c r="BE82" s="154">
        <f t="shared" ref="BE82:BF82" si="665">SUM(BE83:BE85)</f>
        <v>0</v>
      </c>
      <c r="BF82" s="154">
        <f t="shared" si="665"/>
        <v>226033</v>
      </c>
      <c r="BG82" s="154">
        <f>SUM(BG83:BG85)</f>
        <v>0</v>
      </c>
      <c r="BH82" s="154">
        <f t="shared" ref="BH82" si="666">SUM(BH83:BH85)</f>
        <v>165353.47000000003</v>
      </c>
      <c r="BI82" s="154">
        <f t="shared" ref="BI82:BJ82" si="667">SUM(BI83:BI85)</f>
        <v>0</v>
      </c>
      <c r="BJ82" s="154">
        <f t="shared" si="667"/>
        <v>165353.47000000003</v>
      </c>
      <c r="BK82" s="154">
        <f t="shared" si="652"/>
        <v>0</v>
      </c>
      <c r="BL82" s="154">
        <f t="shared" si="652"/>
        <v>419212.22000000003</v>
      </c>
      <c r="BM82" s="154">
        <f t="shared" si="652"/>
        <v>0</v>
      </c>
      <c r="BN82" s="154">
        <f t="shared" si="652"/>
        <v>419212.22000000003</v>
      </c>
      <c r="BO82" s="170">
        <f t="shared" si="652"/>
        <v>0</v>
      </c>
      <c r="BP82" s="154">
        <f t="shared" si="652"/>
        <v>0</v>
      </c>
      <c r="BQ82" s="154">
        <f t="shared" si="652"/>
        <v>93471.780000000028</v>
      </c>
      <c r="BR82" s="154">
        <f t="shared" si="652"/>
        <v>0</v>
      </c>
      <c r="BS82" s="84">
        <f t="shared" si="652"/>
        <v>93471.780000000028</v>
      </c>
      <c r="BT82" s="154">
        <f>SUM(BT83:BT85)</f>
        <v>0</v>
      </c>
      <c r="BU82" s="154">
        <f t="shared" ref="BU82" si="668">SUM(BU83:BU85)</f>
        <v>0</v>
      </c>
      <c r="BV82" s="154">
        <f t="shared" ref="BV82:BW82" si="669">SUM(BV83:BV85)</f>
        <v>0</v>
      </c>
      <c r="BW82" s="154">
        <f t="shared" si="669"/>
        <v>0</v>
      </c>
      <c r="BX82" s="154">
        <f t="shared" ref="BX82:CA82" si="670">SUM(BX83:BX85)</f>
        <v>0</v>
      </c>
      <c r="BY82" s="154">
        <f t="shared" si="670"/>
        <v>212315.99999999994</v>
      </c>
      <c r="BZ82" s="154">
        <f t="shared" si="670"/>
        <v>0</v>
      </c>
      <c r="CA82" s="126">
        <f t="shared" si="670"/>
        <v>212315.99999999994</v>
      </c>
    </row>
    <row r="83" spans="1:91" ht="14.1" customHeight="1" x14ac:dyDescent="0.2">
      <c r="A83" s="122" t="s">
        <v>185</v>
      </c>
      <c r="B83" s="78"/>
      <c r="C83" s="78"/>
      <c r="D83" s="81" t="s">
        <v>146</v>
      </c>
      <c r="E83" s="79" t="s">
        <v>186</v>
      </c>
      <c r="G83" s="152"/>
      <c r="H83" s="152">
        <v>725000</v>
      </c>
      <c r="I83" s="152"/>
      <c r="J83" s="152">
        <f t="shared" si="24"/>
        <v>725000</v>
      </c>
      <c r="K83" s="152"/>
      <c r="L83" s="152"/>
      <c r="M83" s="152"/>
      <c r="N83" s="152">
        <f t="shared" ref="N83:N86" si="671">SUM(K83:M83)</f>
        <v>0</v>
      </c>
      <c r="O83" s="152"/>
      <c r="P83" s="152"/>
      <c r="Q83" s="152"/>
      <c r="R83" s="152">
        <f t="shared" ref="R83:R86" si="672">SUM(O83:Q83)</f>
        <v>0</v>
      </c>
      <c r="S83" s="152"/>
      <c r="T83" s="152"/>
      <c r="U83" s="152"/>
      <c r="V83" s="152">
        <f t="shared" ref="V83:V86" si="673">SUM(S83:U83)</f>
        <v>0</v>
      </c>
      <c r="W83" s="152">
        <f>G83-O83+S83+K83</f>
        <v>0</v>
      </c>
      <c r="X83" s="152">
        <f t="shared" ref="X83:Y86" si="674">H83-P83+T83+L83</f>
        <v>725000</v>
      </c>
      <c r="Y83" s="152">
        <f t="shared" si="674"/>
        <v>0</v>
      </c>
      <c r="Z83" s="168">
        <f>SUM(W83:Y83)</f>
        <v>725000</v>
      </c>
      <c r="AA83" s="152"/>
      <c r="AB83" s="152">
        <v>6900</v>
      </c>
      <c r="AC83" s="152"/>
      <c r="AD83" s="152">
        <f t="shared" ref="AD83:AD86" si="675">SUM(AA83:AC83)</f>
        <v>6900</v>
      </c>
      <c r="AE83" s="152"/>
      <c r="AF83" s="152">
        <f>8178.75+4000+2652+6095</f>
        <v>20925.75</v>
      </c>
      <c r="AG83" s="152"/>
      <c r="AH83" s="152">
        <f t="shared" ref="AH83:AH86" si="676">SUM(AE83:AG83)</f>
        <v>20925.75</v>
      </c>
      <c r="AI83" s="152"/>
      <c r="AJ83" s="152">
        <f>143212.91+24750+58070.09</f>
        <v>226033</v>
      </c>
      <c r="AK83" s="152"/>
      <c r="AL83" s="152">
        <f t="shared" ref="AL83:AL86" si="677">SUM(AI83:AK83)</f>
        <v>226033</v>
      </c>
      <c r="AM83" s="152"/>
      <c r="AN83" s="152">
        <f>112284.95+21000+3293.76+7742.72+3968.04+8064+9000+8000+7000+197316</f>
        <v>377669.47000000003</v>
      </c>
      <c r="AO83" s="152"/>
      <c r="AP83" s="152">
        <f t="shared" ref="AP83:AP86" si="678">SUM(AM83:AO83)</f>
        <v>377669.47000000003</v>
      </c>
      <c r="AQ83" s="152">
        <f t="shared" ref="AQ83:AS86" si="679">AA83+AE83+AI83+AM83</f>
        <v>0</v>
      </c>
      <c r="AR83" s="152">
        <f t="shared" si="679"/>
        <v>631528.22</v>
      </c>
      <c r="AS83" s="152">
        <f t="shared" si="679"/>
        <v>0</v>
      </c>
      <c r="AT83" s="168">
        <f>SUM(AQ83:AS83)</f>
        <v>631528.22</v>
      </c>
      <c r="AU83" s="152"/>
      <c r="AV83" s="152">
        <v>6900</v>
      </c>
      <c r="AW83" s="152"/>
      <c r="AX83" s="152">
        <f t="shared" ref="AX83:AX86" si="680">SUM(AU83:AW83)</f>
        <v>6900</v>
      </c>
      <c r="AY83" s="152"/>
      <c r="AZ83" s="152">
        <f>8178.75+4000+2652+6095</f>
        <v>20925.75</v>
      </c>
      <c r="BA83" s="152"/>
      <c r="BB83" s="152">
        <f t="shared" ref="BB83:BB86" si="681">SUM(AY83:BA83)</f>
        <v>20925.75</v>
      </c>
      <c r="BC83" s="152"/>
      <c r="BD83" s="152">
        <f>143212.91+24750+58070.09</f>
        <v>226033</v>
      </c>
      <c r="BE83" s="152"/>
      <c r="BF83" s="152">
        <f t="shared" ref="BF83:BF86" si="682">SUM(BC83:BE83)</f>
        <v>226033</v>
      </c>
      <c r="BG83" s="152"/>
      <c r="BH83" s="152">
        <f>111434.95+200+200+200+250+21000+3293.76+7742.72+3968.04+8064+9000</f>
        <v>165353.47000000003</v>
      </c>
      <c r="BI83" s="152"/>
      <c r="BJ83" s="152">
        <f t="shared" ref="BJ83:BJ86" si="683">SUM(BG83:BI83)</f>
        <v>165353.47000000003</v>
      </c>
      <c r="BK83" s="152">
        <f t="shared" ref="BK83:BM86" si="684">AU83+AY83+BC83+BG83</f>
        <v>0</v>
      </c>
      <c r="BL83" s="152">
        <f t="shared" si="684"/>
        <v>419212.22000000003</v>
      </c>
      <c r="BM83" s="152">
        <f t="shared" si="684"/>
        <v>0</v>
      </c>
      <c r="BN83" s="152">
        <f>SUM(BK83:BM83)</f>
        <v>419212.22000000003</v>
      </c>
      <c r="BO83" s="168"/>
      <c r="BP83" s="152">
        <f t="shared" ref="BP83:BR86" si="685">W83-AQ83</f>
        <v>0</v>
      </c>
      <c r="BQ83" s="152">
        <f t="shared" si="685"/>
        <v>93471.780000000028</v>
      </c>
      <c r="BR83" s="152">
        <f t="shared" si="685"/>
        <v>0</v>
      </c>
      <c r="BS83" s="168">
        <f>SUM(BP83:BR83)</f>
        <v>93471.780000000028</v>
      </c>
      <c r="BT83" s="152"/>
      <c r="BU83" s="152"/>
      <c r="BV83" s="152"/>
      <c r="BW83" s="152">
        <f t="shared" ref="BW83:BW86" si="686">SUM(BT83:BV83)</f>
        <v>0</v>
      </c>
      <c r="BX83" s="152">
        <f t="shared" ref="BX83:BX142" si="687">AQ83-BK83-BT83</f>
        <v>0</v>
      </c>
      <c r="BY83" s="152">
        <f t="shared" ref="BY83:BY142" si="688">AR83-BL83-BU83</f>
        <v>212315.99999999994</v>
      </c>
      <c r="BZ83" s="152">
        <f t="shared" ref="BZ83:BZ142" si="689">AS83-BM83-BV83</f>
        <v>0</v>
      </c>
      <c r="CA83" s="587">
        <f t="shared" ref="CA83:CA142" si="690">SUM(BX83:BZ83)</f>
        <v>212315.99999999994</v>
      </c>
    </row>
    <row r="84" spans="1:91" ht="14.1" customHeight="1" x14ac:dyDescent="0.2">
      <c r="A84" s="132"/>
      <c r="B84" s="78"/>
      <c r="C84" s="78"/>
      <c r="D84" s="78"/>
      <c r="E84" s="93" t="s">
        <v>175</v>
      </c>
      <c r="G84" s="152"/>
      <c r="H84" s="152"/>
      <c r="I84" s="152"/>
      <c r="J84" s="152">
        <f t="shared" ref="J84:J142" si="691">SUM(G84:I84)</f>
        <v>0</v>
      </c>
      <c r="K84" s="152"/>
      <c r="L84" s="152"/>
      <c r="M84" s="152"/>
      <c r="N84" s="152">
        <f t="shared" si="671"/>
        <v>0</v>
      </c>
      <c r="O84" s="152"/>
      <c r="P84" s="152"/>
      <c r="Q84" s="152"/>
      <c r="R84" s="152">
        <f t="shared" si="672"/>
        <v>0</v>
      </c>
      <c r="S84" s="152"/>
      <c r="T84" s="152"/>
      <c r="U84" s="152"/>
      <c r="V84" s="152">
        <f t="shared" si="673"/>
        <v>0</v>
      </c>
      <c r="W84" s="152">
        <f>G84-O84+S84+K84</f>
        <v>0</v>
      </c>
      <c r="X84" s="152">
        <f t="shared" si="674"/>
        <v>0</v>
      </c>
      <c r="Y84" s="152">
        <f t="shared" si="674"/>
        <v>0</v>
      </c>
      <c r="Z84" s="168">
        <f>SUM(W84:Y84)</f>
        <v>0</v>
      </c>
      <c r="AA84" s="152"/>
      <c r="AB84" s="152">
        <v>0</v>
      </c>
      <c r="AC84" s="152"/>
      <c r="AD84" s="152">
        <f t="shared" si="675"/>
        <v>0</v>
      </c>
      <c r="AE84" s="152"/>
      <c r="AF84" s="152"/>
      <c r="AG84" s="152"/>
      <c r="AH84" s="152">
        <f t="shared" si="676"/>
        <v>0</v>
      </c>
      <c r="AI84" s="152"/>
      <c r="AJ84" s="152"/>
      <c r="AK84" s="152"/>
      <c r="AL84" s="152">
        <f t="shared" si="677"/>
        <v>0</v>
      </c>
      <c r="AM84" s="152"/>
      <c r="AN84" s="152"/>
      <c r="AO84" s="152"/>
      <c r="AP84" s="152">
        <f t="shared" si="678"/>
        <v>0</v>
      </c>
      <c r="AQ84" s="152">
        <f t="shared" si="679"/>
        <v>0</v>
      </c>
      <c r="AR84" s="152">
        <f t="shared" si="679"/>
        <v>0</v>
      </c>
      <c r="AS84" s="152">
        <f t="shared" si="679"/>
        <v>0</v>
      </c>
      <c r="AT84" s="168">
        <f>SUM(AQ84:AS84)</f>
        <v>0</v>
      </c>
      <c r="AU84" s="152"/>
      <c r="AV84" s="152">
        <v>0</v>
      </c>
      <c r="AW84" s="152"/>
      <c r="AX84" s="152">
        <f t="shared" si="680"/>
        <v>0</v>
      </c>
      <c r="AY84" s="152"/>
      <c r="AZ84" s="152"/>
      <c r="BA84" s="152"/>
      <c r="BB84" s="152">
        <f t="shared" si="681"/>
        <v>0</v>
      </c>
      <c r="BC84" s="152"/>
      <c r="BD84" s="152"/>
      <c r="BE84" s="152"/>
      <c r="BF84" s="152">
        <f t="shared" si="682"/>
        <v>0</v>
      </c>
      <c r="BG84" s="152"/>
      <c r="BH84" s="152"/>
      <c r="BI84" s="152"/>
      <c r="BJ84" s="152">
        <f t="shared" si="683"/>
        <v>0</v>
      </c>
      <c r="BK84" s="152">
        <f t="shared" si="684"/>
        <v>0</v>
      </c>
      <c r="BL84" s="152">
        <f t="shared" si="684"/>
        <v>0</v>
      </c>
      <c r="BM84" s="152">
        <f t="shared" si="684"/>
        <v>0</v>
      </c>
      <c r="BN84" s="152">
        <f>SUM(BK84:BM84)</f>
        <v>0</v>
      </c>
      <c r="BO84" s="168"/>
      <c r="BP84" s="152">
        <f t="shared" si="685"/>
        <v>0</v>
      </c>
      <c r="BQ84" s="152">
        <f t="shared" si="685"/>
        <v>0</v>
      </c>
      <c r="BR84" s="152">
        <f t="shared" si="685"/>
        <v>0</v>
      </c>
      <c r="BS84" s="168">
        <f>SUM(BP84:BR84)</f>
        <v>0</v>
      </c>
      <c r="BT84" s="152"/>
      <c r="BU84" s="152"/>
      <c r="BV84" s="152"/>
      <c r="BW84" s="152">
        <f t="shared" si="686"/>
        <v>0</v>
      </c>
      <c r="BX84" s="152">
        <f t="shared" si="687"/>
        <v>0</v>
      </c>
      <c r="BY84" s="152">
        <f t="shared" si="688"/>
        <v>0</v>
      </c>
      <c r="BZ84" s="152">
        <f t="shared" si="689"/>
        <v>0</v>
      </c>
      <c r="CA84" s="587">
        <f t="shared" si="690"/>
        <v>0</v>
      </c>
    </row>
    <row r="85" spans="1:91" ht="14.1" customHeight="1" x14ac:dyDescent="0.2">
      <c r="A85" s="122" t="s">
        <v>187</v>
      </c>
      <c r="B85" s="78" t="s">
        <v>13</v>
      </c>
      <c r="C85" s="78"/>
      <c r="D85" s="81" t="s">
        <v>147</v>
      </c>
      <c r="E85" s="79" t="s">
        <v>188</v>
      </c>
      <c r="G85" s="152"/>
      <c r="H85" s="152"/>
      <c r="I85" s="152"/>
      <c r="J85" s="152">
        <f t="shared" si="691"/>
        <v>0</v>
      </c>
      <c r="K85" s="152"/>
      <c r="L85" s="152"/>
      <c r="M85" s="152"/>
      <c r="N85" s="152">
        <f t="shared" si="671"/>
        <v>0</v>
      </c>
      <c r="O85" s="152"/>
      <c r="P85" s="152"/>
      <c r="Q85" s="152"/>
      <c r="R85" s="152">
        <f t="shared" si="672"/>
        <v>0</v>
      </c>
      <c r="S85" s="152"/>
      <c r="T85" s="152"/>
      <c r="U85" s="152"/>
      <c r="V85" s="152">
        <f t="shared" si="673"/>
        <v>0</v>
      </c>
      <c r="W85" s="152">
        <f>G85-O85+S85+K85</f>
        <v>0</v>
      </c>
      <c r="X85" s="152">
        <f t="shared" si="674"/>
        <v>0</v>
      </c>
      <c r="Y85" s="152">
        <f t="shared" si="674"/>
        <v>0</v>
      </c>
      <c r="Z85" s="168">
        <f>SUM(W85:Y85)</f>
        <v>0</v>
      </c>
      <c r="AA85" s="152"/>
      <c r="AB85" s="152"/>
      <c r="AC85" s="152"/>
      <c r="AD85" s="152">
        <f t="shared" si="675"/>
        <v>0</v>
      </c>
      <c r="AE85" s="152"/>
      <c r="AF85" s="152"/>
      <c r="AG85" s="152"/>
      <c r="AH85" s="152">
        <f t="shared" si="676"/>
        <v>0</v>
      </c>
      <c r="AI85" s="152"/>
      <c r="AJ85" s="152"/>
      <c r="AK85" s="152"/>
      <c r="AL85" s="152">
        <f t="shared" si="677"/>
        <v>0</v>
      </c>
      <c r="AM85" s="152"/>
      <c r="AN85" s="152"/>
      <c r="AO85" s="152"/>
      <c r="AP85" s="152">
        <f t="shared" si="678"/>
        <v>0</v>
      </c>
      <c r="AQ85" s="152">
        <f t="shared" si="679"/>
        <v>0</v>
      </c>
      <c r="AR85" s="152">
        <f t="shared" si="679"/>
        <v>0</v>
      </c>
      <c r="AS85" s="152">
        <f t="shared" si="679"/>
        <v>0</v>
      </c>
      <c r="AT85" s="168">
        <f>SUM(AQ85:AS85)</f>
        <v>0</v>
      </c>
      <c r="AU85" s="152"/>
      <c r="AV85" s="152"/>
      <c r="AW85" s="152"/>
      <c r="AX85" s="152">
        <f t="shared" si="680"/>
        <v>0</v>
      </c>
      <c r="AY85" s="152"/>
      <c r="AZ85" s="152"/>
      <c r="BA85" s="152"/>
      <c r="BB85" s="152">
        <f t="shared" si="681"/>
        <v>0</v>
      </c>
      <c r="BC85" s="152"/>
      <c r="BD85" s="152"/>
      <c r="BE85" s="152"/>
      <c r="BF85" s="152">
        <f t="shared" si="682"/>
        <v>0</v>
      </c>
      <c r="BG85" s="152"/>
      <c r="BH85" s="152"/>
      <c r="BI85" s="152"/>
      <c r="BJ85" s="152">
        <f t="shared" si="683"/>
        <v>0</v>
      </c>
      <c r="BK85" s="152">
        <f t="shared" si="684"/>
        <v>0</v>
      </c>
      <c r="BL85" s="152">
        <f t="shared" si="684"/>
        <v>0</v>
      </c>
      <c r="BM85" s="152">
        <f t="shared" si="684"/>
        <v>0</v>
      </c>
      <c r="BN85" s="152">
        <f>SUM(BK85:BM85)</f>
        <v>0</v>
      </c>
      <c r="BO85" s="168"/>
      <c r="BP85" s="152">
        <f t="shared" si="685"/>
        <v>0</v>
      </c>
      <c r="BQ85" s="152">
        <f t="shared" si="685"/>
        <v>0</v>
      </c>
      <c r="BR85" s="152">
        <f t="shared" si="685"/>
        <v>0</v>
      </c>
      <c r="BS85" s="168">
        <f>SUM(BP85:BR85)</f>
        <v>0</v>
      </c>
      <c r="BT85" s="152"/>
      <c r="BU85" s="152"/>
      <c r="BV85" s="152"/>
      <c r="BW85" s="152">
        <f t="shared" si="686"/>
        <v>0</v>
      </c>
      <c r="BX85" s="152">
        <f t="shared" si="687"/>
        <v>0</v>
      </c>
      <c r="BY85" s="152">
        <f t="shared" si="688"/>
        <v>0</v>
      </c>
      <c r="BZ85" s="152">
        <f t="shared" si="689"/>
        <v>0</v>
      </c>
      <c r="CA85" s="587">
        <f t="shared" si="690"/>
        <v>0</v>
      </c>
    </row>
    <row r="86" spans="1:91" ht="14.1" customHeight="1" x14ac:dyDescent="0.2">
      <c r="A86" s="122" t="s">
        <v>583</v>
      </c>
      <c r="B86" s="78" t="s">
        <v>144</v>
      </c>
      <c r="C86" s="78"/>
      <c r="D86" s="901" t="s">
        <v>584</v>
      </c>
      <c r="E86" s="902"/>
      <c r="G86" s="152"/>
      <c r="H86" s="152"/>
      <c r="I86" s="152"/>
      <c r="J86" s="152">
        <f t="shared" si="691"/>
        <v>0</v>
      </c>
      <c r="K86" s="152"/>
      <c r="L86" s="152"/>
      <c r="M86" s="152"/>
      <c r="N86" s="152">
        <f t="shared" si="671"/>
        <v>0</v>
      </c>
      <c r="O86" s="152"/>
      <c r="P86" s="152"/>
      <c r="Q86" s="152"/>
      <c r="R86" s="152">
        <f t="shared" si="672"/>
        <v>0</v>
      </c>
      <c r="S86" s="152"/>
      <c r="T86" s="152"/>
      <c r="U86" s="152"/>
      <c r="V86" s="152">
        <f t="shared" si="673"/>
        <v>0</v>
      </c>
      <c r="W86" s="152">
        <f>G86-O86+S86+K86</f>
        <v>0</v>
      </c>
      <c r="X86" s="152">
        <f t="shared" si="674"/>
        <v>0</v>
      </c>
      <c r="Y86" s="152">
        <f t="shared" si="674"/>
        <v>0</v>
      </c>
      <c r="Z86" s="168">
        <f>SUM(W86:Y86)</f>
        <v>0</v>
      </c>
      <c r="AA86" s="152"/>
      <c r="AB86" s="152"/>
      <c r="AC86" s="152"/>
      <c r="AD86" s="152">
        <f t="shared" si="675"/>
        <v>0</v>
      </c>
      <c r="AE86" s="152"/>
      <c r="AF86" s="152"/>
      <c r="AG86" s="152"/>
      <c r="AH86" s="152">
        <f t="shared" si="676"/>
        <v>0</v>
      </c>
      <c r="AI86" s="152"/>
      <c r="AJ86" s="152"/>
      <c r="AK86" s="152"/>
      <c r="AL86" s="152">
        <f t="shared" si="677"/>
        <v>0</v>
      </c>
      <c r="AM86" s="152"/>
      <c r="AN86" s="152"/>
      <c r="AO86" s="152"/>
      <c r="AP86" s="152">
        <f t="shared" si="678"/>
        <v>0</v>
      </c>
      <c r="AQ86" s="152">
        <f t="shared" si="679"/>
        <v>0</v>
      </c>
      <c r="AR86" s="152">
        <f t="shared" si="679"/>
        <v>0</v>
      </c>
      <c r="AS86" s="152">
        <f t="shared" si="679"/>
        <v>0</v>
      </c>
      <c r="AT86" s="168">
        <f>SUM(AQ86:AS86)</f>
        <v>0</v>
      </c>
      <c r="AU86" s="152"/>
      <c r="AV86" s="152"/>
      <c r="AW86" s="152"/>
      <c r="AX86" s="152">
        <f t="shared" si="680"/>
        <v>0</v>
      </c>
      <c r="AY86" s="152"/>
      <c r="AZ86" s="152"/>
      <c r="BA86" s="152"/>
      <c r="BB86" s="152">
        <f t="shared" si="681"/>
        <v>0</v>
      </c>
      <c r="BC86" s="152"/>
      <c r="BD86" s="152"/>
      <c r="BE86" s="152"/>
      <c r="BF86" s="152">
        <f t="shared" si="682"/>
        <v>0</v>
      </c>
      <c r="BG86" s="152"/>
      <c r="BH86" s="152"/>
      <c r="BI86" s="152"/>
      <c r="BJ86" s="152">
        <f t="shared" si="683"/>
        <v>0</v>
      </c>
      <c r="BK86" s="152">
        <f t="shared" si="684"/>
        <v>0</v>
      </c>
      <c r="BL86" s="152">
        <f t="shared" si="684"/>
        <v>0</v>
      </c>
      <c r="BM86" s="152">
        <f t="shared" si="684"/>
        <v>0</v>
      </c>
      <c r="BN86" s="152">
        <f>SUM(BK86:BM86)</f>
        <v>0</v>
      </c>
      <c r="BO86" s="168"/>
      <c r="BP86" s="152">
        <f t="shared" si="685"/>
        <v>0</v>
      </c>
      <c r="BQ86" s="152">
        <f t="shared" si="685"/>
        <v>0</v>
      </c>
      <c r="BR86" s="152">
        <f t="shared" si="685"/>
        <v>0</v>
      </c>
      <c r="BS86" s="168">
        <f>SUM(BP86:BR86)</f>
        <v>0</v>
      </c>
      <c r="BT86" s="152"/>
      <c r="BU86" s="152"/>
      <c r="BV86" s="152"/>
      <c r="BW86" s="152">
        <f t="shared" si="686"/>
        <v>0</v>
      </c>
      <c r="BX86" s="152">
        <f t="shared" si="687"/>
        <v>0</v>
      </c>
      <c r="BY86" s="152">
        <f t="shared" si="688"/>
        <v>0</v>
      </c>
      <c r="BZ86" s="152">
        <f t="shared" si="689"/>
        <v>0</v>
      </c>
      <c r="CA86" s="587">
        <f t="shared" si="690"/>
        <v>0</v>
      </c>
    </row>
    <row r="87" spans="1:91" ht="14.1" customHeight="1" x14ac:dyDescent="0.2">
      <c r="A87" s="522" t="s">
        <v>189</v>
      </c>
      <c r="B87" s="523" t="s">
        <v>64</v>
      </c>
      <c r="C87" s="561"/>
      <c r="D87" s="563"/>
      <c r="E87" s="562"/>
      <c r="F87" s="525"/>
      <c r="G87" s="530">
        <f>G88</f>
        <v>0</v>
      </c>
      <c r="H87" s="530">
        <f t="shared" ref="H87:I87" si="692">H88</f>
        <v>953000</v>
      </c>
      <c r="I87" s="530">
        <f t="shared" si="692"/>
        <v>1400000</v>
      </c>
      <c r="J87" s="530">
        <f t="shared" ref="J87:BS87" si="693">J88</f>
        <v>2353000</v>
      </c>
      <c r="K87" s="530">
        <f>K88</f>
        <v>0</v>
      </c>
      <c r="L87" s="530">
        <f t="shared" ref="L87" si="694">L88</f>
        <v>634755.17999999993</v>
      </c>
      <c r="M87" s="530">
        <f t="shared" ref="M87" si="695">M88</f>
        <v>0</v>
      </c>
      <c r="N87" s="530">
        <f t="shared" ref="N87" si="696">N88</f>
        <v>634755.17999999993</v>
      </c>
      <c r="O87" s="530">
        <f>O88</f>
        <v>0</v>
      </c>
      <c r="P87" s="530">
        <f t="shared" ref="P87" si="697">P88</f>
        <v>0</v>
      </c>
      <c r="Q87" s="530">
        <f t="shared" ref="Q87" si="698">Q88</f>
        <v>0</v>
      </c>
      <c r="R87" s="530">
        <f t="shared" ref="R87" si="699">R88</f>
        <v>0</v>
      </c>
      <c r="S87" s="530">
        <f>S88</f>
        <v>0</v>
      </c>
      <c r="T87" s="530">
        <f t="shared" ref="T87" si="700">T88</f>
        <v>0</v>
      </c>
      <c r="U87" s="530">
        <f t="shared" ref="U87" si="701">U88</f>
        <v>0</v>
      </c>
      <c r="V87" s="530">
        <f t="shared" ref="V87" si="702">V88</f>
        <v>0</v>
      </c>
      <c r="W87" s="530">
        <f t="shared" si="693"/>
        <v>0</v>
      </c>
      <c r="X87" s="530">
        <f t="shared" si="693"/>
        <v>1587755.18</v>
      </c>
      <c r="Y87" s="530">
        <f t="shared" si="693"/>
        <v>1400000</v>
      </c>
      <c r="Z87" s="531">
        <f t="shared" si="693"/>
        <v>2987755.1799999997</v>
      </c>
      <c r="AA87" s="530">
        <f t="shared" si="693"/>
        <v>0</v>
      </c>
      <c r="AB87" s="530">
        <f t="shared" si="693"/>
        <v>0</v>
      </c>
      <c r="AC87" s="530">
        <f t="shared" si="693"/>
        <v>0</v>
      </c>
      <c r="AD87" s="530">
        <f t="shared" si="693"/>
        <v>0</v>
      </c>
      <c r="AE87" s="530">
        <f>AE88</f>
        <v>0</v>
      </c>
      <c r="AF87" s="530">
        <f t="shared" ref="AF87:AH87" si="703">AF88</f>
        <v>112980</v>
      </c>
      <c r="AG87" s="530">
        <f t="shared" si="703"/>
        <v>0</v>
      </c>
      <c r="AH87" s="530">
        <f t="shared" si="703"/>
        <v>112980</v>
      </c>
      <c r="AI87" s="530">
        <f>AI88</f>
        <v>0</v>
      </c>
      <c r="AJ87" s="530">
        <f t="shared" ref="AJ87:AL87" si="704">AJ88</f>
        <v>221157</v>
      </c>
      <c r="AK87" s="530">
        <f t="shared" si="704"/>
        <v>0</v>
      </c>
      <c r="AL87" s="530">
        <f t="shared" si="704"/>
        <v>221157</v>
      </c>
      <c r="AM87" s="530">
        <f>AM88</f>
        <v>0</v>
      </c>
      <c r="AN87" s="530">
        <f t="shared" ref="AN87:AP87" si="705">AN88</f>
        <v>1098518.1800000002</v>
      </c>
      <c r="AO87" s="530">
        <f t="shared" si="705"/>
        <v>1400000</v>
      </c>
      <c r="AP87" s="530">
        <f t="shared" si="705"/>
        <v>2498518.1800000002</v>
      </c>
      <c r="AQ87" s="530">
        <f t="shared" si="693"/>
        <v>0</v>
      </c>
      <c r="AR87" s="530">
        <f t="shared" si="693"/>
        <v>1432655.1800000002</v>
      </c>
      <c r="AS87" s="530">
        <f t="shared" si="693"/>
        <v>1400000</v>
      </c>
      <c r="AT87" s="531">
        <f t="shared" si="693"/>
        <v>2832655.18</v>
      </c>
      <c r="AU87" s="530">
        <f t="shared" si="693"/>
        <v>0</v>
      </c>
      <c r="AV87" s="530">
        <f t="shared" si="693"/>
        <v>0</v>
      </c>
      <c r="AW87" s="530">
        <f t="shared" si="693"/>
        <v>0</v>
      </c>
      <c r="AX87" s="530">
        <f t="shared" si="693"/>
        <v>0</v>
      </c>
      <c r="AY87" s="530">
        <f>AY88</f>
        <v>0</v>
      </c>
      <c r="AZ87" s="530">
        <f t="shared" ref="AZ87" si="706">AZ88</f>
        <v>112980</v>
      </c>
      <c r="BA87" s="530">
        <f t="shared" ref="BA87" si="707">BA88</f>
        <v>0</v>
      </c>
      <c r="BB87" s="530">
        <f t="shared" ref="BB87" si="708">BB88</f>
        <v>112980</v>
      </c>
      <c r="BC87" s="530">
        <f>BC88</f>
        <v>0</v>
      </c>
      <c r="BD87" s="530">
        <f t="shared" ref="BD87" si="709">BD88</f>
        <v>221157</v>
      </c>
      <c r="BE87" s="530">
        <f t="shared" ref="BE87" si="710">BE88</f>
        <v>0</v>
      </c>
      <c r="BF87" s="530">
        <f t="shared" ref="BF87" si="711">BF88</f>
        <v>221157</v>
      </c>
      <c r="BG87" s="530">
        <f>BG88</f>
        <v>0</v>
      </c>
      <c r="BH87" s="530">
        <f t="shared" ref="BH87" si="712">BH88</f>
        <v>1010183.18</v>
      </c>
      <c r="BI87" s="530">
        <f t="shared" ref="BI87" si="713">BI88</f>
        <v>1400000</v>
      </c>
      <c r="BJ87" s="530">
        <f t="shared" ref="BJ87" si="714">BJ88</f>
        <v>2410183.1800000002</v>
      </c>
      <c r="BK87" s="530">
        <f t="shared" si="693"/>
        <v>0</v>
      </c>
      <c r="BL87" s="530">
        <f t="shared" si="693"/>
        <v>1344320.1800000002</v>
      </c>
      <c r="BM87" s="530">
        <f t="shared" si="693"/>
        <v>1400000</v>
      </c>
      <c r="BN87" s="530">
        <f t="shared" si="693"/>
        <v>2744320.18</v>
      </c>
      <c r="BO87" s="532">
        <f t="shared" si="693"/>
        <v>0</v>
      </c>
      <c r="BP87" s="530">
        <f t="shared" si="693"/>
        <v>0</v>
      </c>
      <c r="BQ87" s="530">
        <f t="shared" si="693"/>
        <v>155099.99999999977</v>
      </c>
      <c r="BR87" s="530">
        <f t="shared" si="693"/>
        <v>0</v>
      </c>
      <c r="BS87" s="531">
        <f t="shared" si="693"/>
        <v>155099.99999999977</v>
      </c>
      <c r="BT87" s="530">
        <f>BT88</f>
        <v>0</v>
      </c>
      <c r="BU87" s="530">
        <f t="shared" ref="BU87" si="715">BU88</f>
        <v>0</v>
      </c>
      <c r="BV87" s="530">
        <f t="shared" ref="BV87" si="716">BV88</f>
        <v>0</v>
      </c>
      <c r="BW87" s="530">
        <f t="shared" ref="BW87" si="717">BW88</f>
        <v>0</v>
      </c>
      <c r="BX87" s="530">
        <f t="shared" ref="BX87:CA87" si="718">BX88</f>
        <v>0</v>
      </c>
      <c r="BY87" s="530">
        <f t="shared" si="718"/>
        <v>88335</v>
      </c>
      <c r="BZ87" s="530">
        <f t="shared" si="718"/>
        <v>0</v>
      </c>
      <c r="CA87" s="533">
        <f t="shared" si="718"/>
        <v>88335</v>
      </c>
    </row>
    <row r="88" spans="1:91" ht="14.1" customHeight="1" x14ac:dyDescent="0.2">
      <c r="A88" s="122" t="s">
        <v>190</v>
      </c>
      <c r="B88" s="78" t="s">
        <v>126</v>
      </c>
      <c r="C88" s="69" t="s">
        <v>64</v>
      </c>
      <c r="D88" s="69"/>
      <c r="E88" s="79"/>
      <c r="G88" s="152"/>
      <c r="H88" s="152">
        <v>953000</v>
      </c>
      <c r="I88" s="747">
        <v>1400000</v>
      </c>
      <c r="J88" s="152">
        <f t="shared" si="691"/>
        <v>2353000</v>
      </c>
      <c r="K88" s="152"/>
      <c r="L88" s="152">
        <f>208956.77+425798.41</f>
        <v>634755.17999999993</v>
      </c>
      <c r="M88" s="152"/>
      <c r="N88" s="152">
        <f t="shared" ref="N88" si="719">SUM(K88:M88)</f>
        <v>634755.17999999993</v>
      </c>
      <c r="O88" s="152"/>
      <c r="P88" s="152"/>
      <c r="Q88" s="152"/>
      <c r="R88" s="152">
        <f t="shared" ref="R88" si="720">SUM(O88:Q88)</f>
        <v>0</v>
      </c>
      <c r="S88" s="152"/>
      <c r="T88" s="152"/>
      <c r="U88" s="152"/>
      <c r="V88" s="152">
        <f t="shared" ref="V88" si="721">SUM(S88:U88)</f>
        <v>0</v>
      </c>
      <c r="W88" s="152">
        <f>G88-O88+S88+K88</f>
        <v>0</v>
      </c>
      <c r="X88" s="152">
        <f t="shared" ref="X88:Y88" si="722">H88-P88+T88+L88</f>
        <v>1587755.18</v>
      </c>
      <c r="Y88" s="152">
        <f t="shared" si="722"/>
        <v>1400000</v>
      </c>
      <c r="Z88" s="168">
        <f>SUM(W88:Y88)</f>
        <v>2987755.1799999997</v>
      </c>
      <c r="AA88" s="152"/>
      <c r="AB88" s="152"/>
      <c r="AC88" s="152"/>
      <c r="AD88" s="152">
        <f t="shared" ref="AD88" si="723">SUM(AA88:AC88)</f>
        <v>0</v>
      </c>
      <c r="AE88" s="152"/>
      <c r="AF88" s="152">
        <f>110980+80+1920</f>
        <v>112980</v>
      </c>
      <c r="AG88" s="152"/>
      <c r="AH88" s="152">
        <f t="shared" ref="AH88" si="724">SUM(AE88:AG88)</f>
        <v>112980</v>
      </c>
      <c r="AI88" s="152"/>
      <c r="AJ88" s="152">
        <f>700+69700+17877+17440+17440+98000</f>
        <v>221157</v>
      </c>
      <c r="AK88" s="152"/>
      <c r="AL88" s="152">
        <f t="shared" ref="AL88" si="725">SUM(AI88:AK88)</f>
        <v>221157</v>
      </c>
      <c r="AM88" s="152"/>
      <c r="AN88" s="152">
        <f>46096+17100+7169+2676.77+7363+8323.23+6985.91+100000+30000+100000+208956.77+475512.5+58635+26700+3000</f>
        <v>1098518.1800000002</v>
      </c>
      <c r="AO88" s="152">
        <v>1400000</v>
      </c>
      <c r="AP88" s="152">
        <f t="shared" ref="AP88" si="726">SUM(AM88:AO88)</f>
        <v>2498518.1800000002</v>
      </c>
      <c r="AQ88" s="152">
        <f t="shared" ref="AQ88:AS88" si="727">AA88+AE88+AI88+AM88</f>
        <v>0</v>
      </c>
      <c r="AR88" s="152">
        <f t="shared" si="727"/>
        <v>1432655.1800000002</v>
      </c>
      <c r="AS88" s="152">
        <f t="shared" si="727"/>
        <v>1400000</v>
      </c>
      <c r="AT88" s="168">
        <f>SUM(AQ88:AS88)</f>
        <v>2832655.18</v>
      </c>
      <c r="AU88" s="152"/>
      <c r="AV88" s="152"/>
      <c r="AW88" s="152"/>
      <c r="AX88" s="152">
        <f t="shared" ref="AX88" si="728">SUM(AU88:AW88)</f>
        <v>0</v>
      </c>
      <c r="AY88" s="152"/>
      <c r="AZ88" s="152">
        <f>110980+80+1920</f>
        <v>112980</v>
      </c>
      <c r="BA88" s="152"/>
      <c r="BB88" s="152">
        <f t="shared" ref="BB88" si="729">SUM(AY88:BA88)</f>
        <v>112980</v>
      </c>
      <c r="BC88" s="152"/>
      <c r="BD88" s="152">
        <f>700+69700+17877+17440+17440+98000</f>
        <v>221157</v>
      </c>
      <c r="BE88" s="152"/>
      <c r="BF88" s="152">
        <f t="shared" ref="BF88" si="730">SUM(BC88:BE88)</f>
        <v>221157</v>
      </c>
      <c r="BG88" s="152"/>
      <c r="BH88" s="152">
        <f>46096+17100+7169+2676.77+7363+8323.23+6985.91+100000+30000+100000+475512.5+208956.77</f>
        <v>1010183.18</v>
      </c>
      <c r="BI88" s="152">
        <v>1400000</v>
      </c>
      <c r="BJ88" s="152">
        <f t="shared" ref="BJ88" si="731">SUM(BG88:BI88)</f>
        <v>2410183.1800000002</v>
      </c>
      <c r="BK88" s="152">
        <f t="shared" ref="BK88:BM88" si="732">AU88+AY88+BC88+BG88</f>
        <v>0</v>
      </c>
      <c r="BL88" s="152">
        <f t="shared" si="732"/>
        <v>1344320.1800000002</v>
      </c>
      <c r="BM88" s="152">
        <f t="shared" si="732"/>
        <v>1400000</v>
      </c>
      <c r="BN88" s="152">
        <f>SUM(BK88:BM88)</f>
        <v>2744320.18</v>
      </c>
      <c r="BO88" s="168"/>
      <c r="BP88" s="152">
        <f t="shared" ref="BP88:BR88" si="733">W88-AQ88</f>
        <v>0</v>
      </c>
      <c r="BQ88" s="152">
        <f t="shared" si="733"/>
        <v>155099.99999999977</v>
      </c>
      <c r="BR88" s="152">
        <f t="shared" si="733"/>
        <v>0</v>
      </c>
      <c r="BS88" s="168">
        <f>SUM(BP88:BR88)</f>
        <v>155099.99999999977</v>
      </c>
      <c r="BT88" s="152"/>
      <c r="BU88" s="152"/>
      <c r="BV88" s="152"/>
      <c r="BW88" s="152">
        <f t="shared" ref="BW88" si="734">SUM(BT88:BV88)</f>
        <v>0</v>
      </c>
      <c r="BX88" s="152">
        <f t="shared" si="687"/>
        <v>0</v>
      </c>
      <c r="BY88" s="152">
        <f t="shared" si="688"/>
        <v>88335</v>
      </c>
      <c r="BZ88" s="152">
        <f t="shared" si="689"/>
        <v>0</v>
      </c>
      <c r="CA88" s="587">
        <f t="shared" si="690"/>
        <v>88335</v>
      </c>
    </row>
    <row r="89" spans="1:91" ht="14.1" customHeight="1" x14ac:dyDescent="0.2">
      <c r="A89" s="522" t="s">
        <v>191</v>
      </c>
      <c r="B89" s="560" t="s">
        <v>585</v>
      </c>
      <c r="C89" s="560"/>
      <c r="D89" s="560"/>
      <c r="E89" s="562"/>
      <c r="F89" s="525"/>
      <c r="G89" s="530">
        <f>G90</f>
        <v>0</v>
      </c>
      <c r="H89" s="530">
        <f t="shared" ref="H89:I89" si="735">H90</f>
        <v>0</v>
      </c>
      <c r="I89" s="530">
        <f t="shared" si="735"/>
        <v>0</v>
      </c>
      <c r="J89" s="530">
        <f t="shared" ref="J89:BS89" si="736">J90</f>
        <v>0</v>
      </c>
      <c r="K89" s="530">
        <f>K90</f>
        <v>0</v>
      </c>
      <c r="L89" s="530">
        <f t="shared" ref="L89" si="737">L90</f>
        <v>0</v>
      </c>
      <c r="M89" s="530">
        <f t="shared" ref="M89" si="738">M90</f>
        <v>0</v>
      </c>
      <c r="N89" s="530">
        <f t="shared" ref="N89" si="739">N90</f>
        <v>0</v>
      </c>
      <c r="O89" s="530">
        <f>O90</f>
        <v>0</v>
      </c>
      <c r="P89" s="530">
        <f t="shared" ref="P89" si="740">P90</f>
        <v>0</v>
      </c>
      <c r="Q89" s="530">
        <f t="shared" ref="Q89" si="741">Q90</f>
        <v>0</v>
      </c>
      <c r="R89" s="530">
        <f t="shared" ref="R89" si="742">R90</f>
        <v>0</v>
      </c>
      <c r="S89" s="530">
        <f>S90</f>
        <v>0</v>
      </c>
      <c r="T89" s="530">
        <f t="shared" ref="T89" si="743">T90</f>
        <v>0</v>
      </c>
      <c r="U89" s="530">
        <f t="shared" ref="U89" si="744">U90</f>
        <v>0</v>
      </c>
      <c r="V89" s="530">
        <f t="shared" ref="V89" si="745">V90</f>
        <v>0</v>
      </c>
      <c r="W89" s="530">
        <f t="shared" si="736"/>
        <v>0</v>
      </c>
      <c r="X89" s="530">
        <f t="shared" si="736"/>
        <v>0</v>
      </c>
      <c r="Y89" s="530">
        <f t="shared" si="736"/>
        <v>0</v>
      </c>
      <c r="Z89" s="531">
        <f t="shared" si="736"/>
        <v>0</v>
      </c>
      <c r="AA89" s="530">
        <f t="shared" si="736"/>
        <v>0</v>
      </c>
      <c r="AB89" s="530">
        <f t="shared" si="736"/>
        <v>0</v>
      </c>
      <c r="AC89" s="530">
        <f t="shared" si="736"/>
        <v>0</v>
      </c>
      <c r="AD89" s="530">
        <f t="shared" si="736"/>
        <v>0</v>
      </c>
      <c r="AE89" s="530">
        <f>AE90</f>
        <v>0</v>
      </c>
      <c r="AF89" s="530">
        <f t="shared" ref="AF89:AH89" si="746">AF90</f>
        <v>0</v>
      </c>
      <c r="AG89" s="530">
        <f t="shared" si="746"/>
        <v>0</v>
      </c>
      <c r="AH89" s="530">
        <f t="shared" si="746"/>
        <v>0</v>
      </c>
      <c r="AI89" s="530">
        <f>AI90</f>
        <v>0</v>
      </c>
      <c r="AJ89" s="530">
        <f t="shared" ref="AJ89:AL89" si="747">AJ90</f>
        <v>0</v>
      </c>
      <c r="AK89" s="530">
        <f t="shared" si="747"/>
        <v>0</v>
      </c>
      <c r="AL89" s="530">
        <f t="shared" si="747"/>
        <v>0</v>
      </c>
      <c r="AM89" s="530">
        <f>AM90</f>
        <v>0</v>
      </c>
      <c r="AN89" s="530">
        <f t="shared" ref="AN89:AP89" si="748">AN90</f>
        <v>0</v>
      </c>
      <c r="AO89" s="530">
        <f t="shared" si="748"/>
        <v>0</v>
      </c>
      <c r="AP89" s="530">
        <f t="shared" si="748"/>
        <v>0</v>
      </c>
      <c r="AQ89" s="530">
        <f t="shared" si="736"/>
        <v>0</v>
      </c>
      <c r="AR89" s="530">
        <f t="shared" si="736"/>
        <v>0</v>
      </c>
      <c r="AS89" s="530">
        <f t="shared" si="736"/>
        <v>0</v>
      </c>
      <c r="AT89" s="531">
        <f t="shared" si="736"/>
        <v>0</v>
      </c>
      <c r="AU89" s="530">
        <f t="shared" si="736"/>
        <v>0</v>
      </c>
      <c r="AV89" s="530">
        <f t="shared" si="736"/>
        <v>0</v>
      </c>
      <c r="AW89" s="530">
        <f t="shared" si="736"/>
        <v>0</v>
      </c>
      <c r="AX89" s="530">
        <f t="shared" si="736"/>
        <v>0</v>
      </c>
      <c r="AY89" s="530">
        <f>AY90</f>
        <v>0</v>
      </c>
      <c r="AZ89" s="530">
        <f t="shared" ref="AZ89" si="749">AZ90</f>
        <v>0</v>
      </c>
      <c r="BA89" s="530">
        <f t="shared" ref="BA89" si="750">BA90</f>
        <v>0</v>
      </c>
      <c r="BB89" s="530">
        <f t="shared" ref="BB89" si="751">BB90</f>
        <v>0</v>
      </c>
      <c r="BC89" s="530">
        <f>BC90</f>
        <v>0</v>
      </c>
      <c r="BD89" s="530">
        <f t="shared" ref="BD89" si="752">BD90</f>
        <v>0</v>
      </c>
      <c r="BE89" s="530">
        <f t="shared" ref="BE89" si="753">BE90</f>
        <v>0</v>
      </c>
      <c r="BF89" s="530">
        <f t="shared" ref="BF89" si="754">BF90</f>
        <v>0</v>
      </c>
      <c r="BG89" s="530">
        <f>BG90</f>
        <v>0</v>
      </c>
      <c r="BH89" s="530">
        <f t="shared" ref="BH89" si="755">BH90</f>
        <v>0</v>
      </c>
      <c r="BI89" s="530">
        <f t="shared" ref="BI89" si="756">BI90</f>
        <v>0</v>
      </c>
      <c r="BJ89" s="530">
        <f t="shared" ref="BJ89" si="757">BJ90</f>
        <v>0</v>
      </c>
      <c r="BK89" s="530">
        <f t="shared" si="736"/>
        <v>0</v>
      </c>
      <c r="BL89" s="530">
        <f t="shared" si="736"/>
        <v>0</v>
      </c>
      <c r="BM89" s="530">
        <f t="shared" si="736"/>
        <v>0</v>
      </c>
      <c r="BN89" s="530">
        <f t="shared" si="736"/>
        <v>0</v>
      </c>
      <c r="BO89" s="532">
        <f t="shared" si="736"/>
        <v>0</v>
      </c>
      <c r="BP89" s="530">
        <f t="shared" si="736"/>
        <v>0</v>
      </c>
      <c r="BQ89" s="530">
        <f t="shared" si="736"/>
        <v>0</v>
      </c>
      <c r="BR89" s="530">
        <f t="shared" si="736"/>
        <v>0</v>
      </c>
      <c r="BS89" s="531">
        <f t="shared" si="736"/>
        <v>0</v>
      </c>
      <c r="BT89" s="530">
        <f>BT90</f>
        <v>0</v>
      </c>
      <c r="BU89" s="530">
        <f t="shared" ref="BU89" si="758">BU90</f>
        <v>0</v>
      </c>
      <c r="BV89" s="530">
        <f t="shared" ref="BV89" si="759">BV90</f>
        <v>0</v>
      </c>
      <c r="BW89" s="530">
        <f t="shared" ref="BW89" si="760">BW90</f>
        <v>0</v>
      </c>
      <c r="BX89" s="530">
        <f t="shared" ref="BX89:CA89" si="761">BX90</f>
        <v>0</v>
      </c>
      <c r="BY89" s="530">
        <f t="shared" si="761"/>
        <v>0</v>
      </c>
      <c r="BZ89" s="530">
        <f t="shared" si="761"/>
        <v>0</v>
      </c>
      <c r="CA89" s="533">
        <f t="shared" si="761"/>
        <v>0</v>
      </c>
    </row>
    <row r="90" spans="1:91" ht="14.1" customHeight="1" x14ac:dyDescent="0.2">
      <c r="A90" s="122" t="s">
        <v>185</v>
      </c>
      <c r="B90" s="78" t="s">
        <v>126</v>
      </c>
      <c r="C90" s="69" t="s">
        <v>192</v>
      </c>
      <c r="D90" s="565"/>
      <c r="E90" s="86"/>
      <c r="G90" s="152"/>
      <c r="H90" s="152"/>
      <c r="I90" s="152"/>
      <c r="J90" s="152">
        <f t="shared" si="691"/>
        <v>0</v>
      </c>
      <c r="K90" s="152"/>
      <c r="L90" s="152"/>
      <c r="M90" s="152"/>
      <c r="N90" s="152">
        <f t="shared" ref="N90" si="762">SUM(K90:M90)</f>
        <v>0</v>
      </c>
      <c r="O90" s="152"/>
      <c r="P90" s="152"/>
      <c r="Q90" s="152"/>
      <c r="R90" s="152">
        <f t="shared" ref="R90" si="763">SUM(O90:Q90)</f>
        <v>0</v>
      </c>
      <c r="S90" s="152"/>
      <c r="T90" s="152"/>
      <c r="U90" s="152"/>
      <c r="V90" s="152">
        <f t="shared" ref="V90" si="764">SUM(S90:U90)</f>
        <v>0</v>
      </c>
      <c r="W90" s="152">
        <f>G90-O90+S90+K90</f>
        <v>0</v>
      </c>
      <c r="X90" s="152">
        <f t="shared" ref="X90:Y90" si="765">H90-P90+T90+L90</f>
        <v>0</v>
      </c>
      <c r="Y90" s="152">
        <f t="shared" si="765"/>
        <v>0</v>
      </c>
      <c r="Z90" s="168">
        <f>SUM(W90:Y90)</f>
        <v>0</v>
      </c>
      <c r="AA90" s="152"/>
      <c r="AB90" s="152"/>
      <c r="AC90" s="152"/>
      <c r="AD90" s="152">
        <f t="shared" ref="AD90" si="766">SUM(AA90:AC90)</f>
        <v>0</v>
      </c>
      <c r="AE90" s="152"/>
      <c r="AF90" s="152"/>
      <c r="AG90" s="152"/>
      <c r="AH90" s="152">
        <f t="shared" ref="AH90" si="767">SUM(AE90:AG90)</f>
        <v>0</v>
      </c>
      <c r="AI90" s="152"/>
      <c r="AJ90" s="152"/>
      <c r="AK90" s="152"/>
      <c r="AL90" s="152">
        <f t="shared" ref="AL90" si="768">SUM(AI90:AK90)</f>
        <v>0</v>
      </c>
      <c r="AM90" s="152"/>
      <c r="AN90" s="152"/>
      <c r="AO90" s="152"/>
      <c r="AP90" s="152">
        <f t="shared" ref="AP90" si="769">SUM(AM90:AO90)</f>
        <v>0</v>
      </c>
      <c r="AQ90" s="152">
        <f t="shared" ref="AQ90:AS90" si="770">AA90+AE90+AI90+AM90</f>
        <v>0</v>
      </c>
      <c r="AR90" s="152">
        <f t="shared" si="770"/>
        <v>0</v>
      </c>
      <c r="AS90" s="152">
        <f t="shared" si="770"/>
        <v>0</v>
      </c>
      <c r="AT90" s="168">
        <f>SUM(AQ90:AS90)</f>
        <v>0</v>
      </c>
      <c r="AU90" s="152"/>
      <c r="AV90" s="152"/>
      <c r="AW90" s="152"/>
      <c r="AX90" s="152">
        <f t="shared" ref="AX90" si="771">SUM(AU90:AW90)</f>
        <v>0</v>
      </c>
      <c r="AY90" s="152"/>
      <c r="AZ90" s="152"/>
      <c r="BA90" s="152"/>
      <c r="BB90" s="152">
        <f t="shared" ref="BB90" si="772">SUM(AY90:BA90)</f>
        <v>0</v>
      </c>
      <c r="BC90" s="152"/>
      <c r="BD90" s="152"/>
      <c r="BE90" s="152"/>
      <c r="BF90" s="152">
        <f t="shared" ref="BF90" si="773">SUM(BC90:BE90)</f>
        <v>0</v>
      </c>
      <c r="BG90" s="152"/>
      <c r="BH90" s="152"/>
      <c r="BI90" s="152"/>
      <c r="BJ90" s="152">
        <f t="shared" ref="BJ90" si="774">SUM(BG90:BI90)</f>
        <v>0</v>
      </c>
      <c r="BK90" s="152">
        <f t="shared" ref="BK90:BM90" si="775">AU90+AY90+BC90+BG90</f>
        <v>0</v>
      </c>
      <c r="BL90" s="152">
        <f t="shared" si="775"/>
        <v>0</v>
      </c>
      <c r="BM90" s="152">
        <f t="shared" si="775"/>
        <v>0</v>
      </c>
      <c r="BN90" s="152">
        <f>SUM(BK90:BM90)</f>
        <v>0</v>
      </c>
      <c r="BO90" s="168"/>
      <c r="BP90" s="152">
        <f t="shared" ref="BP90:BR90" si="776">W90-AQ90</f>
        <v>0</v>
      </c>
      <c r="BQ90" s="152">
        <f t="shared" si="776"/>
        <v>0</v>
      </c>
      <c r="BR90" s="152">
        <f t="shared" si="776"/>
        <v>0</v>
      </c>
      <c r="BS90" s="168">
        <f>SUM(BP90:BR90)</f>
        <v>0</v>
      </c>
      <c r="BT90" s="152"/>
      <c r="BU90" s="152"/>
      <c r="BV90" s="152"/>
      <c r="BW90" s="152">
        <f t="shared" ref="BW90" si="777">SUM(BT90:BV90)</f>
        <v>0</v>
      </c>
      <c r="BX90" s="152">
        <f t="shared" si="687"/>
        <v>0</v>
      </c>
      <c r="BY90" s="152">
        <f t="shared" si="688"/>
        <v>0</v>
      </c>
      <c r="BZ90" s="152">
        <f t="shared" si="689"/>
        <v>0</v>
      </c>
      <c r="CA90" s="587">
        <f t="shared" si="690"/>
        <v>0</v>
      </c>
    </row>
    <row r="91" spans="1:91" ht="14.1" customHeight="1" x14ac:dyDescent="0.2">
      <c r="A91" s="542" t="s">
        <v>193</v>
      </c>
      <c r="B91" s="549" t="s">
        <v>194</v>
      </c>
      <c r="C91" s="549"/>
      <c r="D91" s="549"/>
      <c r="E91" s="543"/>
      <c r="F91" s="537"/>
      <c r="G91" s="538">
        <f>G92+G120+G130+G137+G143</f>
        <v>8378000</v>
      </c>
      <c r="H91" s="538">
        <f t="shared" ref="H91:I91" si="778">H92+H120+H130+H137+H143</f>
        <v>5020000</v>
      </c>
      <c r="I91" s="538">
        <f t="shared" si="778"/>
        <v>0</v>
      </c>
      <c r="J91" s="538">
        <f t="shared" ref="J91:BS91" si="779">J92+J120+J130+J137+J143</f>
        <v>13398000</v>
      </c>
      <c r="K91" s="538">
        <f>K92+K120+K130+K137+K143</f>
        <v>0</v>
      </c>
      <c r="L91" s="538">
        <f t="shared" ref="L91" si="780">L92+L120+L130+L137+L143</f>
        <v>0</v>
      </c>
      <c r="M91" s="538">
        <f t="shared" ref="M91" si="781">M92+M120+M130+M137+M143</f>
        <v>0</v>
      </c>
      <c r="N91" s="538">
        <f t="shared" ref="N91" si="782">N92+N120+N130+N137+N143</f>
        <v>0</v>
      </c>
      <c r="O91" s="538">
        <f>O92+O120+O130+O137+O143</f>
        <v>0</v>
      </c>
      <c r="P91" s="538">
        <f t="shared" ref="P91" si="783">P92+P120+P130+P137+P143</f>
        <v>0</v>
      </c>
      <c r="Q91" s="538">
        <f t="shared" ref="Q91" si="784">Q92+Q120+Q130+Q137+Q143</f>
        <v>0</v>
      </c>
      <c r="R91" s="538">
        <f t="shared" ref="R91" si="785">R92+R120+R130+R137+R143</f>
        <v>0</v>
      </c>
      <c r="S91" s="538">
        <f>S92+S120+S130+S137+S143</f>
        <v>0</v>
      </c>
      <c r="T91" s="538">
        <f t="shared" ref="T91" si="786">T92+T120+T130+T137+T143</f>
        <v>0</v>
      </c>
      <c r="U91" s="538">
        <f t="shared" ref="U91" si="787">U92+U120+U130+U137+U143</f>
        <v>0</v>
      </c>
      <c r="V91" s="538">
        <f t="shared" ref="V91" si="788">V92+V120+V130+V137+V143</f>
        <v>0</v>
      </c>
      <c r="W91" s="538">
        <f t="shared" si="779"/>
        <v>8378000</v>
      </c>
      <c r="X91" s="538">
        <f t="shared" si="779"/>
        <v>5020000</v>
      </c>
      <c r="Y91" s="538">
        <f t="shared" si="779"/>
        <v>0</v>
      </c>
      <c r="Z91" s="539">
        <f t="shared" si="779"/>
        <v>13398000</v>
      </c>
      <c r="AA91" s="538">
        <f t="shared" si="779"/>
        <v>2823932</v>
      </c>
      <c r="AB91" s="538">
        <f t="shared" si="779"/>
        <v>276809.38</v>
      </c>
      <c r="AC91" s="538">
        <f t="shared" si="779"/>
        <v>0</v>
      </c>
      <c r="AD91" s="538">
        <f t="shared" si="779"/>
        <v>3100741.38</v>
      </c>
      <c r="AE91" s="538">
        <f>AE92+AE120+AE130+AE137+AE143</f>
        <v>2697655.8</v>
      </c>
      <c r="AF91" s="538">
        <f t="shared" ref="AF91:AH91" si="789">AF92+AF120+AF130+AF137+AF143</f>
        <v>510634.38</v>
      </c>
      <c r="AG91" s="538">
        <f t="shared" si="789"/>
        <v>0</v>
      </c>
      <c r="AH91" s="538">
        <f t="shared" si="789"/>
        <v>3208290.1799999997</v>
      </c>
      <c r="AI91" s="538">
        <f>AI92+AI120+AI130+AI137+AI143</f>
        <v>1444260</v>
      </c>
      <c r="AJ91" s="538">
        <f t="shared" ref="AJ91:AL91" si="790">AJ92+AJ120+AJ130+AJ137+AJ143</f>
        <v>677791.65</v>
      </c>
      <c r="AK91" s="538">
        <f t="shared" si="790"/>
        <v>0</v>
      </c>
      <c r="AL91" s="538">
        <f t="shared" si="790"/>
        <v>2122051.65</v>
      </c>
      <c r="AM91" s="538">
        <f>AM92+AM120+AM130+AM137+AM143</f>
        <v>1394152.2</v>
      </c>
      <c r="AN91" s="538">
        <f t="shared" ref="AN91:AP91" si="791">AN92+AN120+AN130+AN137+AN143</f>
        <v>2577982.2999999998</v>
      </c>
      <c r="AO91" s="538">
        <f t="shared" si="791"/>
        <v>0</v>
      </c>
      <c r="AP91" s="538">
        <f t="shared" si="791"/>
        <v>3972134.5</v>
      </c>
      <c r="AQ91" s="538">
        <f t="shared" si="779"/>
        <v>8360000</v>
      </c>
      <c r="AR91" s="538">
        <f t="shared" si="779"/>
        <v>4043217.71</v>
      </c>
      <c r="AS91" s="538">
        <f t="shared" si="779"/>
        <v>0</v>
      </c>
      <c r="AT91" s="539">
        <f t="shared" si="779"/>
        <v>12403217.709999999</v>
      </c>
      <c r="AU91" s="538">
        <f t="shared" si="779"/>
        <v>2146199</v>
      </c>
      <c r="AV91" s="538">
        <f t="shared" si="779"/>
        <v>264102.38</v>
      </c>
      <c r="AW91" s="538">
        <f t="shared" si="779"/>
        <v>0</v>
      </c>
      <c r="AX91" s="538">
        <f t="shared" si="779"/>
        <v>2410301.38</v>
      </c>
      <c r="AY91" s="538">
        <f>AY92+AY120+AY130+AY137+AY143</f>
        <v>2867838.52</v>
      </c>
      <c r="AZ91" s="538">
        <f t="shared" ref="AZ91" si="792">AZ92+AZ120+AZ130+AZ137+AZ143</f>
        <v>523341.38</v>
      </c>
      <c r="BA91" s="538">
        <f t="shared" ref="BA91" si="793">BA92+BA120+BA130+BA137+BA143</f>
        <v>0</v>
      </c>
      <c r="BB91" s="538">
        <f t="shared" ref="BB91" si="794">BB92+BB120+BB130+BB137+BB143</f>
        <v>3391179.9</v>
      </c>
      <c r="BC91" s="538">
        <f>BC92+BC120+BC130+BC137+BC143</f>
        <v>1940199.16</v>
      </c>
      <c r="BD91" s="538">
        <f t="shared" ref="BD91" si="795">BD92+BD120+BD130+BD137+BD143</f>
        <v>631616.64999999991</v>
      </c>
      <c r="BE91" s="538">
        <f t="shared" ref="BE91" si="796">BE92+BE120+BE130+BE137+BE143</f>
        <v>0</v>
      </c>
      <c r="BF91" s="538">
        <f t="shared" ref="BF91" si="797">BF92+BF120+BF130+BF137+BF143</f>
        <v>2571815.81</v>
      </c>
      <c r="BG91" s="538">
        <f>BG92+BG120+BG130+BG137+BG143</f>
        <v>1405763.32</v>
      </c>
      <c r="BH91" s="538">
        <f t="shared" ref="BH91" si="798">BH92+BH120+BH130+BH137+BH143</f>
        <v>1819695.4400000002</v>
      </c>
      <c r="BI91" s="538">
        <f t="shared" ref="BI91" si="799">BI92+BI120+BI130+BI137+BI143</f>
        <v>0</v>
      </c>
      <c r="BJ91" s="538">
        <f t="shared" ref="BJ91" si="800">BJ92+BJ120+BJ130+BJ137+BJ143</f>
        <v>3225458.7600000007</v>
      </c>
      <c r="BK91" s="538">
        <f t="shared" si="779"/>
        <v>8360000</v>
      </c>
      <c r="BL91" s="538">
        <f t="shared" si="779"/>
        <v>3238755.8499999996</v>
      </c>
      <c r="BM91" s="538">
        <f t="shared" si="779"/>
        <v>0</v>
      </c>
      <c r="BN91" s="538">
        <f t="shared" si="779"/>
        <v>11598755.85</v>
      </c>
      <c r="BO91" s="540">
        <f t="shared" si="779"/>
        <v>0</v>
      </c>
      <c r="BP91" s="538">
        <f t="shared" si="779"/>
        <v>18000</v>
      </c>
      <c r="BQ91" s="538">
        <f t="shared" si="779"/>
        <v>976782.29000000027</v>
      </c>
      <c r="BR91" s="538">
        <f t="shared" si="779"/>
        <v>0</v>
      </c>
      <c r="BS91" s="539">
        <f t="shared" si="779"/>
        <v>994782.29000000027</v>
      </c>
      <c r="BT91" s="538">
        <f>BT92+BT120+BT130+BT137+BT143</f>
        <v>0</v>
      </c>
      <c r="BU91" s="538">
        <f t="shared" ref="BU91" si="801">BU92+BU120+BU130+BU137+BU143</f>
        <v>0</v>
      </c>
      <c r="BV91" s="538">
        <f t="shared" ref="BV91" si="802">BV92+BV120+BV130+BV137+BV143</f>
        <v>0</v>
      </c>
      <c r="BW91" s="538">
        <f t="shared" ref="BW91" si="803">BW92+BW120+BW130+BW137+BW143</f>
        <v>0</v>
      </c>
      <c r="BX91" s="538">
        <f t="shared" ref="BX91:BZ91" si="804">BX92+BX120+BX130+BX137+BX143</f>
        <v>0</v>
      </c>
      <c r="BY91" s="538">
        <f t="shared" si="804"/>
        <v>804461.85999999987</v>
      </c>
      <c r="BZ91" s="538">
        <f t="shared" si="804"/>
        <v>0</v>
      </c>
      <c r="CA91" s="541">
        <f>SUM(BX91:BZ91)</f>
        <v>804461.85999999987</v>
      </c>
    </row>
    <row r="92" spans="1:91" ht="14.1" customHeight="1" x14ac:dyDescent="0.2">
      <c r="A92" s="559" t="s">
        <v>195</v>
      </c>
      <c r="B92" s="560" t="s">
        <v>210</v>
      </c>
      <c r="C92" s="560"/>
      <c r="D92" s="561"/>
      <c r="E92" s="524"/>
      <c r="F92" s="525"/>
      <c r="G92" s="530">
        <f>G93+G112</f>
        <v>0</v>
      </c>
      <c r="H92" s="530">
        <f t="shared" ref="H92:I92" si="805">H93+H112</f>
        <v>2425000</v>
      </c>
      <c r="I92" s="530">
        <f t="shared" si="805"/>
        <v>0</v>
      </c>
      <c r="J92" s="530">
        <f t="shared" ref="J92:BS92" si="806">J93+J112</f>
        <v>2425000</v>
      </c>
      <c r="K92" s="530">
        <f>K93+K112</f>
        <v>0</v>
      </c>
      <c r="L92" s="530">
        <f t="shared" ref="L92" si="807">L93+L112</f>
        <v>0</v>
      </c>
      <c r="M92" s="530">
        <f t="shared" ref="M92" si="808">M93+M112</f>
        <v>0</v>
      </c>
      <c r="N92" s="530">
        <f t="shared" ref="N92" si="809">N93+N112</f>
        <v>0</v>
      </c>
      <c r="O92" s="530">
        <f>O93+O112</f>
        <v>0</v>
      </c>
      <c r="P92" s="530">
        <f t="shared" ref="P92" si="810">P93+P112</f>
        <v>0</v>
      </c>
      <c r="Q92" s="530">
        <f t="shared" ref="Q92" si="811">Q93+Q112</f>
        <v>0</v>
      </c>
      <c r="R92" s="530">
        <f t="shared" ref="R92" si="812">R93+R112</f>
        <v>0</v>
      </c>
      <c r="S92" s="530">
        <f>S93+S112</f>
        <v>0</v>
      </c>
      <c r="T92" s="530">
        <f t="shared" ref="T92" si="813">T93+T112</f>
        <v>0</v>
      </c>
      <c r="U92" s="530">
        <f t="shared" ref="U92" si="814">U93+U112</f>
        <v>0</v>
      </c>
      <c r="V92" s="530">
        <f t="shared" ref="V92" si="815">V93+V112</f>
        <v>0</v>
      </c>
      <c r="W92" s="530">
        <f t="shared" si="806"/>
        <v>0</v>
      </c>
      <c r="X92" s="530">
        <f t="shared" si="806"/>
        <v>2425000</v>
      </c>
      <c r="Y92" s="530">
        <f t="shared" si="806"/>
        <v>0</v>
      </c>
      <c r="Z92" s="531">
        <f t="shared" si="806"/>
        <v>2425000</v>
      </c>
      <c r="AA92" s="530">
        <f t="shared" si="806"/>
        <v>0</v>
      </c>
      <c r="AB92" s="530">
        <f t="shared" si="806"/>
        <v>169582.88</v>
      </c>
      <c r="AC92" s="530">
        <f t="shared" si="806"/>
        <v>0</v>
      </c>
      <c r="AD92" s="530">
        <f t="shared" si="806"/>
        <v>169582.88</v>
      </c>
      <c r="AE92" s="530">
        <f>AE93+AE112</f>
        <v>0</v>
      </c>
      <c r="AF92" s="530">
        <f t="shared" ref="AF92:AH92" si="816">AF93+AF112</f>
        <v>292186.53999999998</v>
      </c>
      <c r="AG92" s="530">
        <f t="shared" si="816"/>
        <v>0</v>
      </c>
      <c r="AH92" s="530">
        <f t="shared" si="816"/>
        <v>292186.53999999998</v>
      </c>
      <c r="AI92" s="530">
        <f>AI93+AI112</f>
        <v>0</v>
      </c>
      <c r="AJ92" s="530">
        <f t="shared" ref="AJ92:AL92" si="817">AJ93+AJ112</f>
        <v>330617.65000000002</v>
      </c>
      <c r="AK92" s="530">
        <f t="shared" si="817"/>
        <v>0</v>
      </c>
      <c r="AL92" s="530">
        <f t="shared" si="817"/>
        <v>330617.65000000002</v>
      </c>
      <c r="AM92" s="530">
        <f>AM93+AM112</f>
        <v>0</v>
      </c>
      <c r="AN92" s="530">
        <f t="shared" ref="AN92:AP92" si="818">AN93+AN112</f>
        <v>839334.60000000009</v>
      </c>
      <c r="AO92" s="530">
        <f t="shared" si="818"/>
        <v>0</v>
      </c>
      <c r="AP92" s="530">
        <f t="shared" si="818"/>
        <v>839334.60000000009</v>
      </c>
      <c r="AQ92" s="530">
        <f t="shared" si="806"/>
        <v>0</v>
      </c>
      <c r="AR92" s="530">
        <f t="shared" si="806"/>
        <v>1631721.67</v>
      </c>
      <c r="AS92" s="530">
        <f t="shared" si="806"/>
        <v>0</v>
      </c>
      <c r="AT92" s="531">
        <f t="shared" si="806"/>
        <v>1631721.67</v>
      </c>
      <c r="AU92" s="530">
        <f t="shared" si="806"/>
        <v>0</v>
      </c>
      <c r="AV92" s="530">
        <f t="shared" si="806"/>
        <v>169582.88</v>
      </c>
      <c r="AW92" s="530">
        <f t="shared" si="806"/>
        <v>0</v>
      </c>
      <c r="AX92" s="530">
        <f t="shared" si="806"/>
        <v>169582.88</v>
      </c>
      <c r="AY92" s="530">
        <f>AY93+AY112</f>
        <v>0</v>
      </c>
      <c r="AZ92" s="530">
        <f t="shared" ref="AZ92" si="819">AZ93+AZ112</f>
        <v>292186.53999999998</v>
      </c>
      <c r="BA92" s="530">
        <f t="shared" ref="BA92" si="820">BA93+BA112</f>
        <v>0</v>
      </c>
      <c r="BB92" s="530">
        <f t="shared" ref="BB92" si="821">BB93+BB112</f>
        <v>292186.53999999998</v>
      </c>
      <c r="BC92" s="530">
        <f>BC93+BC112</f>
        <v>0</v>
      </c>
      <c r="BD92" s="530">
        <f t="shared" ref="BD92" si="822">BD93+BD112</f>
        <v>316834.06</v>
      </c>
      <c r="BE92" s="530">
        <f t="shared" ref="BE92" si="823">BE93+BE112</f>
        <v>0</v>
      </c>
      <c r="BF92" s="530">
        <f t="shared" ref="BF92" si="824">BF93+BF112</f>
        <v>316834.06</v>
      </c>
      <c r="BG92" s="530">
        <f>BG93+BG112</f>
        <v>0</v>
      </c>
      <c r="BH92" s="530">
        <f t="shared" ref="BH92" si="825">BH93+BH112</f>
        <v>713259.1100000001</v>
      </c>
      <c r="BI92" s="530">
        <f t="shared" ref="BI92" si="826">BI93+BI112</f>
        <v>0</v>
      </c>
      <c r="BJ92" s="530">
        <f t="shared" ref="BJ92" si="827">BJ93+BJ112</f>
        <v>713259.1100000001</v>
      </c>
      <c r="BK92" s="530">
        <f t="shared" si="806"/>
        <v>0</v>
      </c>
      <c r="BL92" s="530">
        <f t="shared" si="806"/>
        <v>1491862.5899999999</v>
      </c>
      <c r="BM92" s="530">
        <f t="shared" si="806"/>
        <v>0</v>
      </c>
      <c r="BN92" s="530">
        <f t="shared" si="806"/>
        <v>1491862.5899999999</v>
      </c>
      <c r="BO92" s="532">
        <f t="shared" si="806"/>
        <v>0</v>
      </c>
      <c r="BP92" s="530">
        <f t="shared" si="806"/>
        <v>0</v>
      </c>
      <c r="BQ92" s="530">
        <f t="shared" si="806"/>
        <v>793278.33000000007</v>
      </c>
      <c r="BR92" s="530">
        <f t="shared" si="806"/>
        <v>0</v>
      </c>
      <c r="BS92" s="531">
        <f t="shared" si="806"/>
        <v>793278.33000000007</v>
      </c>
      <c r="BT92" s="530">
        <f>BT93+BT112</f>
        <v>0</v>
      </c>
      <c r="BU92" s="530">
        <f t="shared" ref="BU92" si="828">BU93+BU112</f>
        <v>0</v>
      </c>
      <c r="BV92" s="530">
        <f t="shared" ref="BV92" si="829">BV93+BV112</f>
        <v>0</v>
      </c>
      <c r="BW92" s="530">
        <f t="shared" ref="BW92" si="830">BW93+BW112</f>
        <v>0</v>
      </c>
      <c r="BX92" s="530">
        <f t="shared" ref="BX92:CA92" si="831">BX93+BX112</f>
        <v>0</v>
      </c>
      <c r="BY92" s="530">
        <f t="shared" si="831"/>
        <v>139859.08000000002</v>
      </c>
      <c r="BZ92" s="530">
        <f t="shared" si="831"/>
        <v>0</v>
      </c>
      <c r="CA92" s="533">
        <f t="shared" si="831"/>
        <v>139859.08000000002</v>
      </c>
    </row>
    <row r="93" spans="1:91" ht="14.1" customHeight="1" x14ac:dyDescent="0.2">
      <c r="A93" s="133" t="s">
        <v>197</v>
      </c>
      <c r="B93" s="78" t="s">
        <v>126</v>
      </c>
      <c r="C93" s="899" t="s">
        <v>212</v>
      </c>
      <c r="D93" s="899"/>
      <c r="E93" s="900"/>
      <c r="F93" s="90"/>
      <c r="G93" s="157">
        <f>G94+G100+G104</f>
        <v>0</v>
      </c>
      <c r="H93" s="157">
        <f t="shared" ref="H93:I93" si="832">H94+H100+H104</f>
        <v>1500000</v>
      </c>
      <c r="I93" s="157">
        <f t="shared" si="832"/>
        <v>0</v>
      </c>
      <c r="J93" s="157">
        <f t="shared" ref="J93:BS93" si="833">J94+J100+J104</f>
        <v>1500000</v>
      </c>
      <c r="K93" s="157">
        <f>K94+K100+K104</f>
        <v>0</v>
      </c>
      <c r="L93" s="157">
        <f t="shared" ref="L93" si="834">L94+L100+L104</f>
        <v>0</v>
      </c>
      <c r="M93" s="157">
        <f t="shared" ref="M93" si="835">M94+M100+M104</f>
        <v>0</v>
      </c>
      <c r="N93" s="157">
        <f t="shared" ref="N93" si="836">N94+N100+N104</f>
        <v>0</v>
      </c>
      <c r="O93" s="157">
        <f>O94+O100+O104</f>
        <v>0</v>
      </c>
      <c r="P93" s="157">
        <f t="shared" ref="P93" si="837">P94+P100+P104</f>
        <v>0</v>
      </c>
      <c r="Q93" s="157">
        <f t="shared" ref="Q93" si="838">Q94+Q100+Q104</f>
        <v>0</v>
      </c>
      <c r="R93" s="157">
        <f t="shared" ref="R93" si="839">R94+R100+R104</f>
        <v>0</v>
      </c>
      <c r="S93" s="157">
        <f>S94+S100+S104</f>
        <v>0</v>
      </c>
      <c r="T93" s="157">
        <f t="shared" ref="T93" si="840">T94+T100+T104</f>
        <v>0</v>
      </c>
      <c r="U93" s="157">
        <f t="shared" ref="U93" si="841">U94+U100+U104</f>
        <v>0</v>
      </c>
      <c r="V93" s="157">
        <f t="shared" ref="V93" si="842">V94+V100+V104</f>
        <v>0</v>
      </c>
      <c r="W93" s="157">
        <f t="shared" si="833"/>
        <v>0</v>
      </c>
      <c r="X93" s="157">
        <f t="shared" si="833"/>
        <v>1500000</v>
      </c>
      <c r="Y93" s="157">
        <f t="shared" si="833"/>
        <v>0</v>
      </c>
      <c r="Z93" s="100">
        <f t="shared" si="833"/>
        <v>1500000</v>
      </c>
      <c r="AA93" s="157">
        <f t="shared" si="833"/>
        <v>0</v>
      </c>
      <c r="AB93" s="157">
        <f t="shared" si="833"/>
        <v>142264.08000000002</v>
      </c>
      <c r="AC93" s="157">
        <f t="shared" si="833"/>
        <v>0</v>
      </c>
      <c r="AD93" s="157">
        <f t="shared" si="833"/>
        <v>142264.08000000002</v>
      </c>
      <c r="AE93" s="157">
        <f>AE94+AE100+AE104</f>
        <v>0</v>
      </c>
      <c r="AF93" s="157">
        <f t="shared" ref="AF93:AH93" si="843">AF94+AF100+AF104</f>
        <v>222163.8</v>
      </c>
      <c r="AG93" s="157">
        <f t="shared" si="843"/>
        <v>0</v>
      </c>
      <c r="AH93" s="157">
        <f t="shared" si="843"/>
        <v>222163.8</v>
      </c>
      <c r="AI93" s="157">
        <f>AI94+AI100+AI104</f>
        <v>0</v>
      </c>
      <c r="AJ93" s="157">
        <f t="shared" ref="AJ93:AL93" si="844">AJ94+AJ100+AJ104</f>
        <v>137239.19</v>
      </c>
      <c r="AK93" s="157">
        <f t="shared" si="844"/>
        <v>0</v>
      </c>
      <c r="AL93" s="157">
        <f t="shared" si="844"/>
        <v>137239.19</v>
      </c>
      <c r="AM93" s="157">
        <f>AM94+AM100+AM104</f>
        <v>0</v>
      </c>
      <c r="AN93" s="157">
        <f t="shared" ref="AN93:AP93" si="845">AN94+AN100+AN104</f>
        <v>526438.55000000005</v>
      </c>
      <c r="AO93" s="157">
        <f t="shared" si="845"/>
        <v>0</v>
      </c>
      <c r="AP93" s="157">
        <f t="shared" si="845"/>
        <v>526438.55000000005</v>
      </c>
      <c r="AQ93" s="157">
        <f t="shared" si="833"/>
        <v>0</v>
      </c>
      <c r="AR93" s="157">
        <f t="shared" si="833"/>
        <v>1028105.6199999999</v>
      </c>
      <c r="AS93" s="157">
        <f t="shared" si="833"/>
        <v>0</v>
      </c>
      <c r="AT93" s="100">
        <f t="shared" si="833"/>
        <v>1028105.6199999999</v>
      </c>
      <c r="AU93" s="157">
        <f t="shared" si="833"/>
        <v>0</v>
      </c>
      <c r="AV93" s="157">
        <f t="shared" si="833"/>
        <v>142264.08000000002</v>
      </c>
      <c r="AW93" s="157">
        <f t="shared" si="833"/>
        <v>0</v>
      </c>
      <c r="AX93" s="157">
        <f t="shared" si="833"/>
        <v>142264.08000000002</v>
      </c>
      <c r="AY93" s="157">
        <f>AY94+AY100+AY104</f>
        <v>0</v>
      </c>
      <c r="AZ93" s="157">
        <f t="shared" ref="AZ93" si="846">AZ94+AZ100+AZ104</f>
        <v>222163.8</v>
      </c>
      <c r="BA93" s="157">
        <f t="shared" ref="BA93" si="847">BA94+BA100+BA104</f>
        <v>0</v>
      </c>
      <c r="BB93" s="157">
        <f t="shared" ref="BB93" si="848">BB94+BB100+BB104</f>
        <v>222163.8</v>
      </c>
      <c r="BC93" s="157">
        <f>BC94+BC100+BC104</f>
        <v>0</v>
      </c>
      <c r="BD93" s="157">
        <f t="shared" ref="BD93" si="849">BD94+BD100+BD104</f>
        <v>137239.19</v>
      </c>
      <c r="BE93" s="157">
        <f t="shared" ref="BE93" si="850">BE94+BE100+BE104</f>
        <v>0</v>
      </c>
      <c r="BF93" s="157">
        <f t="shared" ref="BF93" si="851">BF94+BF100+BF104</f>
        <v>137239.19</v>
      </c>
      <c r="BG93" s="157">
        <f>BG94+BG100+BG104</f>
        <v>0</v>
      </c>
      <c r="BH93" s="157">
        <f t="shared" ref="BH93" si="852">BH94+BH100+BH104</f>
        <v>484438.55000000005</v>
      </c>
      <c r="BI93" s="157">
        <f t="shared" ref="BI93" si="853">BI94+BI100+BI104</f>
        <v>0</v>
      </c>
      <c r="BJ93" s="157">
        <f t="shared" ref="BJ93" si="854">BJ94+BJ100+BJ104</f>
        <v>484438.55000000005</v>
      </c>
      <c r="BK93" s="157">
        <f t="shared" si="833"/>
        <v>0</v>
      </c>
      <c r="BL93" s="157">
        <f t="shared" si="833"/>
        <v>986105.61999999988</v>
      </c>
      <c r="BM93" s="157">
        <f t="shared" si="833"/>
        <v>0</v>
      </c>
      <c r="BN93" s="157">
        <f t="shared" si="833"/>
        <v>986105.61999999988</v>
      </c>
      <c r="BO93" s="173">
        <f t="shared" si="833"/>
        <v>0</v>
      </c>
      <c r="BP93" s="157">
        <f t="shared" si="833"/>
        <v>0</v>
      </c>
      <c r="BQ93" s="157">
        <f t="shared" si="833"/>
        <v>471894.38</v>
      </c>
      <c r="BR93" s="157">
        <f t="shared" si="833"/>
        <v>0</v>
      </c>
      <c r="BS93" s="100">
        <f t="shared" si="833"/>
        <v>471894.38</v>
      </c>
      <c r="BT93" s="157">
        <f>BT94+BT100+BT104</f>
        <v>0</v>
      </c>
      <c r="BU93" s="157">
        <f t="shared" ref="BU93" si="855">BU94+BU100+BU104</f>
        <v>0</v>
      </c>
      <c r="BV93" s="157">
        <f t="shared" ref="BV93" si="856">BV94+BV100+BV104</f>
        <v>0</v>
      </c>
      <c r="BW93" s="157">
        <f t="shared" ref="BW93" si="857">BW94+BW100+BW104</f>
        <v>0</v>
      </c>
      <c r="BX93" s="157">
        <f t="shared" ref="BX93:CA93" si="858">BX94+BX100+BX104</f>
        <v>0</v>
      </c>
      <c r="BY93" s="157">
        <f t="shared" si="858"/>
        <v>42000</v>
      </c>
      <c r="BZ93" s="157">
        <f t="shared" si="858"/>
        <v>0</v>
      </c>
      <c r="CA93" s="134">
        <f t="shared" si="858"/>
        <v>42000</v>
      </c>
    </row>
    <row r="94" spans="1:91" ht="14.1" customHeight="1" x14ac:dyDescent="0.2">
      <c r="A94" s="133" t="s">
        <v>586</v>
      </c>
      <c r="B94" s="78"/>
      <c r="C94" s="81" t="s">
        <v>146</v>
      </c>
      <c r="D94" s="69" t="s">
        <v>213</v>
      </c>
      <c r="E94" s="567"/>
      <c r="F94" s="90"/>
      <c r="G94" s="158">
        <f>G95</f>
        <v>0</v>
      </c>
      <c r="H94" s="158">
        <f t="shared" ref="H94:I94" si="859">H95</f>
        <v>375000</v>
      </c>
      <c r="I94" s="158">
        <f t="shared" si="859"/>
        <v>0</v>
      </c>
      <c r="J94" s="158">
        <f t="shared" ref="J94:BS94" si="860">J95</f>
        <v>375000</v>
      </c>
      <c r="K94" s="158">
        <f>K95</f>
        <v>0</v>
      </c>
      <c r="L94" s="158">
        <f t="shared" ref="L94" si="861">L95</f>
        <v>0</v>
      </c>
      <c r="M94" s="158">
        <f t="shared" ref="M94" si="862">M95</f>
        <v>0</v>
      </c>
      <c r="N94" s="158">
        <f t="shared" ref="N94" si="863">N95</f>
        <v>0</v>
      </c>
      <c r="O94" s="158">
        <f>O95</f>
        <v>0</v>
      </c>
      <c r="P94" s="158">
        <f t="shared" ref="P94" si="864">P95</f>
        <v>0</v>
      </c>
      <c r="Q94" s="158">
        <f t="shared" ref="Q94" si="865">Q95</f>
        <v>0</v>
      </c>
      <c r="R94" s="158">
        <f t="shared" ref="R94" si="866">R95</f>
        <v>0</v>
      </c>
      <c r="S94" s="158">
        <f>S95</f>
        <v>0</v>
      </c>
      <c r="T94" s="158">
        <f t="shared" ref="T94" si="867">T95</f>
        <v>0</v>
      </c>
      <c r="U94" s="158">
        <f t="shared" ref="U94" si="868">U95</f>
        <v>0</v>
      </c>
      <c r="V94" s="158">
        <f t="shared" ref="V94" si="869">V95</f>
        <v>0</v>
      </c>
      <c r="W94" s="158">
        <f t="shared" si="860"/>
        <v>0</v>
      </c>
      <c r="X94" s="158">
        <f t="shared" si="860"/>
        <v>375000</v>
      </c>
      <c r="Y94" s="158">
        <f t="shared" si="860"/>
        <v>0</v>
      </c>
      <c r="Z94" s="96">
        <f t="shared" si="860"/>
        <v>375000</v>
      </c>
      <c r="AA94" s="158">
        <f t="shared" si="860"/>
        <v>0</v>
      </c>
      <c r="AB94" s="158">
        <f t="shared" si="860"/>
        <v>37165.32</v>
      </c>
      <c r="AC94" s="158">
        <f t="shared" si="860"/>
        <v>0</v>
      </c>
      <c r="AD94" s="158">
        <f t="shared" si="860"/>
        <v>37165.32</v>
      </c>
      <c r="AE94" s="158">
        <f>AE95</f>
        <v>0</v>
      </c>
      <c r="AF94" s="158">
        <f t="shared" ref="AF94:AH94" si="870">AF95</f>
        <v>30311.99</v>
      </c>
      <c r="AG94" s="158">
        <f t="shared" si="870"/>
        <v>0</v>
      </c>
      <c r="AH94" s="158">
        <f t="shared" si="870"/>
        <v>30311.99</v>
      </c>
      <c r="AI94" s="158">
        <f>AI95</f>
        <v>0</v>
      </c>
      <c r="AJ94" s="158">
        <f t="shared" ref="AJ94:AL94" si="871">AJ95</f>
        <v>78091.13</v>
      </c>
      <c r="AK94" s="158">
        <f t="shared" si="871"/>
        <v>0</v>
      </c>
      <c r="AL94" s="158">
        <f t="shared" si="871"/>
        <v>78091.13</v>
      </c>
      <c r="AM94" s="158">
        <f>AM95</f>
        <v>0</v>
      </c>
      <c r="AN94" s="158">
        <f t="shared" ref="AN94:AP94" si="872">AN95</f>
        <v>122322.51</v>
      </c>
      <c r="AO94" s="158">
        <f t="shared" si="872"/>
        <v>0</v>
      </c>
      <c r="AP94" s="158">
        <f t="shared" si="872"/>
        <v>122322.51</v>
      </c>
      <c r="AQ94" s="158">
        <f t="shared" si="860"/>
        <v>0</v>
      </c>
      <c r="AR94" s="158">
        <f t="shared" si="860"/>
        <v>267890.95</v>
      </c>
      <c r="AS94" s="158">
        <f t="shared" si="860"/>
        <v>0</v>
      </c>
      <c r="AT94" s="96">
        <f t="shared" si="860"/>
        <v>267890.95</v>
      </c>
      <c r="AU94" s="158">
        <f t="shared" si="860"/>
        <v>0</v>
      </c>
      <c r="AV94" s="158">
        <f t="shared" si="860"/>
        <v>37165.32</v>
      </c>
      <c r="AW94" s="158">
        <f t="shared" si="860"/>
        <v>0</v>
      </c>
      <c r="AX94" s="158">
        <f t="shared" si="860"/>
        <v>37165.32</v>
      </c>
      <c r="AY94" s="158">
        <f>AY95</f>
        <v>0</v>
      </c>
      <c r="AZ94" s="158">
        <f t="shared" ref="AZ94" si="873">AZ95</f>
        <v>30311.99</v>
      </c>
      <c r="BA94" s="158">
        <f t="shared" ref="BA94" si="874">BA95</f>
        <v>0</v>
      </c>
      <c r="BB94" s="158">
        <f t="shared" ref="BB94" si="875">BB95</f>
        <v>30311.99</v>
      </c>
      <c r="BC94" s="158">
        <f>BC95</f>
        <v>0</v>
      </c>
      <c r="BD94" s="158">
        <f t="shared" ref="BD94" si="876">BD95</f>
        <v>78091.13</v>
      </c>
      <c r="BE94" s="158">
        <f t="shared" ref="BE94" si="877">BE95</f>
        <v>0</v>
      </c>
      <c r="BF94" s="158">
        <f t="shared" ref="BF94" si="878">BF95</f>
        <v>78091.13</v>
      </c>
      <c r="BG94" s="158">
        <f>BG95</f>
        <v>0</v>
      </c>
      <c r="BH94" s="158">
        <f t="shared" ref="BH94" si="879">BH95</f>
        <v>111822.51</v>
      </c>
      <c r="BI94" s="158">
        <f t="shared" ref="BI94" si="880">BI95</f>
        <v>0</v>
      </c>
      <c r="BJ94" s="158">
        <f t="shared" ref="BJ94" si="881">BJ95</f>
        <v>111822.51</v>
      </c>
      <c r="BK94" s="158">
        <f t="shared" si="860"/>
        <v>0</v>
      </c>
      <c r="BL94" s="158">
        <f t="shared" si="860"/>
        <v>257390.95</v>
      </c>
      <c r="BM94" s="158">
        <f t="shared" si="860"/>
        <v>0</v>
      </c>
      <c r="BN94" s="158">
        <f t="shared" si="860"/>
        <v>257390.95</v>
      </c>
      <c r="BO94" s="174">
        <f t="shared" si="860"/>
        <v>0</v>
      </c>
      <c r="BP94" s="158">
        <f t="shared" si="860"/>
        <v>0</v>
      </c>
      <c r="BQ94" s="158">
        <f t="shared" si="860"/>
        <v>107109.05</v>
      </c>
      <c r="BR94" s="158">
        <f t="shared" si="860"/>
        <v>0</v>
      </c>
      <c r="BS94" s="96">
        <f t="shared" si="860"/>
        <v>107109.05</v>
      </c>
      <c r="BT94" s="158">
        <f>BT95</f>
        <v>0</v>
      </c>
      <c r="BU94" s="158">
        <f t="shared" ref="BU94" si="882">BU95</f>
        <v>0</v>
      </c>
      <c r="BV94" s="158">
        <f t="shared" ref="BV94" si="883">BV95</f>
        <v>0</v>
      </c>
      <c r="BW94" s="158">
        <f t="shared" ref="BW94" si="884">BW95</f>
        <v>0</v>
      </c>
      <c r="BX94" s="158">
        <f t="shared" ref="BX94:CA94" si="885">BX95</f>
        <v>0</v>
      </c>
      <c r="BY94" s="158">
        <f t="shared" si="885"/>
        <v>10500</v>
      </c>
      <c r="BZ94" s="158">
        <f t="shared" si="885"/>
        <v>0</v>
      </c>
      <c r="CA94" s="135">
        <f t="shared" si="885"/>
        <v>10500</v>
      </c>
    </row>
    <row r="95" spans="1:91" ht="14.1" customHeight="1" x14ac:dyDescent="0.2">
      <c r="A95" s="136" t="s">
        <v>587</v>
      </c>
      <c r="B95" s="62"/>
      <c r="C95" s="63">
        <v>1</v>
      </c>
      <c r="D95" s="64" t="s">
        <v>588</v>
      </c>
      <c r="E95" s="65"/>
      <c r="G95" s="154">
        <f>SUM(G96:G99)</f>
        <v>0</v>
      </c>
      <c r="H95" s="154">
        <f t="shared" ref="H95:I95" si="886">SUM(H96:H99)</f>
        <v>375000</v>
      </c>
      <c r="I95" s="154">
        <f t="shared" si="886"/>
        <v>0</v>
      </c>
      <c r="J95" s="154">
        <f t="shared" ref="J95:BS95" si="887">SUM(J96:J99)</f>
        <v>375000</v>
      </c>
      <c r="K95" s="154">
        <f>SUM(K96:K99)</f>
        <v>0</v>
      </c>
      <c r="L95" s="154">
        <f t="shared" ref="L95" si="888">SUM(L96:L99)</f>
        <v>0</v>
      </c>
      <c r="M95" s="154">
        <f t="shared" ref="M95" si="889">SUM(M96:M99)</f>
        <v>0</v>
      </c>
      <c r="N95" s="154">
        <f t="shared" ref="N95" si="890">SUM(N96:N99)</f>
        <v>0</v>
      </c>
      <c r="O95" s="154">
        <f>SUM(O96:O99)</f>
        <v>0</v>
      </c>
      <c r="P95" s="154">
        <f t="shared" ref="P95" si="891">SUM(P96:P99)</f>
        <v>0</v>
      </c>
      <c r="Q95" s="154">
        <f t="shared" ref="Q95" si="892">SUM(Q96:Q99)</f>
        <v>0</v>
      </c>
      <c r="R95" s="154">
        <f t="shared" ref="R95" si="893">SUM(R96:R99)</f>
        <v>0</v>
      </c>
      <c r="S95" s="154">
        <f>SUM(S96:S99)</f>
        <v>0</v>
      </c>
      <c r="T95" s="154">
        <f t="shared" ref="T95" si="894">SUM(T96:T99)</f>
        <v>0</v>
      </c>
      <c r="U95" s="154">
        <f t="shared" ref="U95" si="895">SUM(U96:U99)</f>
        <v>0</v>
      </c>
      <c r="V95" s="154">
        <f t="shared" ref="V95" si="896">SUM(V96:V99)</f>
        <v>0</v>
      </c>
      <c r="W95" s="154">
        <f t="shared" si="887"/>
        <v>0</v>
      </c>
      <c r="X95" s="154">
        <f t="shared" si="887"/>
        <v>375000</v>
      </c>
      <c r="Y95" s="154">
        <f t="shared" si="887"/>
        <v>0</v>
      </c>
      <c r="Z95" s="84">
        <f t="shared" si="887"/>
        <v>375000</v>
      </c>
      <c r="AA95" s="154">
        <f t="shared" si="887"/>
        <v>0</v>
      </c>
      <c r="AB95" s="154">
        <f t="shared" si="887"/>
        <v>37165.32</v>
      </c>
      <c r="AC95" s="154">
        <f t="shared" si="887"/>
        <v>0</v>
      </c>
      <c r="AD95" s="154">
        <f t="shared" si="887"/>
        <v>37165.32</v>
      </c>
      <c r="AE95" s="154">
        <f>SUM(AE96:AE99)</f>
        <v>0</v>
      </c>
      <c r="AF95" s="154">
        <f t="shared" ref="AF95:AH95" si="897">SUM(AF96:AF99)</f>
        <v>30311.99</v>
      </c>
      <c r="AG95" s="154">
        <f t="shared" si="897"/>
        <v>0</v>
      </c>
      <c r="AH95" s="154">
        <f t="shared" si="897"/>
        <v>30311.99</v>
      </c>
      <c r="AI95" s="154">
        <f>SUM(AI96:AI99)</f>
        <v>0</v>
      </c>
      <c r="AJ95" s="154">
        <f t="shared" ref="AJ95:AL95" si="898">SUM(AJ96:AJ99)</f>
        <v>78091.13</v>
      </c>
      <c r="AK95" s="154">
        <f t="shared" si="898"/>
        <v>0</v>
      </c>
      <c r="AL95" s="154">
        <f t="shared" si="898"/>
        <v>78091.13</v>
      </c>
      <c r="AM95" s="154">
        <f>SUM(AM96:AM99)</f>
        <v>0</v>
      </c>
      <c r="AN95" s="154">
        <f t="shared" ref="AN95:AX95" si="899">SUM(AN96:AN99)</f>
        <v>122322.51</v>
      </c>
      <c r="AO95" s="154">
        <f t="shared" si="899"/>
        <v>0</v>
      </c>
      <c r="AP95" s="154">
        <f t="shared" si="899"/>
        <v>122322.51</v>
      </c>
      <c r="AQ95" s="154">
        <f t="shared" si="899"/>
        <v>0</v>
      </c>
      <c r="AR95" s="154">
        <f t="shared" si="899"/>
        <v>267890.95</v>
      </c>
      <c r="AS95" s="154">
        <f t="shared" si="899"/>
        <v>0</v>
      </c>
      <c r="AT95" s="84">
        <f t="shared" si="899"/>
        <v>267890.95</v>
      </c>
      <c r="AU95" s="154">
        <f t="shared" si="899"/>
        <v>0</v>
      </c>
      <c r="AV95" s="154">
        <f t="shared" si="899"/>
        <v>37165.32</v>
      </c>
      <c r="AW95" s="154">
        <f t="shared" si="899"/>
        <v>0</v>
      </c>
      <c r="AX95" s="154">
        <f t="shared" si="899"/>
        <v>37165.32</v>
      </c>
      <c r="AY95" s="154">
        <f>SUM(AY96:AY99)</f>
        <v>0</v>
      </c>
      <c r="AZ95" s="154">
        <f t="shared" ref="AZ95" si="900">SUM(AZ96:AZ99)</f>
        <v>30311.99</v>
      </c>
      <c r="BA95" s="154">
        <f t="shared" ref="BA95" si="901">SUM(BA96:BA99)</f>
        <v>0</v>
      </c>
      <c r="BB95" s="154">
        <f t="shared" ref="BB95" si="902">SUM(BB96:BB99)</f>
        <v>30311.99</v>
      </c>
      <c r="BC95" s="154">
        <f>SUM(BC96:BC99)</f>
        <v>0</v>
      </c>
      <c r="BD95" s="154">
        <f t="shared" ref="BD95" si="903">SUM(BD96:BD99)</f>
        <v>78091.13</v>
      </c>
      <c r="BE95" s="154">
        <f t="shared" ref="BE95" si="904">SUM(BE96:BE99)</f>
        <v>0</v>
      </c>
      <c r="BF95" s="154">
        <f t="shared" ref="BF95" si="905">SUM(BF96:BF99)</f>
        <v>78091.13</v>
      </c>
      <c r="BG95" s="154">
        <f>SUM(BG96:BG99)</f>
        <v>0</v>
      </c>
      <c r="BH95" s="154">
        <f t="shared" ref="BH95" si="906">SUM(BH96:BH99)</f>
        <v>111822.51</v>
      </c>
      <c r="BI95" s="154">
        <f t="shared" ref="BI95" si="907">SUM(BI96:BI99)</f>
        <v>0</v>
      </c>
      <c r="BJ95" s="154">
        <f t="shared" ref="BJ95" si="908">SUM(BJ96:BJ99)</f>
        <v>111822.51</v>
      </c>
      <c r="BK95" s="154">
        <f t="shared" si="887"/>
        <v>0</v>
      </c>
      <c r="BL95" s="154">
        <f t="shared" si="887"/>
        <v>257390.95</v>
      </c>
      <c r="BM95" s="154">
        <f t="shared" si="887"/>
        <v>0</v>
      </c>
      <c r="BN95" s="154">
        <f t="shared" si="887"/>
        <v>257390.95</v>
      </c>
      <c r="BO95" s="170">
        <f t="shared" si="887"/>
        <v>0</v>
      </c>
      <c r="BP95" s="154">
        <f t="shared" si="887"/>
        <v>0</v>
      </c>
      <c r="BQ95" s="154">
        <f t="shared" si="887"/>
        <v>107109.05</v>
      </c>
      <c r="BR95" s="154">
        <f t="shared" si="887"/>
        <v>0</v>
      </c>
      <c r="BS95" s="84">
        <f t="shared" si="887"/>
        <v>107109.05</v>
      </c>
      <c r="BT95" s="154">
        <f>SUM(BT96:BT99)</f>
        <v>0</v>
      </c>
      <c r="BU95" s="154">
        <f t="shared" ref="BU95" si="909">SUM(BU96:BU99)</f>
        <v>0</v>
      </c>
      <c r="BV95" s="154">
        <f t="shared" ref="BV95" si="910">SUM(BV96:BV99)</f>
        <v>0</v>
      </c>
      <c r="BW95" s="154">
        <f t="shared" ref="BW95" si="911">SUM(BW96:BW99)</f>
        <v>0</v>
      </c>
      <c r="BX95" s="154">
        <f t="shared" ref="BX95:CA95" si="912">SUM(BX96:BX99)</f>
        <v>0</v>
      </c>
      <c r="BY95" s="154">
        <f t="shared" si="912"/>
        <v>10500</v>
      </c>
      <c r="BZ95" s="154">
        <f t="shared" si="912"/>
        <v>0</v>
      </c>
      <c r="CA95" s="126">
        <f t="shared" si="912"/>
        <v>10500</v>
      </c>
    </row>
    <row r="96" spans="1:91" s="90" customFormat="1" ht="14.1" customHeight="1" x14ac:dyDescent="0.2">
      <c r="A96" s="127" t="s">
        <v>589</v>
      </c>
      <c r="B96" s="568"/>
      <c r="C96" s="78"/>
      <c r="D96" s="69" t="s">
        <v>126</v>
      </c>
      <c r="E96" s="75" t="s">
        <v>590</v>
      </c>
      <c r="G96" s="159"/>
      <c r="H96" s="159">
        <v>125000</v>
      </c>
      <c r="I96" s="159"/>
      <c r="J96" s="159">
        <f t="shared" si="691"/>
        <v>125000</v>
      </c>
      <c r="K96" s="159"/>
      <c r="L96" s="159"/>
      <c r="M96" s="159"/>
      <c r="N96" s="159">
        <f t="shared" ref="N96:N99" si="913">SUM(K96:M96)</f>
        <v>0</v>
      </c>
      <c r="O96" s="159"/>
      <c r="P96" s="159"/>
      <c r="Q96" s="159"/>
      <c r="R96" s="159">
        <f t="shared" ref="R96:R99" si="914">SUM(O96:Q96)</f>
        <v>0</v>
      </c>
      <c r="S96" s="159"/>
      <c r="T96" s="159"/>
      <c r="U96" s="159"/>
      <c r="V96" s="159">
        <f t="shared" ref="V96:V99" si="915">SUM(S96:U96)</f>
        <v>0</v>
      </c>
      <c r="W96" s="159">
        <f>G96-O96+S96+K96</f>
        <v>0</v>
      </c>
      <c r="X96" s="159">
        <f t="shared" ref="X96:Y99" si="916">H96-P96+T96+L96</f>
        <v>125000</v>
      </c>
      <c r="Y96" s="159">
        <f t="shared" si="916"/>
        <v>0</v>
      </c>
      <c r="Z96" s="588">
        <f>SUM(W96:Y96)</f>
        <v>125000</v>
      </c>
      <c r="AA96" s="159"/>
      <c r="AB96" s="159">
        <f>10000+1000+780+1569.35+10000+4173.63+3491.11+2292.54+3858.69</f>
        <v>37165.32</v>
      </c>
      <c r="AC96" s="159"/>
      <c r="AD96" s="159">
        <f t="shared" ref="AD96:AD99" si="917">SUM(AA96:AC96)</f>
        <v>37165.32</v>
      </c>
      <c r="AE96" s="159"/>
      <c r="AF96" s="159">
        <f>4744.68+2040</f>
        <v>6784.68</v>
      </c>
      <c r="AG96" s="159"/>
      <c r="AH96" s="159">
        <f t="shared" ref="AH96:AH99" si="918">SUM(AE96:AG96)</f>
        <v>6784.68</v>
      </c>
      <c r="AI96" s="159"/>
      <c r="AJ96" s="159">
        <f>1500+1000+152.95+26845.33</f>
        <v>29498.280000000002</v>
      </c>
      <c r="AK96" s="159"/>
      <c r="AL96" s="159">
        <f t="shared" ref="AL96:AL99" si="919">SUM(AI96:AK96)</f>
        <v>29498.280000000002</v>
      </c>
      <c r="AM96" s="159"/>
      <c r="AN96" s="159">
        <f>8030.67+4000+3500</f>
        <v>15530.67</v>
      </c>
      <c r="AO96" s="159"/>
      <c r="AP96" s="159">
        <f t="shared" ref="AP96:AP99" si="920">SUM(AM96:AO96)</f>
        <v>15530.67</v>
      </c>
      <c r="AQ96" s="159">
        <f t="shared" ref="AQ96:AS99" si="921">AA96+AE96+AI96+AM96</f>
        <v>0</v>
      </c>
      <c r="AR96" s="159">
        <f t="shared" si="921"/>
        <v>88978.95</v>
      </c>
      <c r="AS96" s="159">
        <f t="shared" si="921"/>
        <v>0</v>
      </c>
      <c r="AT96" s="588">
        <f>SUM(AQ96:AS96)</f>
        <v>88978.95</v>
      </c>
      <c r="AU96" s="159"/>
      <c r="AV96" s="159">
        <f>10000+1000+780+1569.35+10000+4173.63+3491.11+2292.54+3858.69</f>
        <v>37165.32</v>
      </c>
      <c r="AW96" s="159"/>
      <c r="AX96" s="159">
        <f t="shared" ref="AX96:AX99" si="922">SUM(AU96:AW96)</f>
        <v>37165.32</v>
      </c>
      <c r="AY96" s="159"/>
      <c r="AZ96" s="159">
        <f>4744.68+2040</f>
        <v>6784.68</v>
      </c>
      <c r="BA96" s="159"/>
      <c r="BB96" s="159">
        <f t="shared" ref="BB96:BB99" si="923">SUM(AY96:BA96)</f>
        <v>6784.68</v>
      </c>
      <c r="BC96" s="159"/>
      <c r="BD96" s="159">
        <f>1500+1000+152.95+26845.33</f>
        <v>29498.280000000002</v>
      </c>
      <c r="BE96" s="159"/>
      <c r="BF96" s="159">
        <f t="shared" ref="BF96:BF99" si="924">SUM(BC96:BE96)</f>
        <v>29498.280000000002</v>
      </c>
      <c r="BG96" s="159"/>
      <c r="BH96" s="159">
        <f>8030.67+4000</f>
        <v>12030.67</v>
      </c>
      <c r="BI96" s="159"/>
      <c r="BJ96" s="159">
        <f t="shared" ref="BJ96:BJ99" si="925">SUM(BG96:BI96)</f>
        <v>12030.67</v>
      </c>
      <c r="BK96" s="159">
        <f t="shared" ref="BK96:BM99" si="926">AU96+AY96+BC96+BG96</f>
        <v>0</v>
      </c>
      <c r="BL96" s="159">
        <f t="shared" si="926"/>
        <v>85478.95</v>
      </c>
      <c r="BM96" s="159">
        <f t="shared" si="926"/>
        <v>0</v>
      </c>
      <c r="BN96" s="159">
        <f>SUM(BK96:BM96)</f>
        <v>85478.95</v>
      </c>
      <c r="BO96" s="588"/>
      <c r="BP96" s="159">
        <f t="shared" ref="BP96:BR99" si="927">W96-AQ96</f>
        <v>0</v>
      </c>
      <c r="BQ96" s="159">
        <f t="shared" si="927"/>
        <v>36021.050000000003</v>
      </c>
      <c r="BR96" s="159">
        <f t="shared" si="927"/>
        <v>0</v>
      </c>
      <c r="BS96" s="588">
        <f>SUM(BP96:BR96)</f>
        <v>36021.050000000003</v>
      </c>
      <c r="BT96" s="159"/>
      <c r="BU96" s="159"/>
      <c r="BV96" s="159"/>
      <c r="BW96" s="159">
        <f t="shared" ref="BW96:BW99" si="928">SUM(BT96:BV96)</f>
        <v>0</v>
      </c>
      <c r="BX96" s="159">
        <f t="shared" si="687"/>
        <v>0</v>
      </c>
      <c r="BY96" s="159">
        <f t="shared" si="688"/>
        <v>3500</v>
      </c>
      <c r="BZ96" s="159">
        <f t="shared" si="689"/>
        <v>0</v>
      </c>
      <c r="CA96" s="583">
        <f t="shared" si="690"/>
        <v>3500</v>
      </c>
      <c r="CB96" s="91"/>
      <c r="CC96" s="91"/>
      <c r="CD96" s="91"/>
      <c r="CE96" s="91"/>
      <c r="CF96" s="91"/>
      <c r="CG96" s="91"/>
      <c r="CH96" s="91"/>
      <c r="CI96" s="91"/>
      <c r="CJ96" s="91"/>
      <c r="CK96" s="91"/>
      <c r="CL96" s="91"/>
      <c r="CM96" s="91"/>
    </row>
    <row r="97" spans="1:91" s="90" customFormat="1" ht="14.1" customHeight="1" x14ac:dyDescent="0.2">
      <c r="A97" s="127" t="s">
        <v>591</v>
      </c>
      <c r="B97" s="568"/>
      <c r="C97" s="81"/>
      <c r="D97" s="69" t="s">
        <v>131</v>
      </c>
      <c r="E97" s="75" t="s">
        <v>592</v>
      </c>
      <c r="G97" s="159"/>
      <c r="H97" s="159">
        <v>125000</v>
      </c>
      <c r="I97" s="159"/>
      <c r="J97" s="159">
        <f t="shared" si="691"/>
        <v>125000</v>
      </c>
      <c r="K97" s="159"/>
      <c r="L97" s="159"/>
      <c r="M97" s="159"/>
      <c r="N97" s="159">
        <f t="shared" si="913"/>
        <v>0</v>
      </c>
      <c r="O97" s="159"/>
      <c r="P97" s="159"/>
      <c r="Q97" s="159"/>
      <c r="R97" s="159">
        <f t="shared" si="914"/>
        <v>0</v>
      </c>
      <c r="S97" s="159"/>
      <c r="T97" s="159"/>
      <c r="U97" s="159"/>
      <c r="V97" s="159">
        <f t="shared" si="915"/>
        <v>0</v>
      </c>
      <c r="W97" s="159">
        <f>G97-O97+S97+K97</f>
        <v>0</v>
      </c>
      <c r="X97" s="159">
        <f t="shared" si="916"/>
        <v>125000</v>
      </c>
      <c r="Y97" s="159">
        <f t="shared" si="916"/>
        <v>0</v>
      </c>
      <c r="Z97" s="588">
        <f>SUM(W97:Y97)</f>
        <v>125000</v>
      </c>
      <c r="AA97" s="159"/>
      <c r="AB97" s="159"/>
      <c r="AC97" s="159"/>
      <c r="AD97" s="159">
        <f t="shared" si="917"/>
        <v>0</v>
      </c>
      <c r="AE97" s="159"/>
      <c r="AF97" s="159">
        <f>13423.54+483.87+520+4424.95+3974.95</f>
        <v>22827.31</v>
      </c>
      <c r="AG97" s="159"/>
      <c r="AH97" s="159">
        <f t="shared" si="918"/>
        <v>22827.31</v>
      </c>
      <c r="AI97" s="159"/>
      <c r="AJ97" s="159">
        <f>19777.36+115.33</f>
        <v>19892.690000000002</v>
      </c>
      <c r="AK97" s="159"/>
      <c r="AL97" s="159">
        <f t="shared" si="919"/>
        <v>19892.690000000002</v>
      </c>
      <c r="AM97" s="159"/>
      <c r="AN97" s="159">
        <f>34876+2000+3500+4400+3500</f>
        <v>48276</v>
      </c>
      <c r="AO97" s="159"/>
      <c r="AP97" s="159">
        <f t="shared" si="920"/>
        <v>48276</v>
      </c>
      <c r="AQ97" s="159">
        <f t="shared" si="921"/>
        <v>0</v>
      </c>
      <c r="AR97" s="159">
        <f t="shared" si="921"/>
        <v>90996</v>
      </c>
      <c r="AS97" s="159">
        <f t="shared" si="921"/>
        <v>0</v>
      </c>
      <c r="AT97" s="588">
        <f>SUM(AQ97:AS97)</f>
        <v>90996</v>
      </c>
      <c r="AU97" s="159"/>
      <c r="AV97" s="159"/>
      <c r="AW97" s="159"/>
      <c r="AX97" s="159">
        <f t="shared" si="922"/>
        <v>0</v>
      </c>
      <c r="AY97" s="159"/>
      <c r="AZ97" s="159">
        <f>12902.54+521+483.87+520+3903.95+3974.95+521</f>
        <v>22827.31</v>
      </c>
      <c r="BA97" s="159"/>
      <c r="BB97" s="159">
        <f t="shared" si="923"/>
        <v>22827.31</v>
      </c>
      <c r="BC97" s="159"/>
      <c r="BD97" s="159">
        <f>19777.36+115.33</f>
        <v>19892.690000000002</v>
      </c>
      <c r="BE97" s="159"/>
      <c r="BF97" s="159">
        <f t="shared" si="924"/>
        <v>19892.690000000002</v>
      </c>
      <c r="BG97" s="159"/>
      <c r="BH97" s="159">
        <f>34876+2000+3500+4400</f>
        <v>44776</v>
      </c>
      <c r="BI97" s="159"/>
      <c r="BJ97" s="159">
        <f t="shared" si="925"/>
        <v>44776</v>
      </c>
      <c r="BK97" s="159">
        <f t="shared" si="926"/>
        <v>0</v>
      </c>
      <c r="BL97" s="159">
        <f t="shared" si="926"/>
        <v>87496</v>
      </c>
      <c r="BM97" s="159">
        <f t="shared" si="926"/>
        <v>0</v>
      </c>
      <c r="BN97" s="159">
        <f>SUM(BK97:BM97)</f>
        <v>87496</v>
      </c>
      <c r="BO97" s="588"/>
      <c r="BP97" s="159">
        <f t="shared" si="927"/>
        <v>0</v>
      </c>
      <c r="BQ97" s="159">
        <f t="shared" si="927"/>
        <v>34004</v>
      </c>
      <c r="BR97" s="159">
        <f t="shared" si="927"/>
        <v>0</v>
      </c>
      <c r="BS97" s="588">
        <f>SUM(BP97:BR97)</f>
        <v>34004</v>
      </c>
      <c r="BT97" s="159"/>
      <c r="BU97" s="159"/>
      <c r="BV97" s="159"/>
      <c r="BW97" s="159">
        <f t="shared" si="928"/>
        <v>0</v>
      </c>
      <c r="BX97" s="159">
        <f t="shared" si="687"/>
        <v>0</v>
      </c>
      <c r="BY97" s="159">
        <f t="shared" si="688"/>
        <v>3500</v>
      </c>
      <c r="BZ97" s="159">
        <f t="shared" si="689"/>
        <v>0</v>
      </c>
      <c r="CA97" s="583">
        <f t="shared" si="690"/>
        <v>3500</v>
      </c>
      <c r="CB97" s="91"/>
      <c r="CC97" s="91"/>
      <c r="CD97" s="91"/>
      <c r="CE97" s="91"/>
      <c r="CF97" s="91"/>
      <c r="CG97" s="91"/>
      <c r="CH97" s="91"/>
      <c r="CI97" s="91"/>
      <c r="CJ97" s="91"/>
      <c r="CK97" s="91"/>
      <c r="CL97" s="91"/>
      <c r="CM97" s="91"/>
    </row>
    <row r="98" spans="1:91" s="90" customFormat="1" ht="14.1" customHeight="1" x14ac:dyDescent="0.2">
      <c r="A98" s="127" t="s">
        <v>593</v>
      </c>
      <c r="B98" s="568"/>
      <c r="C98" s="81"/>
      <c r="D98" s="69" t="s">
        <v>134</v>
      </c>
      <c r="E98" s="75" t="s">
        <v>594</v>
      </c>
      <c r="G98" s="159"/>
      <c r="H98" s="159"/>
      <c r="I98" s="159"/>
      <c r="J98" s="159">
        <f t="shared" si="691"/>
        <v>0</v>
      </c>
      <c r="K98" s="159"/>
      <c r="L98" s="159"/>
      <c r="M98" s="159"/>
      <c r="N98" s="159">
        <f t="shared" si="913"/>
        <v>0</v>
      </c>
      <c r="O98" s="159"/>
      <c r="P98" s="159"/>
      <c r="Q98" s="159"/>
      <c r="R98" s="159">
        <f t="shared" si="914"/>
        <v>0</v>
      </c>
      <c r="S98" s="159"/>
      <c r="T98" s="159"/>
      <c r="U98" s="159"/>
      <c r="V98" s="159">
        <f t="shared" si="915"/>
        <v>0</v>
      </c>
      <c r="W98" s="159">
        <f>G98-O98+S98+K98</f>
        <v>0</v>
      </c>
      <c r="X98" s="159">
        <f t="shared" si="916"/>
        <v>0</v>
      </c>
      <c r="Y98" s="159">
        <f t="shared" si="916"/>
        <v>0</v>
      </c>
      <c r="Z98" s="588">
        <f>SUM(W98:Y98)</f>
        <v>0</v>
      </c>
      <c r="AA98" s="159"/>
      <c r="AB98" s="159"/>
      <c r="AC98" s="159"/>
      <c r="AD98" s="159">
        <f t="shared" si="917"/>
        <v>0</v>
      </c>
      <c r="AE98" s="159"/>
      <c r="AF98" s="159"/>
      <c r="AG98" s="159"/>
      <c r="AH98" s="159">
        <f t="shared" si="918"/>
        <v>0</v>
      </c>
      <c r="AI98" s="159"/>
      <c r="AJ98" s="159"/>
      <c r="AK98" s="159"/>
      <c r="AL98" s="159">
        <f t="shared" si="919"/>
        <v>0</v>
      </c>
      <c r="AM98" s="159"/>
      <c r="AN98" s="159"/>
      <c r="AO98" s="159"/>
      <c r="AP98" s="159">
        <f t="shared" si="920"/>
        <v>0</v>
      </c>
      <c r="AQ98" s="159">
        <f t="shared" si="921"/>
        <v>0</v>
      </c>
      <c r="AR98" s="159">
        <f t="shared" si="921"/>
        <v>0</v>
      </c>
      <c r="AS98" s="159">
        <f t="shared" si="921"/>
        <v>0</v>
      </c>
      <c r="AT98" s="588">
        <f>SUM(AQ98:AS98)</f>
        <v>0</v>
      </c>
      <c r="AU98" s="159"/>
      <c r="AV98" s="159"/>
      <c r="AW98" s="159"/>
      <c r="AX98" s="159">
        <f t="shared" si="922"/>
        <v>0</v>
      </c>
      <c r="AY98" s="159"/>
      <c r="AZ98" s="159"/>
      <c r="BA98" s="159"/>
      <c r="BB98" s="159">
        <f t="shared" si="923"/>
        <v>0</v>
      </c>
      <c r="BC98" s="159"/>
      <c r="BD98" s="159"/>
      <c r="BE98" s="159"/>
      <c r="BF98" s="159">
        <f t="shared" si="924"/>
        <v>0</v>
      </c>
      <c r="BG98" s="159"/>
      <c r="BH98" s="159"/>
      <c r="BI98" s="159"/>
      <c r="BJ98" s="159">
        <f t="shared" si="925"/>
        <v>0</v>
      </c>
      <c r="BK98" s="159">
        <f t="shared" si="926"/>
        <v>0</v>
      </c>
      <c r="BL98" s="159">
        <f t="shared" si="926"/>
        <v>0</v>
      </c>
      <c r="BM98" s="159">
        <f t="shared" si="926"/>
        <v>0</v>
      </c>
      <c r="BN98" s="159">
        <f>SUM(BK98:BM98)</f>
        <v>0</v>
      </c>
      <c r="BO98" s="588"/>
      <c r="BP98" s="159">
        <f t="shared" si="927"/>
        <v>0</v>
      </c>
      <c r="BQ98" s="159">
        <f t="shared" si="927"/>
        <v>0</v>
      </c>
      <c r="BR98" s="159">
        <f t="shared" si="927"/>
        <v>0</v>
      </c>
      <c r="BS98" s="588">
        <f>SUM(BP98:BR98)</f>
        <v>0</v>
      </c>
      <c r="BT98" s="159"/>
      <c r="BU98" s="159"/>
      <c r="BV98" s="159"/>
      <c r="BW98" s="159">
        <f t="shared" si="928"/>
        <v>0</v>
      </c>
      <c r="BX98" s="159">
        <f t="shared" si="687"/>
        <v>0</v>
      </c>
      <c r="BY98" s="159">
        <f t="shared" si="688"/>
        <v>0</v>
      </c>
      <c r="BZ98" s="159">
        <f t="shared" si="689"/>
        <v>0</v>
      </c>
      <c r="CA98" s="583">
        <f t="shared" si="690"/>
        <v>0</v>
      </c>
      <c r="CB98" s="91"/>
      <c r="CC98" s="91"/>
      <c r="CD98" s="91"/>
      <c r="CE98" s="91"/>
      <c r="CF98" s="91"/>
      <c r="CG98" s="91"/>
      <c r="CH98" s="91"/>
      <c r="CI98" s="91"/>
      <c r="CJ98" s="91"/>
      <c r="CK98" s="91"/>
      <c r="CL98" s="91"/>
      <c r="CM98" s="91"/>
    </row>
    <row r="99" spans="1:91" s="90" customFormat="1" ht="14.1" customHeight="1" x14ac:dyDescent="0.2">
      <c r="A99" s="127" t="s">
        <v>595</v>
      </c>
      <c r="B99" s="568"/>
      <c r="C99" s="81"/>
      <c r="D99" s="69" t="s">
        <v>144</v>
      </c>
      <c r="E99" s="75" t="s">
        <v>596</v>
      </c>
      <c r="G99" s="159"/>
      <c r="H99" s="159">
        <v>125000</v>
      </c>
      <c r="I99" s="159"/>
      <c r="J99" s="159">
        <f t="shared" si="691"/>
        <v>125000</v>
      </c>
      <c r="K99" s="159"/>
      <c r="L99" s="159"/>
      <c r="M99" s="159"/>
      <c r="N99" s="159">
        <f t="shared" si="913"/>
        <v>0</v>
      </c>
      <c r="O99" s="159"/>
      <c r="P99" s="159"/>
      <c r="Q99" s="159"/>
      <c r="R99" s="159">
        <f t="shared" si="914"/>
        <v>0</v>
      </c>
      <c r="S99" s="159"/>
      <c r="T99" s="159"/>
      <c r="U99" s="159"/>
      <c r="V99" s="159">
        <f t="shared" si="915"/>
        <v>0</v>
      </c>
      <c r="W99" s="159">
        <f>G99-O99+S99+K99</f>
        <v>0</v>
      </c>
      <c r="X99" s="159">
        <f t="shared" si="916"/>
        <v>125000</v>
      </c>
      <c r="Y99" s="159">
        <f t="shared" si="916"/>
        <v>0</v>
      </c>
      <c r="Z99" s="588">
        <f>SUM(W99:Y99)</f>
        <v>125000</v>
      </c>
      <c r="AA99" s="159"/>
      <c r="AB99" s="159"/>
      <c r="AC99" s="159"/>
      <c r="AD99" s="159">
        <f t="shared" si="917"/>
        <v>0</v>
      </c>
      <c r="AE99" s="159"/>
      <c r="AF99" s="159">
        <v>700</v>
      </c>
      <c r="AG99" s="159"/>
      <c r="AH99" s="159">
        <f t="shared" si="918"/>
        <v>700</v>
      </c>
      <c r="AI99" s="159"/>
      <c r="AJ99" s="159">
        <f>15506.87+2738.29+4800+300+5355</f>
        <v>28700.16</v>
      </c>
      <c r="AK99" s="159"/>
      <c r="AL99" s="159">
        <f t="shared" si="919"/>
        <v>28700.16</v>
      </c>
      <c r="AM99" s="159"/>
      <c r="AN99" s="159">
        <f>47115.84+3500+4400+3500</f>
        <v>58515.839999999997</v>
      </c>
      <c r="AO99" s="159"/>
      <c r="AP99" s="159">
        <f t="shared" si="920"/>
        <v>58515.839999999997</v>
      </c>
      <c r="AQ99" s="159">
        <f t="shared" si="921"/>
        <v>0</v>
      </c>
      <c r="AR99" s="159">
        <f t="shared" si="921"/>
        <v>87916</v>
      </c>
      <c r="AS99" s="159">
        <f t="shared" si="921"/>
        <v>0</v>
      </c>
      <c r="AT99" s="588">
        <f>SUM(AQ99:AS99)</f>
        <v>87916</v>
      </c>
      <c r="AU99" s="159"/>
      <c r="AV99" s="159"/>
      <c r="AW99" s="159"/>
      <c r="AX99" s="159">
        <f t="shared" si="922"/>
        <v>0</v>
      </c>
      <c r="AY99" s="159"/>
      <c r="AZ99" s="159">
        <v>700</v>
      </c>
      <c r="BA99" s="159"/>
      <c r="BB99" s="159">
        <f t="shared" si="923"/>
        <v>700</v>
      </c>
      <c r="BC99" s="159"/>
      <c r="BD99" s="159">
        <f>15206.87+300+2738.29+4279+300+5355+521</f>
        <v>28700.16</v>
      </c>
      <c r="BE99" s="159"/>
      <c r="BF99" s="159">
        <f t="shared" si="924"/>
        <v>28700.16</v>
      </c>
      <c r="BG99" s="159"/>
      <c r="BH99" s="159">
        <f>47115.84+3500+4400</f>
        <v>55015.839999999997</v>
      </c>
      <c r="BI99" s="159"/>
      <c r="BJ99" s="159">
        <f t="shared" si="925"/>
        <v>55015.839999999997</v>
      </c>
      <c r="BK99" s="159">
        <f t="shared" si="926"/>
        <v>0</v>
      </c>
      <c r="BL99" s="159">
        <f t="shared" si="926"/>
        <v>84416</v>
      </c>
      <c r="BM99" s="159">
        <f t="shared" si="926"/>
        <v>0</v>
      </c>
      <c r="BN99" s="159">
        <f>SUM(BK99:BM99)</f>
        <v>84416</v>
      </c>
      <c r="BO99" s="588"/>
      <c r="BP99" s="159">
        <f t="shared" si="927"/>
        <v>0</v>
      </c>
      <c r="BQ99" s="159">
        <f t="shared" si="927"/>
        <v>37084</v>
      </c>
      <c r="BR99" s="159">
        <f t="shared" si="927"/>
        <v>0</v>
      </c>
      <c r="BS99" s="588">
        <f>SUM(BP99:BR99)</f>
        <v>37084</v>
      </c>
      <c r="BT99" s="159"/>
      <c r="BU99" s="159"/>
      <c r="BV99" s="159"/>
      <c r="BW99" s="159">
        <f t="shared" si="928"/>
        <v>0</v>
      </c>
      <c r="BX99" s="159">
        <f t="shared" si="687"/>
        <v>0</v>
      </c>
      <c r="BY99" s="159">
        <f t="shared" si="688"/>
        <v>3500</v>
      </c>
      <c r="BZ99" s="159">
        <f t="shared" si="689"/>
        <v>0</v>
      </c>
      <c r="CA99" s="583">
        <f t="shared" si="690"/>
        <v>3500</v>
      </c>
      <c r="CB99" s="91"/>
      <c r="CC99" s="91"/>
      <c r="CD99" s="91"/>
      <c r="CE99" s="91"/>
      <c r="CF99" s="91"/>
      <c r="CG99" s="91"/>
      <c r="CH99" s="91"/>
      <c r="CI99" s="91"/>
      <c r="CJ99" s="91"/>
      <c r="CK99" s="91"/>
      <c r="CL99" s="91"/>
      <c r="CM99" s="91"/>
    </row>
    <row r="100" spans="1:91" ht="14.1" customHeight="1" x14ac:dyDescent="0.2">
      <c r="A100" s="127" t="s">
        <v>597</v>
      </c>
      <c r="B100" s="568"/>
      <c r="C100" s="78">
        <v>2</v>
      </c>
      <c r="D100" s="69" t="s">
        <v>214</v>
      </c>
      <c r="E100" s="75"/>
      <c r="G100" s="153">
        <f>G101</f>
        <v>0</v>
      </c>
      <c r="H100" s="153">
        <f t="shared" ref="H100:I100" si="929">H101</f>
        <v>250000</v>
      </c>
      <c r="I100" s="153">
        <f t="shared" si="929"/>
        <v>0</v>
      </c>
      <c r="J100" s="153">
        <f t="shared" ref="J100:BS100" si="930">J101</f>
        <v>250000</v>
      </c>
      <c r="K100" s="153">
        <f>K101</f>
        <v>0</v>
      </c>
      <c r="L100" s="153">
        <f t="shared" ref="L100" si="931">L101</f>
        <v>0</v>
      </c>
      <c r="M100" s="153">
        <f t="shared" ref="M100" si="932">M101</f>
        <v>0</v>
      </c>
      <c r="N100" s="153">
        <f t="shared" ref="N100" si="933">N101</f>
        <v>0</v>
      </c>
      <c r="O100" s="153">
        <f>O101</f>
        <v>0</v>
      </c>
      <c r="P100" s="153">
        <f t="shared" ref="P100" si="934">P101</f>
        <v>0</v>
      </c>
      <c r="Q100" s="153">
        <f t="shared" ref="Q100" si="935">Q101</f>
        <v>0</v>
      </c>
      <c r="R100" s="153">
        <f t="shared" ref="R100" si="936">R101</f>
        <v>0</v>
      </c>
      <c r="S100" s="153">
        <f>S101</f>
        <v>0</v>
      </c>
      <c r="T100" s="153">
        <f t="shared" ref="T100" si="937">T101</f>
        <v>0</v>
      </c>
      <c r="U100" s="153">
        <f t="shared" ref="U100" si="938">U101</f>
        <v>0</v>
      </c>
      <c r="V100" s="153">
        <f t="shared" ref="V100" si="939">V101</f>
        <v>0</v>
      </c>
      <c r="W100" s="153">
        <f t="shared" si="930"/>
        <v>0</v>
      </c>
      <c r="X100" s="153">
        <f t="shared" si="930"/>
        <v>250000</v>
      </c>
      <c r="Y100" s="153">
        <f t="shared" si="930"/>
        <v>0</v>
      </c>
      <c r="Z100" s="85">
        <f t="shared" si="930"/>
        <v>250000</v>
      </c>
      <c r="AA100" s="153">
        <f t="shared" si="930"/>
        <v>0</v>
      </c>
      <c r="AB100" s="153">
        <f t="shared" si="930"/>
        <v>35757.29</v>
      </c>
      <c r="AC100" s="153">
        <f t="shared" si="930"/>
        <v>0</v>
      </c>
      <c r="AD100" s="153">
        <f t="shared" si="930"/>
        <v>35757.29</v>
      </c>
      <c r="AE100" s="153">
        <f>AE101</f>
        <v>0</v>
      </c>
      <c r="AF100" s="153">
        <f t="shared" ref="AF100:AH100" si="940">AF101</f>
        <v>35810</v>
      </c>
      <c r="AG100" s="153">
        <f t="shared" si="940"/>
        <v>0</v>
      </c>
      <c r="AH100" s="153">
        <f t="shared" si="940"/>
        <v>35810</v>
      </c>
      <c r="AI100" s="153">
        <f>AI101</f>
        <v>0</v>
      </c>
      <c r="AJ100" s="153">
        <f t="shared" ref="AJ100:AL100" si="941">AJ101</f>
        <v>7300</v>
      </c>
      <c r="AK100" s="153">
        <f t="shared" si="941"/>
        <v>0</v>
      </c>
      <c r="AL100" s="153">
        <f t="shared" si="941"/>
        <v>7300</v>
      </c>
      <c r="AM100" s="153">
        <f>AM101</f>
        <v>0</v>
      </c>
      <c r="AN100" s="153">
        <f t="shared" ref="AN100:AP100" si="942">AN101</f>
        <v>95257.7</v>
      </c>
      <c r="AO100" s="153">
        <f t="shared" si="942"/>
        <v>0</v>
      </c>
      <c r="AP100" s="153">
        <f t="shared" si="942"/>
        <v>95257.7</v>
      </c>
      <c r="AQ100" s="153">
        <f t="shared" si="930"/>
        <v>0</v>
      </c>
      <c r="AR100" s="153">
        <f t="shared" si="930"/>
        <v>174124.99</v>
      </c>
      <c r="AS100" s="153">
        <f t="shared" si="930"/>
        <v>0</v>
      </c>
      <c r="AT100" s="85">
        <f t="shared" si="930"/>
        <v>174124.99</v>
      </c>
      <c r="AU100" s="153">
        <f t="shared" si="930"/>
        <v>0</v>
      </c>
      <c r="AV100" s="153">
        <f t="shared" si="930"/>
        <v>35757.29</v>
      </c>
      <c r="AW100" s="153">
        <f t="shared" si="930"/>
        <v>0</v>
      </c>
      <c r="AX100" s="153">
        <f t="shared" si="930"/>
        <v>35757.29</v>
      </c>
      <c r="AY100" s="153">
        <f>AY101</f>
        <v>0</v>
      </c>
      <c r="AZ100" s="153">
        <f t="shared" ref="AZ100" si="943">AZ101</f>
        <v>35810</v>
      </c>
      <c r="BA100" s="153">
        <f t="shared" ref="BA100" si="944">BA101</f>
        <v>0</v>
      </c>
      <c r="BB100" s="153">
        <f t="shared" ref="BB100" si="945">BB101</f>
        <v>35810</v>
      </c>
      <c r="BC100" s="153">
        <f>BC101</f>
        <v>0</v>
      </c>
      <c r="BD100" s="153">
        <f t="shared" ref="BD100" si="946">BD101</f>
        <v>7300</v>
      </c>
      <c r="BE100" s="153">
        <f t="shared" ref="BE100" si="947">BE101</f>
        <v>0</v>
      </c>
      <c r="BF100" s="153">
        <f t="shared" ref="BF100" si="948">BF101</f>
        <v>7300</v>
      </c>
      <c r="BG100" s="153">
        <f>BG101</f>
        <v>0</v>
      </c>
      <c r="BH100" s="153">
        <f t="shared" ref="BH100" si="949">BH101</f>
        <v>88257.7</v>
      </c>
      <c r="BI100" s="153">
        <f t="shared" ref="BI100" si="950">BI101</f>
        <v>0</v>
      </c>
      <c r="BJ100" s="153">
        <f t="shared" ref="BJ100" si="951">BJ101</f>
        <v>88257.7</v>
      </c>
      <c r="BK100" s="153">
        <f t="shared" si="930"/>
        <v>0</v>
      </c>
      <c r="BL100" s="153">
        <f t="shared" si="930"/>
        <v>167124.99</v>
      </c>
      <c r="BM100" s="153">
        <f t="shared" si="930"/>
        <v>0</v>
      </c>
      <c r="BN100" s="153">
        <f t="shared" si="930"/>
        <v>167124.99</v>
      </c>
      <c r="BO100" s="169">
        <f t="shared" si="930"/>
        <v>0</v>
      </c>
      <c r="BP100" s="153">
        <f t="shared" si="930"/>
        <v>0</v>
      </c>
      <c r="BQ100" s="153">
        <f t="shared" si="930"/>
        <v>75875.010000000009</v>
      </c>
      <c r="BR100" s="153">
        <f t="shared" si="930"/>
        <v>0</v>
      </c>
      <c r="BS100" s="85">
        <f t="shared" si="930"/>
        <v>75875.010000000009</v>
      </c>
      <c r="BT100" s="153">
        <f>BT101</f>
        <v>0</v>
      </c>
      <c r="BU100" s="153">
        <f t="shared" ref="BU100" si="952">BU101</f>
        <v>0</v>
      </c>
      <c r="BV100" s="153">
        <f t="shared" ref="BV100" si="953">BV101</f>
        <v>0</v>
      </c>
      <c r="BW100" s="153">
        <f t="shared" ref="BW100" si="954">BW101</f>
        <v>0</v>
      </c>
      <c r="BX100" s="153">
        <f t="shared" ref="BX100:CA100" si="955">BX101</f>
        <v>0</v>
      </c>
      <c r="BY100" s="153">
        <f t="shared" si="955"/>
        <v>7000</v>
      </c>
      <c r="BZ100" s="153">
        <f t="shared" si="955"/>
        <v>0</v>
      </c>
      <c r="CA100" s="124">
        <f t="shared" si="955"/>
        <v>7000</v>
      </c>
    </row>
    <row r="101" spans="1:91" ht="14.1" customHeight="1" x14ac:dyDescent="0.2">
      <c r="A101" s="136" t="s">
        <v>598</v>
      </c>
      <c r="B101" s="62"/>
      <c r="C101" s="66">
        <v>1</v>
      </c>
      <c r="D101" s="64" t="s">
        <v>599</v>
      </c>
      <c r="E101" s="65"/>
      <c r="G101" s="154">
        <f>SUM(G102:G103)</f>
        <v>0</v>
      </c>
      <c r="H101" s="154">
        <f t="shared" ref="H101:I101" si="956">SUM(H102:H103)</f>
        <v>250000</v>
      </c>
      <c r="I101" s="154">
        <f t="shared" si="956"/>
        <v>0</v>
      </c>
      <c r="J101" s="154">
        <f t="shared" ref="J101:BS101" si="957">SUM(J102:J103)</f>
        <v>250000</v>
      </c>
      <c r="K101" s="154">
        <f>SUM(K102:K103)</f>
        <v>0</v>
      </c>
      <c r="L101" s="154">
        <f t="shared" ref="L101" si="958">SUM(L102:L103)</f>
        <v>0</v>
      </c>
      <c r="M101" s="154">
        <f t="shared" ref="M101" si="959">SUM(M102:M103)</f>
        <v>0</v>
      </c>
      <c r="N101" s="154">
        <f t="shared" ref="N101" si="960">SUM(N102:N103)</f>
        <v>0</v>
      </c>
      <c r="O101" s="154">
        <f>SUM(O102:O103)</f>
        <v>0</v>
      </c>
      <c r="P101" s="154">
        <f t="shared" ref="P101" si="961">SUM(P102:P103)</f>
        <v>0</v>
      </c>
      <c r="Q101" s="154">
        <f t="shared" ref="Q101" si="962">SUM(Q102:Q103)</f>
        <v>0</v>
      </c>
      <c r="R101" s="154">
        <f t="shared" ref="R101" si="963">SUM(R102:R103)</f>
        <v>0</v>
      </c>
      <c r="S101" s="154">
        <f>SUM(S102:S103)</f>
        <v>0</v>
      </c>
      <c r="T101" s="154">
        <f t="shared" ref="T101" si="964">SUM(T102:T103)</f>
        <v>0</v>
      </c>
      <c r="U101" s="154">
        <f t="shared" ref="U101" si="965">SUM(U102:U103)</f>
        <v>0</v>
      </c>
      <c r="V101" s="154">
        <f t="shared" ref="V101" si="966">SUM(V102:V103)</f>
        <v>0</v>
      </c>
      <c r="W101" s="154">
        <f t="shared" si="957"/>
        <v>0</v>
      </c>
      <c r="X101" s="154">
        <f t="shared" si="957"/>
        <v>250000</v>
      </c>
      <c r="Y101" s="154">
        <f t="shared" si="957"/>
        <v>0</v>
      </c>
      <c r="Z101" s="84">
        <f t="shared" si="957"/>
        <v>250000</v>
      </c>
      <c r="AA101" s="154">
        <f t="shared" si="957"/>
        <v>0</v>
      </c>
      <c r="AB101" s="154">
        <f t="shared" si="957"/>
        <v>35757.29</v>
      </c>
      <c r="AC101" s="154">
        <f t="shared" si="957"/>
        <v>0</v>
      </c>
      <c r="AD101" s="154">
        <f t="shared" si="957"/>
        <v>35757.29</v>
      </c>
      <c r="AE101" s="154">
        <f>SUM(AE102:AE103)</f>
        <v>0</v>
      </c>
      <c r="AF101" s="154">
        <f t="shared" ref="AF101:AH101" si="967">SUM(AF102:AF103)</f>
        <v>35810</v>
      </c>
      <c r="AG101" s="154">
        <f t="shared" si="967"/>
        <v>0</v>
      </c>
      <c r="AH101" s="154">
        <f t="shared" si="967"/>
        <v>35810</v>
      </c>
      <c r="AI101" s="154">
        <f>SUM(AI102:AI103)</f>
        <v>0</v>
      </c>
      <c r="AJ101" s="154">
        <f t="shared" ref="AJ101:AL101" si="968">SUM(AJ102:AJ103)</f>
        <v>7300</v>
      </c>
      <c r="AK101" s="154">
        <f t="shared" si="968"/>
        <v>0</v>
      </c>
      <c r="AL101" s="154">
        <f t="shared" si="968"/>
        <v>7300</v>
      </c>
      <c r="AM101" s="154">
        <f>SUM(AM102:AM103)</f>
        <v>0</v>
      </c>
      <c r="AN101" s="154">
        <f t="shared" ref="AN101:AP101" si="969">SUM(AN102:AN103)</f>
        <v>95257.7</v>
      </c>
      <c r="AO101" s="154">
        <f t="shared" si="969"/>
        <v>0</v>
      </c>
      <c r="AP101" s="154">
        <f t="shared" si="969"/>
        <v>95257.7</v>
      </c>
      <c r="AQ101" s="154">
        <f t="shared" si="957"/>
        <v>0</v>
      </c>
      <c r="AR101" s="154">
        <f t="shared" si="957"/>
        <v>174124.99</v>
      </c>
      <c r="AS101" s="154">
        <f t="shared" si="957"/>
        <v>0</v>
      </c>
      <c r="AT101" s="84">
        <f t="shared" si="957"/>
        <v>174124.99</v>
      </c>
      <c r="AU101" s="154">
        <f t="shared" si="957"/>
        <v>0</v>
      </c>
      <c r="AV101" s="154">
        <f t="shared" si="957"/>
        <v>35757.29</v>
      </c>
      <c r="AW101" s="154">
        <f t="shared" si="957"/>
        <v>0</v>
      </c>
      <c r="AX101" s="154">
        <f t="shared" si="957"/>
        <v>35757.29</v>
      </c>
      <c r="AY101" s="154">
        <f>SUM(AY102:AY103)</f>
        <v>0</v>
      </c>
      <c r="AZ101" s="154">
        <f t="shared" ref="AZ101" si="970">SUM(AZ102:AZ103)</f>
        <v>35810</v>
      </c>
      <c r="BA101" s="154">
        <f t="shared" ref="BA101" si="971">SUM(BA102:BA103)</f>
        <v>0</v>
      </c>
      <c r="BB101" s="154">
        <f t="shared" ref="BB101" si="972">SUM(BB102:BB103)</f>
        <v>35810</v>
      </c>
      <c r="BC101" s="154">
        <f>SUM(BC102:BC103)</f>
        <v>0</v>
      </c>
      <c r="BD101" s="154">
        <f t="shared" ref="BD101" si="973">SUM(BD102:BD103)</f>
        <v>7300</v>
      </c>
      <c r="BE101" s="154">
        <f t="shared" ref="BE101" si="974">SUM(BE102:BE103)</f>
        <v>0</v>
      </c>
      <c r="BF101" s="154">
        <f t="shared" ref="BF101" si="975">SUM(BF102:BF103)</f>
        <v>7300</v>
      </c>
      <c r="BG101" s="154">
        <f>SUM(BG102:BG103)</f>
        <v>0</v>
      </c>
      <c r="BH101" s="154">
        <f t="shared" ref="BH101" si="976">SUM(BH102:BH103)</f>
        <v>88257.7</v>
      </c>
      <c r="BI101" s="154">
        <f t="shared" ref="BI101" si="977">SUM(BI102:BI103)</f>
        <v>0</v>
      </c>
      <c r="BJ101" s="154">
        <f t="shared" ref="BJ101" si="978">SUM(BJ102:BJ103)</f>
        <v>88257.7</v>
      </c>
      <c r="BK101" s="154">
        <f t="shared" si="957"/>
        <v>0</v>
      </c>
      <c r="BL101" s="154">
        <f t="shared" si="957"/>
        <v>167124.99</v>
      </c>
      <c r="BM101" s="154">
        <f t="shared" si="957"/>
        <v>0</v>
      </c>
      <c r="BN101" s="154">
        <f t="shared" si="957"/>
        <v>167124.99</v>
      </c>
      <c r="BO101" s="170">
        <f t="shared" si="957"/>
        <v>0</v>
      </c>
      <c r="BP101" s="154">
        <f t="shared" si="957"/>
        <v>0</v>
      </c>
      <c r="BQ101" s="154">
        <f t="shared" si="957"/>
        <v>75875.010000000009</v>
      </c>
      <c r="BR101" s="154">
        <f t="shared" si="957"/>
        <v>0</v>
      </c>
      <c r="BS101" s="84">
        <f t="shared" si="957"/>
        <v>75875.010000000009</v>
      </c>
      <c r="BT101" s="154">
        <f>SUM(BT102:BT103)</f>
        <v>0</v>
      </c>
      <c r="BU101" s="154">
        <f t="shared" ref="BU101" si="979">SUM(BU102:BU103)</f>
        <v>0</v>
      </c>
      <c r="BV101" s="154">
        <f t="shared" ref="BV101" si="980">SUM(BV102:BV103)</f>
        <v>0</v>
      </c>
      <c r="BW101" s="154">
        <f t="shared" ref="BW101" si="981">SUM(BW102:BW103)</f>
        <v>0</v>
      </c>
      <c r="BX101" s="154">
        <f t="shared" ref="BX101:CA101" si="982">SUM(BX102:BX103)</f>
        <v>0</v>
      </c>
      <c r="BY101" s="154">
        <f t="shared" si="982"/>
        <v>7000</v>
      </c>
      <c r="BZ101" s="154">
        <f t="shared" si="982"/>
        <v>0</v>
      </c>
      <c r="CA101" s="126">
        <f t="shared" si="982"/>
        <v>7000</v>
      </c>
    </row>
    <row r="102" spans="1:91" s="90" customFormat="1" ht="14.1" customHeight="1" x14ac:dyDescent="0.2">
      <c r="A102" s="127" t="s">
        <v>600</v>
      </c>
      <c r="B102" s="568"/>
      <c r="C102" s="78"/>
      <c r="D102" s="69" t="s">
        <v>126</v>
      </c>
      <c r="E102" s="75" t="s">
        <v>215</v>
      </c>
      <c r="G102" s="159"/>
      <c r="H102" s="159">
        <v>250000</v>
      </c>
      <c r="I102" s="159"/>
      <c r="J102" s="159">
        <f t="shared" si="691"/>
        <v>250000</v>
      </c>
      <c r="K102" s="159"/>
      <c r="L102" s="159"/>
      <c r="M102" s="159"/>
      <c r="N102" s="159">
        <f t="shared" ref="N102:N103" si="983">SUM(K102:M102)</f>
        <v>0</v>
      </c>
      <c r="O102" s="159"/>
      <c r="P102" s="159"/>
      <c r="Q102" s="159"/>
      <c r="R102" s="159">
        <f t="shared" ref="R102:R103" si="984">SUM(O102:Q102)</f>
        <v>0</v>
      </c>
      <c r="S102" s="159"/>
      <c r="T102" s="159"/>
      <c r="U102" s="159"/>
      <c r="V102" s="159">
        <f t="shared" ref="V102:V103" si="985">SUM(S102:U102)</f>
        <v>0</v>
      </c>
      <c r="W102" s="159">
        <f>G102-O102+S102+K102</f>
        <v>0</v>
      </c>
      <c r="X102" s="159">
        <f t="shared" ref="X102:Y103" si="986">H102-P102+T102+L102</f>
        <v>250000</v>
      </c>
      <c r="Y102" s="159">
        <f t="shared" si="986"/>
        <v>0</v>
      </c>
      <c r="Z102" s="588">
        <f>SUM(W102:Y102)</f>
        <v>250000</v>
      </c>
      <c r="AA102" s="159"/>
      <c r="AB102" s="159">
        <f>400+15675+2100+1907.29+15675</f>
        <v>35757.29</v>
      </c>
      <c r="AC102" s="159"/>
      <c r="AD102" s="159">
        <f t="shared" ref="AD102:AD103" si="987">SUM(AA102:AC102)</f>
        <v>35757.29</v>
      </c>
      <c r="AE102" s="159"/>
      <c r="AF102" s="159">
        <v>35810</v>
      </c>
      <c r="AG102" s="159"/>
      <c r="AH102" s="159">
        <f t="shared" ref="AH102:AH103" si="988">SUM(AE102:AG102)</f>
        <v>35810</v>
      </c>
      <c r="AI102" s="159"/>
      <c r="AJ102" s="159">
        <f>6700+600</f>
        <v>7300</v>
      </c>
      <c r="AK102" s="159"/>
      <c r="AL102" s="159">
        <f t="shared" ref="AL102:AL103" si="989">SUM(AI102:AK102)</f>
        <v>7300</v>
      </c>
      <c r="AM102" s="159"/>
      <c r="AN102" s="159">
        <f>69810.94+2746.76+7000+8700+7000</f>
        <v>95257.7</v>
      </c>
      <c r="AO102" s="159"/>
      <c r="AP102" s="159">
        <f t="shared" ref="AP102:AP103" si="990">SUM(AM102:AO102)</f>
        <v>95257.7</v>
      </c>
      <c r="AQ102" s="159">
        <f t="shared" ref="AQ102:AS103" si="991">AA102+AE102+AI102+AM102</f>
        <v>0</v>
      </c>
      <c r="AR102" s="159">
        <f t="shared" si="991"/>
        <v>174124.99</v>
      </c>
      <c r="AS102" s="159">
        <f t="shared" si="991"/>
        <v>0</v>
      </c>
      <c r="AT102" s="588">
        <f>SUM(AQ102:AS102)</f>
        <v>174124.99</v>
      </c>
      <c r="AU102" s="159"/>
      <c r="AV102" s="159">
        <f>400+15675+2100+1907.29+15675</f>
        <v>35757.29</v>
      </c>
      <c r="AW102" s="159"/>
      <c r="AX102" s="159">
        <f t="shared" ref="AX102:AX103" si="992">SUM(AU102:AW102)</f>
        <v>35757.29</v>
      </c>
      <c r="AY102" s="159"/>
      <c r="AZ102" s="159">
        <v>35810</v>
      </c>
      <c r="BA102" s="159"/>
      <c r="BB102" s="159">
        <f t="shared" ref="BB102:BB103" si="993">SUM(AY102:BA102)</f>
        <v>35810</v>
      </c>
      <c r="BC102" s="159"/>
      <c r="BD102" s="159">
        <f>6700+600</f>
        <v>7300</v>
      </c>
      <c r="BE102" s="159"/>
      <c r="BF102" s="159">
        <f t="shared" ref="BF102:BF103" si="994">SUM(BC102:BE102)</f>
        <v>7300</v>
      </c>
      <c r="BG102" s="159"/>
      <c r="BH102" s="159">
        <f>69810.94+2746.76+7000+8700</f>
        <v>88257.7</v>
      </c>
      <c r="BI102" s="159"/>
      <c r="BJ102" s="159">
        <f t="shared" ref="BJ102:BJ103" si="995">SUM(BG102:BI102)</f>
        <v>88257.7</v>
      </c>
      <c r="BK102" s="159">
        <f t="shared" ref="BK102:BM103" si="996">AU102+AY102+BC102+BG102</f>
        <v>0</v>
      </c>
      <c r="BL102" s="159">
        <f t="shared" si="996"/>
        <v>167124.99</v>
      </c>
      <c r="BM102" s="159">
        <f t="shared" si="996"/>
        <v>0</v>
      </c>
      <c r="BN102" s="159">
        <f>SUM(BK102:BM102)</f>
        <v>167124.99</v>
      </c>
      <c r="BO102" s="588"/>
      <c r="BP102" s="159">
        <f t="shared" ref="BP102:BR103" si="997">W102-AQ102</f>
        <v>0</v>
      </c>
      <c r="BQ102" s="159">
        <f t="shared" si="997"/>
        <v>75875.010000000009</v>
      </c>
      <c r="BR102" s="159">
        <f t="shared" si="997"/>
        <v>0</v>
      </c>
      <c r="BS102" s="588">
        <f>SUM(BP102:BR102)</f>
        <v>75875.010000000009</v>
      </c>
      <c r="BT102" s="159"/>
      <c r="BU102" s="159"/>
      <c r="BV102" s="159"/>
      <c r="BW102" s="159">
        <f t="shared" ref="BW102:BW103" si="998">SUM(BT102:BV102)</f>
        <v>0</v>
      </c>
      <c r="BX102" s="159">
        <f t="shared" si="687"/>
        <v>0</v>
      </c>
      <c r="BY102" s="159">
        <f t="shared" si="688"/>
        <v>7000</v>
      </c>
      <c r="BZ102" s="159">
        <f t="shared" si="689"/>
        <v>0</v>
      </c>
      <c r="CA102" s="583">
        <f t="shared" si="690"/>
        <v>7000</v>
      </c>
      <c r="CB102" s="91"/>
      <c r="CC102" s="91"/>
      <c r="CD102" s="91"/>
      <c r="CE102" s="91"/>
      <c r="CF102" s="91"/>
      <c r="CG102" s="91"/>
      <c r="CH102" s="91"/>
      <c r="CI102" s="91"/>
      <c r="CJ102" s="91"/>
      <c r="CK102" s="91"/>
      <c r="CL102" s="91"/>
      <c r="CM102" s="91"/>
    </row>
    <row r="103" spans="1:91" s="90" customFormat="1" ht="14.1" customHeight="1" x14ac:dyDescent="0.2">
      <c r="A103" s="127" t="s">
        <v>601</v>
      </c>
      <c r="B103" s="568"/>
      <c r="C103" s="78"/>
      <c r="D103" s="69" t="s">
        <v>131</v>
      </c>
      <c r="E103" s="75" t="s">
        <v>602</v>
      </c>
      <c r="G103" s="159"/>
      <c r="H103" s="159"/>
      <c r="I103" s="159"/>
      <c r="J103" s="159">
        <f t="shared" si="691"/>
        <v>0</v>
      </c>
      <c r="K103" s="159"/>
      <c r="L103" s="159"/>
      <c r="M103" s="159"/>
      <c r="N103" s="159">
        <f t="shared" si="983"/>
        <v>0</v>
      </c>
      <c r="O103" s="159"/>
      <c r="P103" s="159"/>
      <c r="Q103" s="159"/>
      <c r="R103" s="159">
        <f t="shared" si="984"/>
        <v>0</v>
      </c>
      <c r="S103" s="159"/>
      <c r="T103" s="159"/>
      <c r="U103" s="159"/>
      <c r="V103" s="159">
        <f t="shared" si="985"/>
        <v>0</v>
      </c>
      <c r="W103" s="159">
        <f>G103-O103+S103+K103</f>
        <v>0</v>
      </c>
      <c r="X103" s="159">
        <f t="shared" si="986"/>
        <v>0</v>
      </c>
      <c r="Y103" s="159">
        <f t="shared" si="986"/>
        <v>0</v>
      </c>
      <c r="Z103" s="588">
        <f>SUM(W103:Y103)</f>
        <v>0</v>
      </c>
      <c r="AA103" s="159"/>
      <c r="AB103" s="159"/>
      <c r="AC103" s="159"/>
      <c r="AD103" s="159">
        <f t="shared" si="987"/>
        <v>0</v>
      </c>
      <c r="AE103" s="159"/>
      <c r="AF103" s="159"/>
      <c r="AG103" s="159"/>
      <c r="AH103" s="159">
        <f t="shared" si="988"/>
        <v>0</v>
      </c>
      <c r="AI103" s="159"/>
      <c r="AJ103" s="159"/>
      <c r="AK103" s="159"/>
      <c r="AL103" s="159">
        <f t="shared" si="989"/>
        <v>0</v>
      </c>
      <c r="AM103" s="159"/>
      <c r="AN103" s="159"/>
      <c r="AO103" s="159"/>
      <c r="AP103" s="159">
        <f t="shared" si="990"/>
        <v>0</v>
      </c>
      <c r="AQ103" s="159">
        <f t="shared" si="991"/>
        <v>0</v>
      </c>
      <c r="AR103" s="159">
        <f t="shared" si="991"/>
        <v>0</v>
      </c>
      <c r="AS103" s="159">
        <f t="shared" si="991"/>
        <v>0</v>
      </c>
      <c r="AT103" s="588">
        <f>SUM(AQ103:AS103)</f>
        <v>0</v>
      </c>
      <c r="AU103" s="159"/>
      <c r="AV103" s="159"/>
      <c r="AW103" s="159"/>
      <c r="AX103" s="159">
        <f t="shared" si="992"/>
        <v>0</v>
      </c>
      <c r="AY103" s="159"/>
      <c r="AZ103" s="159"/>
      <c r="BA103" s="159"/>
      <c r="BB103" s="159">
        <f t="shared" si="993"/>
        <v>0</v>
      </c>
      <c r="BC103" s="159"/>
      <c r="BD103" s="159"/>
      <c r="BE103" s="159"/>
      <c r="BF103" s="159">
        <f t="shared" si="994"/>
        <v>0</v>
      </c>
      <c r="BG103" s="159"/>
      <c r="BH103" s="159"/>
      <c r="BI103" s="159"/>
      <c r="BJ103" s="159">
        <f t="shared" si="995"/>
        <v>0</v>
      </c>
      <c r="BK103" s="159">
        <f t="shared" si="996"/>
        <v>0</v>
      </c>
      <c r="BL103" s="159">
        <f t="shared" si="996"/>
        <v>0</v>
      </c>
      <c r="BM103" s="159">
        <f t="shared" si="996"/>
        <v>0</v>
      </c>
      <c r="BN103" s="159">
        <f>SUM(BK103:BM103)</f>
        <v>0</v>
      </c>
      <c r="BO103" s="588"/>
      <c r="BP103" s="159">
        <f t="shared" si="997"/>
        <v>0</v>
      </c>
      <c r="BQ103" s="159">
        <f t="shared" si="997"/>
        <v>0</v>
      </c>
      <c r="BR103" s="159">
        <f t="shared" si="997"/>
        <v>0</v>
      </c>
      <c r="BS103" s="588">
        <f>SUM(BP103:BR103)</f>
        <v>0</v>
      </c>
      <c r="BT103" s="159"/>
      <c r="BU103" s="159"/>
      <c r="BV103" s="159"/>
      <c r="BW103" s="159">
        <f t="shared" si="998"/>
        <v>0</v>
      </c>
      <c r="BX103" s="159">
        <f t="shared" si="687"/>
        <v>0</v>
      </c>
      <c r="BY103" s="159">
        <f t="shared" si="688"/>
        <v>0</v>
      </c>
      <c r="BZ103" s="159">
        <f t="shared" si="689"/>
        <v>0</v>
      </c>
      <c r="CA103" s="583">
        <f t="shared" si="690"/>
        <v>0</v>
      </c>
      <c r="CB103" s="91"/>
      <c r="CC103" s="91"/>
      <c r="CD103" s="91"/>
      <c r="CE103" s="91"/>
      <c r="CF103" s="91"/>
      <c r="CG103" s="91"/>
      <c r="CH103" s="91"/>
      <c r="CI103" s="91"/>
      <c r="CJ103" s="91"/>
      <c r="CK103" s="91"/>
      <c r="CL103" s="91"/>
      <c r="CM103" s="91"/>
    </row>
    <row r="104" spans="1:91" s="90" customFormat="1" ht="14.1" customHeight="1" x14ac:dyDescent="0.2">
      <c r="A104" s="127" t="s">
        <v>603</v>
      </c>
      <c r="B104" s="568"/>
      <c r="C104" s="78">
        <v>3</v>
      </c>
      <c r="D104" s="69" t="s">
        <v>216</v>
      </c>
      <c r="E104" s="75"/>
      <c r="G104" s="160">
        <f>SUM(G105:G111)</f>
        <v>0</v>
      </c>
      <c r="H104" s="160">
        <f t="shared" ref="H104:I104" si="999">SUM(H105:H111)</f>
        <v>875000</v>
      </c>
      <c r="I104" s="160">
        <f t="shared" si="999"/>
        <v>0</v>
      </c>
      <c r="J104" s="160">
        <f t="shared" ref="J104:BS104" si="1000">SUM(J105:J111)</f>
        <v>875000</v>
      </c>
      <c r="K104" s="160">
        <f>SUM(K105:K111)</f>
        <v>0</v>
      </c>
      <c r="L104" s="160">
        <f t="shared" ref="L104" si="1001">SUM(L105:L111)</f>
        <v>0</v>
      </c>
      <c r="M104" s="160">
        <f t="shared" ref="M104" si="1002">SUM(M105:M111)</f>
        <v>0</v>
      </c>
      <c r="N104" s="160">
        <f t="shared" ref="N104" si="1003">SUM(N105:N111)</f>
        <v>0</v>
      </c>
      <c r="O104" s="160">
        <f>SUM(O105:O111)</f>
        <v>0</v>
      </c>
      <c r="P104" s="160">
        <f t="shared" ref="P104" si="1004">SUM(P105:P111)</f>
        <v>0</v>
      </c>
      <c r="Q104" s="160">
        <f t="shared" ref="Q104" si="1005">SUM(Q105:Q111)</f>
        <v>0</v>
      </c>
      <c r="R104" s="160">
        <f t="shared" ref="R104" si="1006">SUM(R105:R111)</f>
        <v>0</v>
      </c>
      <c r="S104" s="160">
        <f>SUM(S105:S111)</f>
        <v>0</v>
      </c>
      <c r="T104" s="160">
        <f t="shared" ref="T104" si="1007">SUM(T105:T111)</f>
        <v>0</v>
      </c>
      <c r="U104" s="160">
        <f t="shared" ref="U104" si="1008">SUM(U105:U111)</f>
        <v>0</v>
      </c>
      <c r="V104" s="160">
        <f t="shared" ref="V104" si="1009">SUM(V105:V111)</f>
        <v>0</v>
      </c>
      <c r="W104" s="160">
        <f t="shared" si="1000"/>
        <v>0</v>
      </c>
      <c r="X104" s="160">
        <f t="shared" si="1000"/>
        <v>875000</v>
      </c>
      <c r="Y104" s="160">
        <f t="shared" si="1000"/>
        <v>0</v>
      </c>
      <c r="Z104" s="99">
        <f t="shared" si="1000"/>
        <v>875000</v>
      </c>
      <c r="AA104" s="160">
        <f t="shared" si="1000"/>
        <v>0</v>
      </c>
      <c r="AB104" s="160">
        <f t="shared" si="1000"/>
        <v>69341.47</v>
      </c>
      <c r="AC104" s="160">
        <f t="shared" si="1000"/>
        <v>0</v>
      </c>
      <c r="AD104" s="160">
        <f t="shared" si="1000"/>
        <v>69341.47</v>
      </c>
      <c r="AE104" s="160">
        <f>SUM(AE105:AE111)</f>
        <v>0</v>
      </c>
      <c r="AF104" s="160">
        <f t="shared" ref="AF104:AH104" si="1010">SUM(AF105:AF111)</f>
        <v>156041.81</v>
      </c>
      <c r="AG104" s="160">
        <f t="shared" si="1010"/>
        <v>0</v>
      </c>
      <c r="AH104" s="160">
        <f t="shared" si="1010"/>
        <v>156041.81</v>
      </c>
      <c r="AI104" s="160">
        <f>SUM(AI105:AI111)</f>
        <v>0</v>
      </c>
      <c r="AJ104" s="160">
        <f t="shared" ref="AJ104:AL104" si="1011">SUM(AJ105:AJ111)</f>
        <v>51848.06</v>
      </c>
      <c r="AK104" s="160">
        <f t="shared" si="1011"/>
        <v>0</v>
      </c>
      <c r="AL104" s="160">
        <f t="shared" si="1011"/>
        <v>51848.06</v>
      </c>
      <c r="AM104" s="160">
        <f>SUM(AM105:AM111)</f>
        <v>0</v>
      </c>
      <c r="AN104" s="160">
        <f t="shared" ref="AN104:AP104" si="1012">SUM(AN105:AN111)</f>
        <v>308858.34000000003</v>
      </c>
      <c r="AO104" s="160">
        <f t="shared" si="1012"/>
        <v>0</v>
      </c>
      <c r="AP104" s="160">
        <f t="shared" si="1012"/>
        <v>308858.34000000003</v>
      </c>
      <c r="AQ104" s="160">
        <f t="shared" si="1000"/>
        <v>0</v>
      </c>
      <c r="AR104" s="160">
        <f t="shared" si="1000"/>
        <v>586089.67999999993</v>
      </c>
      <c r="AS104" s="160">
        <f t="shared" si="1000"/>
        <v>0</v>
      </c>
      <c r="AT104" s="99">
        <f t="shared" si="1000"/>
        <v>586089.67999999993</v>
      </c>
      <c r="AU104" s="160">
        <f t="shared" si="1000"/>
        <v>0</v>
      </c>
      <c r="AV104" s="160">
        <f t="shared" si="1000"/>
        <v>69341.47</v>
      </c>
      <c r="AW104" s="160">
        <f t="shared" si="1000"/>
        <v>0</v>
      </c>
      <c r="AX104" s="160">
        <f t="shared" si="1000"/>
        <v>69341.47</v>
      </c>
      <c r="AY104" s="160">
        <f>SUM(AY105:AY111)</f>
        <v>0</v>
      </c>
      <c r="AZ104" s="160">
        <f t="shared" ref="AZ104" si="1013">SUM(AZ105:AZ111)</f>
        <v>156041.81</v>
      </c>
      <c r="BA104" s="160">
        <f t="shared" ref="BA104" si="1014">SUM(BA105:BA111)</f>
        <v>0</v>
      </c>
      <c r="BB104" s="160">
        <f t="shared" ref="BB104" si="1015">SUM(BB105:BB111)</f>
        <v>156041.81</v>
      </c>
      <c r="BC104" s="160">
        <f>SUM(BC105:BC111)</f>
        <v>0</v>
      </c>
      <c r="BD104" s="160">
        <f t="shared" ref="BD104" si="1016">SUM(BD105:BD111)</f>
        <v>51848.06</v>
      </c>
      <c r="BE104" s="160">
        <f t="shared" ref="BE104" si="1017">SUM(BE105:BE111)</f>
        <v>0</v>
      </c>
      <c r="BF104" s="160">
        <f t="shared" ref="BF104" si="1018">SUM(BF105:BF111)</f>
        <v>51848.06</v>
      </c>
      <c r="BG104" s="160">
        <f>SUM(BG105:BG111)</f>
        <v>0</v>
      </c>
      <c r="BH104" s="160">
        <f t="shared" ref="BH104" si="1019">SUM(BH105:BH111)</f>
        <v>284358.34000000003</v>
      </c>
      <c r="BI104" s="160">
        <f t="shared" ref="BI104" si="1020">SUM(BI105:BI111)</f>
        <v>0</v>
      </c>
      <c r="BJ104" s="160">
        <f t="shared" ref="BJ104" si="1021">SUM(BJ105:BJ111)</f>
        <v>284358.34000000003</v>
      </c>
      <c r="BK104" s="160">
        <f t="shared" si="1000"/>
        <v>0</v>
      </c>
      <c r="BL104" s="160">
        <f t="shared" si="1000"/>
        <v>561589.67999999993</v>
      </c>
      <c r="BM104" s="160">
        <f t="shared" si="1000"/>
        <v>0</v>
      </c>
      <c r="BN104" s="160">
        <f t="shared" si="1000"/>
        <v>561589.67999999993</v>
      </c>
      <c r="BO104" s="175">
        <f t="shared" si="1000"/>
        <v>0</v>
      </c>
      <c r="BP104" s="160">
        <f t="shared" si="1000"/>
        <v>0</v>
      </c>
      <c r="BQ104" s="160">
        <f t="shared" si="1000"/>
        <v>288910.32</v>
      </c>
      <c r="BR104" s="160">
        <f t="shared" si="1000"/>
        <v>0</v>
      </c>
      <c r="BS104" s="99">
        <f t="shared" si="1000"/>
        <v>288910.32</v>
      </c>
      <c r="BT104" s="160">
        <f>SUM(BT105:BT111)</f>
        <v>0</v>
      </c>
      <c r="BU104" s="160">
        <f t="shared" ref="BU104" si="1022">SUM(BU105:BU111)</f>
        <v>0</v>
      </c>
      <c r="BV104" s="160">
        <f t="shared" ref="BV104" si="1023">SUM(BV105:BV111)</f>
        <v>0</v>
      </c>
      <c r="BW104" s="160">
        <f t="shared" ref="BW104" si="1024">SUM(BW105:BW111)</f>
        <v>0</v>
      </c>
      <c r="BX104" s="160">
        <f t="shared" ref="BX104:CA104" si="1025">SUM(BX105:BX111)</f>
        <v>0</v>
      </c>
      <c r="BY104" s="160">
        <f t="shared" si="1025"/>
        <v>24500</v>
      </c>
      <c r="BZ104" s="160">
        <f t="shared" si="1025"/>
        <v>0</v>
      </c>
      <c r="CA104" s="137">
        <f t="shared" si="1025"/>
        <v>24500</v>
      </c>
      <c r="CB104" s="91"/>
      <c r="CC104" s="91"/>
      <c r="CD104" s="91"/>
      <c r="CE104" s="91"/>
      <c r="CF104" s="91"/>
      <c r="CG104" s="91"/>
      <c r="CH104" s="91"/>
      <c r="CI104" s="91"/>
      <c r="CJ104" s="91"/>
      <c r="CK104" s="91"/>
      <c r="CL104" s="91"/>
      <c r="CM104" s="91"/>
    </row>
    <row r="105" spans="1:91" s="90" customFormat="1" ht="14.1" customHeight="1" x14ac:dyDescent="0.2">
      <c r="A105" s="127" t="s">
        <v>604</v>
      </c>
      <c r="B105" s="568"/>
      <c r="C105" s="78"/>
      <c r="D105" s="98" t="s">
        <v>146</v>
      </c>
      <c r="E105" s="75" t="s">
        <v>605</v>
      </c>
      <c r="G105" s="159"/>
      <c r="H105" s="159">
        <v>125000</v>
      </c>
      <c r="I105" s="159"/>
      <c r="J105" s="159">
        <f t="shared" si="691"/>
        <v>125000</v>
      </c>
      <c r="K105" s="159"/>
      <c r="L105" s="159"/>
      <c r="M105" s="159"/>
      <c r="N105" s="159">
        <f t="shared" ref="N105:N111" si="1026">SUM(K105:M105)</f>
        <v>0</v>
      </c>
      <c r="O105" s="159"/>
      <c r="P105" s="159"/>
      <c r="Q105" s="159"/>
      <c r="R105" s="159">
        <f t="shared" ref="R105:R111" si="1027">SUM(O105:Q105)</f>
        <v>0</v>
      </c>
      <c r="S105" s="159"/>
      <c r="T105" s="159"/>
      <c r="U105" s="159"/>
      <c r="V105" s="159">
        <f t="shared" ref="V105:V111" si="1028">SUM(S105:U105)</f>
        <v>0</v>
      </c>
      <c r="W105" s="159">
        <f t="shared" ref="W105:W111" si="1029">G105-O105+S105+K105</f>
        <v>0</v>
      </c>
      <c r="X105" s="159">
        <f t="shared" ref="X105:Y111" si="1030">H105-P105+T105+L105</f>
        <v>125000</v>
      </c>
      <c r="Y105" s="159">
        <f t="shared" si="1030"/>
        <v>0</v>
      </c>
      <c r="Z105" s="588">
        <f t="shared" ref="Z105:Z111" si="1031">SUM(W105:Y105)</f>
        <v>125000</v>
      </c>
      <c r="AA105" s="159"/>
      <c r="AB105" s="159">
        <f>1911.81+1000+1000+1757.62+16929+1650.57+16151</f>
        <v>40400</v>
      </c>
      <c r="AC105" s="159"/>
      <c r="AD105" s="159">
        <f t="shared" ref="AD105:AD111" si="1032">SUM(AA105:AC105)</f>
        <v>40400</v>
      </c>
      <c r="AE105" s="159"/>
      <c r="AF105" s="159">
        <v>-300</v>
      </c>
      <c r="AG105" s="159"/>
      <c r="AH105" s="159">
        <f t="shared" ref="AH105:AH111" si="1033">SUM(AE105:AG105)</f>
        <v>-300</v>
      </c>
      <c r="AI105" s="159"/>
      <c r="AJ105" s="159">
        <f>3240+64.67</f>
        <v>3304.67</v>
      </c>
      <c r="AK105" s="159"/>
      <c r="AL105" s="159">
        <f t="shared" ref="AL105:AL111" si="1034">SUM(AI105:AK105)</f>
        <v>3304.67</v>
      </c>
      <c r="AM105" s="159"/>
      <c r="AN105" s="159">
        <f>33611.33+3500+4400+3500</f>
        <v>45011.33</v>
      </c>
      <c r="AO105" s="159"/>
      <c r="AP105" s="159">
        <f t="shared" ref="AP105:AP111" si="1035">SUM(AM105:AO105)</f>
        <v>45011.33</v>
      </c>
      <c r="AQ105" s="159">
        <f t="shared" ref="AQ105:AS111" si="1036">AA105+AE105+AI105+AM105</f>
        <v>0</v>
      </c>
      <c r="AR105" s="159">
        <f t="shared" si="1036"/>
        <v>88416</v>
      </c>
      <c r="AS105" s="159">
        <f t="shared" si="1036"/>
        <v>0</v>
      </c>
      <c r="AT105" s="588">
        <f t="shared" ref="AT105:AT111" si="1037">SUM(AQ105:AS105)</f>
        <v>88416</v>
      </c>
      <c r="AU105" s="159"/>
      <c r="AV105" s="159">
        <f>1911.81+1000+1000+1757.62+1650.57+16929+16151</f>
        <v>40400</v>
      </c>
      <c r="AW105" s="159"/>
      <c r="AX105" s="159">
        <f t="shared" ref="AX105:AX111" si="1038">SUM(AU105:AW105)</f>
        <v>40400</v>
      </c>
      <c r="AY105" s="159"/>
      <c r="AZ105" s="159">
        <v>-300</v>
      </c>
      <c r="BA105" s="159"/>
      <c r="BB105" s="159">
        <f t="shared" ref="BB105:BB111" si="1039">SUM(AY105:BA105)</f>
        <v>-300</v>
      </c>
      <c r="BC105" s="159"/>
      <c r="BD105" s="159">
        <f>3240+64.67</f>
        <v>3304.67</v>
      </c>
      <c r="BE105" s="159"/>
      <c r="BF105" s="159">
        <f t="shared" ref="BF105:BF111" si="1040">SUM(BC105:BE105)</f>
        <v>3304.67</v>
      </c>
      <c r="BG105" s="159"/>
      <c r="BH105" s="159">
        <f>33611.33+3500+4400</f>
        <v>41511.33</v>
      </c>
      <c r="BI105" s="159"/>
      <c r="BJ105" s="159">
        <f t="shared" ref="BJ105:BJ111" si="1041">SUM(BG105:BI105)</f>
        <v>41511.33</v>
      </c>
      <c r="BK105" s="159">
        <f t="shared" ref="BK105:BM111" si="1042">AU105+AY105+BC105+BG105</f>
        <v>0</v>
      </c>
      <c r="BL105" s="159">
        <f t="shared" si="1042"/>
        <v>84916</v>
      </c>
      <c r="BM105" s="159">
        <f t="shared" si="1042"/>
        <v>0</v>
      </c>
      <c r="BN105" s="159">
        <f t="shared" ref="BN105:BN111" si="1043">SUM(BK105:BM105)</f>
        <v>84916</v>
      </c>
      <c r="BO105" s="588"/>
      <c r="BP105" s="159">
        <f t="shared" ref="BP105:BR111" si="1044">W105-AQ105</f>
        <v>0</v>
      </c>
      <c r="BQ105" s="159">
        <f t="shared" si="1044"/>
        <v>36584</v>
      </c>
      <c r="BR105" s="159">
        <f t="shared" si="1044"/>
        <v>0</v>
      </c>
      <c r="BS105" s="588">
        <f t="shared" ref="BS105:BS111" si="1045">SUM(BP105:BR105)</f>
        <v>36584</v>
      </c>
      <c r="BT105" s="159"/>
      <c r="BU105" s="159"/>
      <c r="BV105" s="159"/>
      <c r="BW105" s="159">
        <f t="shared" ref="BW105:BW111" si="1046">SUM(BT105:BV105)</f>
        <v>0</v>
      </c>
      <c r="BX105" s="159">
        <f t="shared" si="687"/>
        <v>0</v>
      </c>
      <c r="BY105" s="159">
        <f t="shared" si="688"/>
        <v>3500</v>
      </c>
      <c r="BZ105" s="159">
        <f t="shared" si="689"/>
        <v>0</v>
      </c>
      <c r="CA105" s="583">
        <f t="shared" si="690"/>
        <v>3500</v>
      </c>
      <c r="CB105" s="91"/>
      <c r="CC105" s="91"/>
      <c r="CD105" s="91"/>
      <c r="CE105" s="91"/>
      <c r="CF105" s="91"/>
      <c r="CG105" s="91"/>
      <c r="CH105" s="91"/>
      <c r="CI105" s="91"/>
      <c r="CJ105" s="91"/>
      <c r="CK105" s="91"/>
      <c r="CL105" s="91"/>
      <c r="CM105" s="91"/>
    </row>
    <row r="106" spans="1:91" s="90" customFormat="1" ht="14.1" customHeight="1" x14ac:dyDescent="0.2">
      <c r="A106" s="127" t="s">
        <v>606</v>
      </c>
      <c r="B106" s="568"/>
      <c r="C106" s="78"/>
      <c r="D106" s="98" t="s">
        <v>147</v>
      </c>
      <c r="E106" s="75" t="s">
        <v>667</v>
      </c>
      <c r="G106" s="159"/>
      <c r="H106" s="159">
        <v>125000</v>
      </c>
      <c r="I106" s="159"/>
      <c r="J106" s="159">
        <f t="shared" si="691"/>
        <v>125000</v>
      </c>
      <c r="K106" s="159"/>
      <c r="L106" s="159"/>
      <c r="M106" s="159"/>
      <c r="N106" s="159">
        <f t="shared" si="1026"/>
        <v>0</v>
      </c>
      <c r="O106" s="159"/>
      <c r="P106" s="159"/>
      <c r="Q106" s="159"/>
      <c r="R106" s="159">
        <f t="shared" si="1027"/>
        <v>0</v>
      </c>
      <c r="S106" s="159"/>
      <c r="T106" s="159"/>
      <c r="U106" s="159"/>
      <c r="V106" s="159">
        <f t="shared" si="1028"/>
        <v>0</v>
      </c>
      <c r="W106" s="159">
        <f t="shared" si="1029"/>
        <v>0</v>
      </c>
      <c r="X106" s="159">
        <f t="shared" si="1030"/>
        <v>125000</v>
      </c>
      <c r="Y106" s="159">
        <f t="shared" si="1030"/>
        <v>0</v>
      </c>
      <c r="Z106" s="588">
        <f t="shared" si="1031"/>
        <v>125000</v>
      </c>
      <c r="AA106" s="159"/>
      <c r="AB106" s="159">
        <f>1000+234.47+778+16929</f>
        <v>18941.47</v>
      </c>
      <c r="AC106" s="159"/>
      <c r="AD106" s="159">
        <f t="shared" si="1032"/>
        <v>18941.47</v>
      </c>
      <c r="AE106" s="159"/>
      <c r="AF106" s="159">
        <v>20158.53</v>
      </c>
      <c r="AG106" s="159"/>
      <c r="AH106" s="159">
        <f t="shared" si="1033"/>
        <v>20158.53</v>
      </c>
      <c r="AI106" s="159"/>
      <c r="AJ106" s="159">
        <v>3240</v>
      </c>
      <c r="AK106" s="159"/>
      <c r="AL106" s="159">
        <f t="shared" si="1034"/>
        <v>3240</v>
      </c>
      <c r="AM106" s="159"/>
      <c r="AN106" s="159">
        <f>33676+3500+4400+3500</f>
        <v>45076</v>
      </c>
      <c r="AO106" s="159"/>
      <c r="AP106" s="159">
        <f t="shared" si="1035"/>
        <v>45076</v>
      </c>
      <c r="AQ106" s="159">
        <f t="shared" si="1036"/>
        <v>0</v>
      </c>
      <c r="AR106" s="159">
        <f t="shared" si="1036"/>
        <v>87416</v>
      </c>
      <c r="AS106" s="159">
        <f t="shared" si="1036"/>
        <v>0</v>
      </c>
      <c r="AT106" s="588">
        <f t="shared" si="1037"/>
        <v>87416</v>
      </c>
      <c r="AU106" s="159"/>
      <c r="AV106" s="159">
        <f>1000+234.47+778+16929</f>
        <v>18941.47</v>
      </c>
      <c r="AW106" s="159"/>
      <c r="AX106" s="159">
        <f t="shared" si="1038"/>
        <v>18941.47</v>
      </c>
      <c r="AY106" s="159"/>
      <c r="AZ106" s="159">
        <v>20158.53</v>
      </c>
      <c r="BA106" s="159"/>
      <c r="BB106" s="159">
        <f t="shared" si="1039"/>
        <v>20158.53</v>
      </c>
      <c r="BC106" s="159"/>
      <c r="BD106" s="159">
        <v>3240</v>
      </c>
      <c r="BE106" s="159"/>
      <c r="BF106" s="159">
        <f t="shared" si="1040"/>
        <v>3240</v>
      </c>
      <c r="BG106" s="159"/>
      <c r="BH106" s="159">
        <f>33676+3500+4400</f>
        <v>41576</v>
      </c>
      <c r="BI106" s="159"/>
      <c r="BJ106" s="159">
        <f t="shared" si="1041"/>
        <v>41576</v>
      </c>
      <c r="BK106" s="159">
        <f t="shared" si="1042"/>
        <v>0</v>
      </c>
      <c r="BL106" s="159">
        <f t="shared" si="1042"/>
        <v>83916</v>
      </c>
      <c r="BM106" s="159">
        <f t="shared" si="1042"/>
        <v>0</v>
      </c>
      <c r="BN106" s="159">
        <f t="shared" si="1043"/>
        <v>83916</v>
      </c>
      <c r="BO106" s="588"/>
      <c r="BP106" s="159">
        <f t="shared" si="1044"/>
        <v>0</v>
      </c>
      <c r="BQ106" s="159">
        <f t="shared" si="1044"/>
        <v>37584</v>
      </c>
      <c r="BR106" s="159">
        <f t="shared" si="1044"/>
        <v>0</v>
      </c>
      <c r="BS106" s="588">
        <f t="shared" si="1045"/>
        <v>37584</v>
      </c>
      <c r="BT106" s="159"/>
      <c r="BU106" s="159"/>
      <c r="BV106" s="159"/>
      <c r="BW106" s="159">
        <f t="shared" si="1046"/>
        <v>0</v>
      </c>
      <c r="BX106" s="159">
        <f t="shared" si="687"/>
        <v>0</v>
      </c>
      <c r="BY106" s="159">
        <f t="shared" si="688"/>
        <v>3500</v>
      </c>
      <c r="BZ106" s="159">
        <f t="shared" si="689"/>
        <v>0</v>
      </c>
      <c r="CA106" s="583">
        <f t="shared" si="690"/>
        <v>3500</v>
      </c>
      <c r="CB106" s="91"/>
      <c r="CC106" s="91"/>
      <c r="CD106" s="91"/>
      <c r="CE106" s="91"/>
      <c r="CF106" s="91"/>
      <c r="CG106" s="91"/>
      <c r="CH106" s="91"/>
      <c r="CI106" s="91"/>
      <c r="CJ106" s="91"/>
      <c r="CK106" s="91"/>
      <c r="CL106" s="91"/>
      <c r="CM106" s="91"/>
    </row>
    <row r="107" spans="1:91" s="90" customFormat="1" ht="14.1" customHeight="1" x14ac:dyDescent="0.2">
      <c r="A107" s="127" t="s">
        <v>607</v>
      </c>
      <c r="B107" s="568"/>
      <c r="C107" s="78"/>
      <c r="D107" s="98" t="s">
        <v>149</v>
      </c>
      <c r="E107" s="75" t="s">
        <v>608</v>
      </c>
      <c r="G107" s="159"/>
      <c r="H107" s="159">
        <v>125000</v>
      </c>
      <c r="I107" s="159"/>
      <c r="J107" s="159">
        <f t="shared" si="691"/>
        <v>125000</v>
      </c>
      <c r="K107" s="159"/>
      <c r="L107" s="159"/>
      <c r="M107" s="159"/>
      <c r="N107" s="159">
        <f t="shared" si="1026"/>
        <v>0</v>
      </c>
      <c r="O107" s="159"/>
      <c r="P107" s="159"/>
      <c r="Q107" s="159"/>
      <c r="R107" s="159">
        <f t="shared" si="1027"/>
        <v>0</v>
      </c>
      <c r="S107" s="159"/>
      <c r="T107" s="159"/>
      <c r="U107" s="159"/>
      <c r="V107" s="159">
        <f t="shared" si="1028"/>
        <v>0</v>
      </c>
      <c r="W107" s="159">
        <f t="shared" si="1029"/>
        <v>0</v>
      </c>
      <c r="X107" s="159">
        <f t="shared" si="1030"/>
        <v>125000</v>
      </c>
      <c r="Y107" s="159">
        <f t="shared" si="1030"/>
        <v>0</v>
      </c>
      <c r="Z107" s="588">
        <f t="shared" si="1031"/>
        <v>125000</v>
      </c>
      <c r="AA107" s="159"/>
      <c r="AB107" s="159"/>
      <c r="AC107" s="159"/>
      <c r="AD107" s="159">
        <f t="shared" si="1032"/>
        <v>0</v>
      </c>
      <c r="AE107" s="159"/>
      <c r="AF107" s="159">
        <f>34502.47+1778</f>
        <v>36280.47</v>
      </c>
      <c r="AG107" s="159"/>
      <c r="AH107" s="159">
        <f t="shared" si="1033"/>
        <v>36280.47</v>
      </c>
      <c r="AI107" s="159"/>
      <c r="AJ107" s="159">
        <v>6059.53</v>
      </c>
      <c r="AK107" s="159"/>
      <c r="AL107" s="159">
        <f t="shared" si="1034"/>
        <v>6059.53</v>
      </c>
      <c r="AM107" s="159"/>
      <c r="AN107" s="159">
        <f>33676+3500+2234+3500</f>
        <v>42910</v>
      </c>
      <c r="AO107" s="159"/>
      <c r="AP107" s="159">
        <f t="shared" si="1035"/>
        <v>42910</v>
      </c>
      <c r="AQ107" s="159">
        <f t="shared" si="1036"/>
        <v>0</v>
      </c>
      <c r="AR107" s="159">
        <f t="shared" si="1036"/>
        <v>85250</v>
      </c>
      <c r="AS107" s="159">
        <f t="shared" si="1036"/>
        <v>0</v>
      </c>
      <c r="AT107" s="588">
        <f t="shared" si="1037"/>
        <v>85250</v>
      </c>
      <c r="AU107" s="159"/>
      <c r="AV107" s="159"/>
      <c r="AW107" s="159"/>
      <c r="AX107" s="159">
        <f t="shared" si="1038"/>
        <v>0</v>
      </c>
      <c r="AY107" s="159"/>
      <c r="AZ107" s="159">
        <f>34502.47+1778</f>
        <v>36280.47</v>
      </c>
      <c r="BA107" s="159"/>
      <c r="BB107" s="159">
        <f t="shared" si="1039"/>
        <v>36280.47</v>
      </c>
      <c r="BC107" s="159"/>
      <c r="BD107" s="159">
        <v>6059.53</v>
      </c>
      <c r="BE107" s="159"/>
      <c r="BF107" s="159">
        <f t="shared" si="1040"/>
        <v>6059.53</v>
      </c>
      <c r="BG107" s="159"/>
      <c r="BH107" s="159">
        <f>33676+3500+2234</f>
        <v>39410</v>
      </c>
      <c r="BI107" s="159"/>
      <c r="BJ107" s="159">
        <f t="shared" si="1041"/>
        <v>39410</v>
      </c>
      <c r="BK107" s="159">
        <f t="shared" si="1042"/>
        <v>0</v>
      </c>
      <c r="BL107" s="159">
        <f t="shared" si="1042"/>
        <v>81750</v>
      </c>
      <c r="BM107" s="159">
        <f t="shared" si="1042"/>
        <v>0</v>
      </c>
      <c r="BN107" s="159">
        <f t="shared" si="1043"/>
        <v>81750</v>
      </c>
      <c r="BO107" s="588"/>
      <c r="BP107" s="159">
        <f t="shared" si="1044"/>
        <v>0</v>
      </c>
      <c r="BQ107" s="159">
        <f t="shared" si="1044"/>
        <v>39750</v>
      </c>
      <c r="BR107" s="159">
        <f t="shared" si="1044"/>
        <v>0</v>
      </c>
      <c r="BS107" s="588">
        <f t="shared" si="1045"/>
        <v>39750</v>
      </c>
      <c r="BT107" s="159"/>
      <c r="BU107" s="159"/>
      <c r="BV107" s="159"/>
      <c r="BW107" s="159">
        <f t="shared" si="1046"/>
        <v>0</v>
      </c>
      <c r="BX107" s="159">
        <f t="shared" si="687"/>
        <v>0</v>
      </c>
      <c r="BY107" s="159">
        <f t="shared" si="688"/>
        <v>3500</v>
      </c>
      <c r="BZ107" s="159">
        <f t="shared" si="689"/>
        <v>0</v>
      </c>
      <c r="CA107" s="583">
        <f t="shared" si="690"/>
        <v>3500</v>
      </c>
      <c r="CB107" s="91"/>
      <c r="CC107" s="91"/>
      <c r="CD107" s="91"/>
      <c r="CE107" s="91"/>
      <c r="CF107" s="91"/>
      <c r="CG107" s="91"/>
      <c r="CH107" s="91"/>
      <c r="CI107" s="91"/>
      <c r="CJ107" s="91"/>
      <c r="CK107" s="91"/>
      <c r="CL107" s="91"/>
      <c r="CM107" s="91"/>
    </row>
    <row r="108" spans="1:91" s="90" customFormat="1" ht="14.1" customHeight="1" x14ac:dyDescent="0.2">
      <c r="A108" s="127" t="s">
        <v>609</v>
      </c>
      <c r="B108" s="568"/>
      <c r="C108" s="78"/>
      <c r="D108" s="98" t="s">
        <v>150</v>
      </c>
      <c r="E108" s="75" t="s">
        <v>610</v>
      </c>
      <c r="G108" s="159"/>
      <c r="H108" s="159">
        <v>125000</v>
      </c>
      <c r="I108" s="159"/>
      <c r="J108" s="159">
        <f t="shared" si="691"/>
        <v>125000</v>
      </c>
      <c r="K108" s="159"/>
      <c r="L108" s="159"/>
      <c r="M108" s="159"/>
      <c r="N108" s="159">
        <f t="shared" si="1026"/>
        <v>0</v>
      </c>
      <c r="O108" s="159"/>
      <c r="P108" s="159"/>
      <c r="Q108" s="159"/>
      <c r="R108" s="159">
        <f t="shared" si="1027"/>
        <v>0</v>
      </c>
      <c r="S108" s="159"/>
      <c r="T108" s="159"/>
      <c r="U108" s="159"/>
      <c r="V108" s="159">
        <f t="shared" si="1028"/>
        <v>0</v>
      </c>
      <c r="W108" s="159">
        <f t="shared" si="1029"/>
        <v>0</v>
      </c>
      <c r="X108" s="159">
        <f t="shared" si="1030"/>
        <v>125000</v>
      </c>
      <c r="Y108" s="159">
        <f t="shared" si="1030"/>
        <v>0</v>
      </c>
      <c r="Z108" s="588">
        <f t="shared" si="1031"/>
        <v>125000</v>
      </c>
      <c r="AA108" s="159"/>
      <c r="AB108" s="159"/>
      <c r="AC108" s="159"/>
      <c r="AD108" s="159">
        <f t="shared" si="1032"/>
        <v>0</v>
      </c>
      <c r="AE108" s="159"/>
      <c r="AF108" s="159">
        <v>33233.75</v>
      </c>
      <c r="AG108" s="159"/>
      <c r="AH108" s="159">
        <f t="shared" si="1033"/>
        <v>33233.75</v>
      </c>
      <c r="AI108" s="159"/>
      <c r="AJ108" s="159">
        <f>4177.69+807.47+1967.76</f>
        <v>6952.92</v>
      </c>
      <c r="AK108" s="159"/>
      <c r="AL108" s="159">
        <f t="shared" si="1034"/>
        <v>6952.92</v>
      </c>
      <c r="AM108" s="159"/>
      <c r="AN108" s="159">
        <f>35283.08+3500+3500</f>
        <v>42283.08</v>
      </c>
      <c r="AO108" s="159"/>
      <c r="AP108" s="159">
        <f t="shared" si="1035"/>
        <v>42283.08</v>
      </c>
      <c r="AQ108" s="159">
        <f t="shared" si="1036"/>
        <v>0</v>
      </c>
      <c r="AR108" s="159">
        <f t="shared" si="1036"/>
        <v>82469.75</v>
      </c>
      <c r="AS108" s="159">
        <f t="shared" si="1036"/>
        <v>0</v>
      </c>
      <c r="AT108" s="588">
        <f t="shared" si="1037"/>
        <v>82469.75</v>
      </c>
      <c r="AU108" s="159"/>
      <c r="AV108" s="159"/>
      <c r="AW108" s="159"/>
      <c r="AX108" s="159">
        <f t="shared" si="1038"/>
        <v>0</v>
      </c>
      <c r="AY108" s="159"/>
      <c r="AZ108" s="159">
        <v>33233.75</v>
      </c>
      <c r="BA108" s="159"/>
      <c r="BB108" s="159">
        <f t="shared" si="1039"/>
        <v>33233.75</v>
      </c>
      <c r="BC108" s="159"/>
      <c r="BD108" s="159">
        <f>4177.69+807.47+1967.76</f>
        <v>6952.92</v>
      </c>
      <c r="BE108" s="159"/>
      <c r="BF108" s="159">
        <f t="shared" si="1040"/>
        <v>6952.92</v>
      </c>
      <c r="BG108" s="159"/>
      <c r="BH108" s="159">
        <f>35283.08+3500</f>
        <v>38783.08</v>
      </c>
      <c r="BI108" s="159"/>
      <c r="BJ108" s="159">
        <f t="shared" si="1041"/>
        <v>38783.08</v>
      </c>
      <c r="BK108" s="159">
        <f t="shared" si="1042"/>
        <v>0</v>
      </c>
      <c r="BL108" s="159">
        <f t="shared" si="1042"/>
        <v>78969.75</v>
      </c>
      <c r="BM108" s="159">
        <f t="shared" si="1042"/>
        <v>0</v>
      </c>
      <c r="BN108" s="159">
        <f t="shared" si="1043"/>
        <v>78969.75</v>
      </c>
      <c r="BO108" s="588"/>
      <c r="BP108" s="159">
        <f t="shared" si="1044"/>
        <v>0</v>
      </c>
      <c r="BQ108" s="159">
        <f t="shared" si="1044"/>
        <v>42530.25</v>
      </c>
      <c r="BR108" s="159">
        <f t="shared" si="1044"/>
        <v>0</v>
      </c>
      <c r="BS108" s="588">
        <f t="shared" si="1045"/>
        <v>42530.25</v>
      </c>
      <c r="BT108" s="159"/>
      <c r="BU108" s="159"/>
      <c r="BV108" s="159"/>
      <c r="BW108" s="159">
        <f t="shared" si="1046"/>
        <v>0</v>
      </c>
      <c r="BX108" s="159">
        <f t="shared" si="687"/>
        <v>0</v>
      </c>
      <c r="BY108" s="159">
        <f t="shared" si="688"/>
        <v>3500</v>
      </c>
      <c r="BZ108" s="159">
        <f t="shared" si="689"/>
        <v>0</v>
      </c>
      <c r="CA108" s="583">
        <f t="shared" si="690"/>
        <v>3500</v>
      </c>
      <c r="CB108" s="91"/>
      <c r="CC108" s="91"/>
      <c r="CD108" s="91"/>
      <c r="CE108" s="91"/>
      <c r="CF108" s="91"/>
      <c r="CG108" s="91"/>
      <c r="CH108" s="91"/>
      <c r="CI108" s="91"/>
      <c r="CJ108" s="91"/>
      <c r="CK108" s="91"/>
      <c r="CL108" s="91"/>
      <c r="CM108" s="91"/>
    </row>
    <row r="109" spans="1:91" s="90" customFormat="1" ht="14.1" customHeight="1" x14ac:dyDescent="0.2">
      <c r="A109" s="127" t="s">
        <v>611</v>
      </c>
      <c r="B109" s="568"/>
      <c r="C109" s="78"/>
      <c r="D109" s="98" t="s">
        <v>200</v>
      </c>
      <c r="E109" s="75" t="s">
        <v>612</v>
      </c>
      <c r="G109" s="159"/>
      <c r="H109" s="159">
        <v>125000</v>
      </c>
      <c r="I109" s="159"/>
      <c r="J109" s="159">
        <f t="shared" si="691"/>
        <v>125000</v>
      </c>
      <c r="K109" s="159"/>
      <c r="L109" s="159"/>
      <c r="M109" s="159"/>
      <c r="N109" s="159">
        <f t="shared" si="1026"/>
        <v>0</v>
      </c>
      <c r="O109" s="159"/>
      <c r="P109" s="159"/>
      <c r="Q109" s="159"/>
      <c r="R109" s="159">
        <f t="shared" si="1027"/>
        <v>0</v>
      </c>
      <c r="S109" s="159"/>
      <c r="T109" s="159"/>
      <c r="U109" s="159"/>
      <c r="V109" s="159">
        <f t="shared" si="1028"/>
        <v>0</v>
      </c>
      <c r="W109" s="159">
        <f t="shared" si="1029"/>
        <v>0</v>
      </c>
      <c r="X109" s="159">
        <f t="shared" si="1030"/>
        <v>125000</v>
      </c>
      <c r="Y109" s="159">
        <f t="shared" si="1030"/>
        <v>0</v>
      </c>
      <c r="Z109" s="588">
        <f t="shared" si="1031"/>
        <v>125000</v>
      </c>
      <c r="AA109" s="159"/>
      <c r="AB109" s="159">
        <v>10000</v>
      </c>
      <c r="AC109" s="159"/>
      <c r="AD109" s="159">
        <f t="shared" si="1032"/>
        <v>10000</v>
      </c>
      <c r="AE109" s="159"/>
      <c r="AF109" s="159">
        <f>14586.8+8493.2</f>
        <v>23080</v>
      </c>
      <c r="AG109" s="159"/>
      <c r="AH109" s="159">
        <f t="shared" si="1033"/>
        <v>23080</v>
      </c>
      <c r="AI109" s="159"/>
      <c r="AJ109" s="159">
        <v>3240</v>
      </c>
      <c r="AK109" s="159"/>
      <c r="AL109" s="159">
        <f t="shared" si="1034"/>
        <v>3240</v>
      </c>
      <c r="AM109" s="159"/>
      <c r="AN109" s="159">
        <f>38996+3500+3500</f>
        <v>45996</v>
      </c>
      <c r="AO109" s="159"/>
      <c r="AP109" s="159">
        <f t="shared" si="1035"/>
        <v>45996</v>
      </c>
      <c r="AQ109" s="159">
        <f t="shared" si="1036"/>
        <v>0</v>
      </c>
      <c r="AR109" s="159">
        <f t="shared" si="1036"/>
        <v>82316</v>
      </c>
      <c r="AS109" s="159">
        <f t="shared" si="1036"/>
        <v>0</v>
      </c>
      <c r="AT109" s="588">
        <f t="shared" si="1037"/>
        <v>82316</v>
      </c>
      <c r="AU109" s="159"/>
      <c r="AV109" s="159">
        <v>10000</v>
      </c>
      <c r="AW109" s="159"/>
      <c r="AX109" s="159">
        <f t="shared" si="1038"/>
        <v>10000</v>
      </c>
      <c r="AY109" s="159"/>
      <c r="AZ109" s="159">
        <f>14586.8+8493.2</f>
        <v>23080</v>
      </c>
      <c r="BA109" s="159"/>
      <c r="BB109" s="159">
        <f t="shared" si="1039"/>
        <v>23080</v>
      </c>
      <c r="BC109" s="159"/>
      <c r="BD109" s="159">
        <v>3240</v>
      </c>
      <c r="BE109" s="159"/>
      <c r="BF109" s="159">
        <f t="shared" si="1040"/>
        <v>3240</v>
      </c>
      <c r="BG109" s="159"/>
      <c r="BH109" s="159">
        <f>38996+3500</f>
        <v>42496</v>
      </c>
      <c r="BI109" s="159"/>
      <c r="BJ109" s="159">
        <f t="shared" si="1041"/>
        <v>42496</v>
      </c>
      <c r="BK109" s="159">
        <f t="shared" si="1042"/>
        <v>0</v>
      </c>
      <c r="BL109" s="159">
        <f t="shared" si="1042"/>
        <v>78816</v>
      </c>
      <c r="BM109" s="159">
        <f t="shared" si="1042"/>
        <v>0</v>
      </c>
      <c r="BN109" s="159">
        <f t="shared" si="1043"/>
        <v>78816</v>
      </c>
      <c r="BO109" s="588"/>
      <c r="BP109" s="159">
        <f t="shared" si="1044"/>
        <v>0</v>
      </c>
      <c r="BQ109" s="159">
        <f t="shared" si="1044"/>
        <v>42684</v>
      </c>
      <c r="BR109" s="159">
        <f t="shared" si="1044"/>
        <v>0</v>
      </c>
      <c r="BS109" s="588">
        <f t="shared" si="1045"/>
        <v>42684</v>
      </c>
      <c r="BT109" s="159"/>
      <c r="BU109" s="159"/>
      <c r="BV109" s="159"/>
      <c r="BW109" s="159">
        <f t="shared" si="1046"/>
        <v>0</v>
      </c>
      <c r="BX109" s="159">
        <f t="shared" si="687"/>
        <v>0</v>
      </c>
      <c r="BY109" s="159">
        <f t="shared" si="688"/>
        <v>3500</v>
      </c>
      <c r="BZ109" s="159">
        <f t="shared" si="689"/>
        <v>0</v>
      </c>
      <c r="CA109" s="583">
        <f t="shared" si="690"/>
        <v>3500</v>
      </c>
      <c r="CB109" s="91"/>
      <c r="CC109" s="91"/>
      <c r="CD109" s="91"/>
      <c r="CE109" s="91"/>
      <c r="CF109" s="91"/>
      <c r="CG109" s="91"/>
      <c r="CH109" s="91"/>
      <c r="CI109" s="91"/>
      <c r="CJ109" s="91"/>
      <c r="CK109" s="91"/>
      <c r="CL109" s="91"/>
      <c r="CM109" s="91"/>
    </row>
    <row r="110" spans="1:91" s="90" customFormat="1" ht="14.1" customHeight="1" x14ac:dyDescent="0.2">
      <c r="A110" s="127" t="s">
        <v>613</v>
      </c>
      <c r="B110" s="568"/>
      <c r="C110" s="78"/>
      <c r="D110" s="98" t="s">
        <v>201</v>
      </c>
      <c r="E110" s="75" t="s">
        <v>614</v>
      </c>
      <c r="G110" s="159"/>
      <c r="H110" s="159">
        <v>125000</v>
      </c>
      <c r="I110" s="159"/>
      <c r="J110" s="159">
        <f t="shared" si="691"/>
        <v>125000</v>
      </c>
      <c r="K110" s="159"/>
      <c r="L110" s="159"/>
      <c r="M110" s="159"/>
      <c r="N110" s="159">
        <f t="shared" si="1026"/>
        <v>0</v>
      </c>
      <c r="O110" s="159"/>
      <c r="P110" s="159"/>
      <c r="Q110" s="159"/>
      <c r="R110" s="159">
        <f t="shared" si="1027"/>
        <v>0</v>
      </c>
      <c r="S110" s="159"/>
      <c r="T110" s="159"/>
      <c r="U110" s="159"/>
      <c r="V110" s="159">
        <f t="shared" si="1028"/>
        <v>0</v>
      </c>
      <c r="W110" s="159">
        <f t="shared" si="1029"/>
        <v>0</v>
      </c>
      <c r="X110" s="159">
        <f t="shared" si="1030"/>
        <v>125000</v>
      </c>
      <c r="Y110" s="159">
        <f t="shared" si="1030"/>
        <v>0</v>
      </c>
      <c r="Z110" s="588">
        <f t="shared" si="1031"/>
        <v>125000</v>
      </c>
      <c r="AA110" s="159"/>
      <c r="AB110" s="159"/>
      <c r="AC110" s="159"/>
      <c r="AD110" s="159">
        <f t="shared" si="1032"/>
        <v>0</v>
      </c>
      <c r="AE110" s="159"/>
      <c r="AF110" s="159">
        <f>19208.8+13871.2</f>
        <v>33080</v>
      </c>
      <c r="AG110" s="159"/>
      <c r="AH110" s="159">
        <f t="shared" si="1033"/>
        <v>33080</v>
      </c>
      <c r="AI110" s="159"/>
      <c r="AJ110" s="159">
        <f>2940+300</f>
        <v>3240</v>
      </c>
      <c r="AK110" s="159"/>
      <c r="AL110" s="159">
        <f t="shared" si="1034"/>
        <v>3240</v>
      </c>
      <c r="AM110" s="159"/>
      <c r="AN110" s="159">
        <f>35238.32+1237.14+1048.78+3500+1471.76+3500</f>
        <v>45996</v>
      </c>
      <c r="AO110" s="159"/>
      <c r="AP110" s="159">
        <f t="shared" si="1035"/>
        <v>45996</v>
      </c>
      <c r="AQ110" s="159">
        <f t="shared" si="1036"/>
        <v>0</v>
      </c>
      <c r="AR110" s="159">
        <f t="shared" si="1036"/>
        <v>82316</v>
      </c>
      <c r="AS110" s="159">
        <f t="shared" si="1036"/>
        <v>0</v>
      </c>
      <c r="AT110" s="588">
        <f t="shared" si="1037"/>
        <v>82316</v>
      </c>
      <c r="AU110" s="159"/>
      <c r="AV110" s="159"/>
      <c r="AW110" s="159"/>
      <c r="AX110" s="159">
        <f t="shared" si="1038"/>
        <v>0</v>
      </c>
      <c r="AY110" s="159"/>
      <c r="AZ110" s="159">
        <f>19208.8+13871.2</f>
        <v>33080</v>
      </c>
      <c r="BA110" s="159"/>
      <c r="BB110" s="159">
        <f t="shared" si="1039"/>
        <v>33080</v>
      </c>
      <c r="BC110" s="159"/>
      <c r="BD110" s="159">
        <f>2940+300</f>
        <v>3240</v>
      </c>
      <c r="BE110" s="159"/>
      <c r="BF110" s="159">
        <f t="shared" si="1040"/>
        <v>3240</v>
      </c>
      <c r="BG110" s="159"/>
      <c r="BH110" s="159">
        <f>35238.32+1237.14+1048.78+3500+1471.76</f>
        <v>42496</v>
      </c>
      <c r="BI110" s="159"/>
      <c r="BJ110" s="159">
        <f t="shared" si="1041"/>
        <v>42496</v>
      </c>
      <c r="BK110" s="159">
        <f t="shared" si="1042"/>
        <v>0</v>
      </c>
      <c r="BL110" s="159">
        <f t="shared" si="1042"/>
        <v>78816</v>
      </c>
      <c r="BM110" s="159">
        <f t="shared" si="1042"/>
        <v>0</v>
      </c>
      <c r="BN110" s="159">
        <f t="shared" si="1043"/>
        <v>78816</v>
      </c>
      <c r="BO110" s="588"/>
      <c r="BP110" s="159">
        <f t="shared" si="1044"/>
        <v>0</v>
      </c>
      <c r="BQ110" s="159">
        <f t="shared" si="1044"/>
        <v>42684</v>
      </c>
      <c r="BR110" s="159">
        <f t="shared" si="1044"/>
        <v>0</v>
      </c>
      <c r="BS110" s="588">
        <f t="shared" si="1045"/>
        <v>42684</v>
      </c>
      <c r="BT110" s="159"/>
      <c r="BU110" s="159"/>
      <c r="BV110" s="159"/>
      <c r="BW110" s="159">
        <f t="shared" si="1046"/>
        <v>0</v>
      </c>
      <c r="BX110" s="159">
        <f t="shared" si="687"/>
        <v>0</v>
      </c>
      <c r="BY110" s="159">
        <f t="shared" si="688"/>
        <v>3500</v>
      </c>
      <c r="BZ110" s="159">
        <f t="shared" si="689"/>
        <v>0</v>
      </c>
      <c r="CA110" s="583">
        <f t="shared" si="690"/>
        <v>3500</v>
      </c>
      <c r="CB110" s="91"/>
      <c r="CC110" s="91"/>
      <c r="CD110" s="91"/>
      <c r="CE110" s="91"/>
      <c r="CF110" s="91"/>
      <c r="CG110" s="91"/>
      <c r="CH110" s="91"/>
      <c r="CI110" s="91"/>
      <c r="CJ110" s="91"/>
      <c r="CK110" s="91"/>
      <c r="CL110" s="91"/>
      <c r="CM110" s="91"/>
    </row>
    <row r="111" spans="1:91" s="90" customFormat="1" ht="14.1" customHeight="1" x14ac:dyDescent="0.2">
      <c r="A111" s="127" t="s">
        <v>615</v>
      </c>
      <c r="B111" s="568"/>
      <c r="C111" s="78"/>
      <c r="D111" s="98" t="s">
        <v>199</v>
      </c>
      <c r="E111" s="75" t="s">
        <v>616</v>
      </c>
      <c r="G111" s="159"/>
      <c r="H111" s="159">
        <v>125000</v>
      </c>
      <c r="I111" s="159"/>
      <c r="J111" s="159">
        <f t="shared" si="691"/>
        <v>125000</v>
      </c>
      <c r="K111" s="159"/>
      <c r="L111" s="159"/>
      <c r="M111" s="159"/>
      <c r="N111" s="159">
        <f t="shared" si="1026"/>
        <v>0</v>
      </c>
      <c r="O111" s="159"/>
      <c r="P111" s="159"/>
      <c r="Q111" s="159"/>
      <c r="R111" s="159">
        <f t="shared" si="1027"/>
        <v>0</v>
      </c>
      <c r="S111" s="159"/>
      <c r="T111" s="159"/>
      <c r="U111" s="159"/>
      <c r="V111" s="159">
        <f t="shared" si="1028"/>
        <v>0</v>
      </c>
      <c r="W111" s="159">
        <f t="shared" si="1029"/>
        <v>0</v>
      </c>
      <c r="X111" s="159">
        <f t="shared" si="1030"/>
        <v>125000</v>
      </c>
      <c r="Y111" s="159">
        <f t="shared" si="1030"/>
        <v>0</v>
      </c>
      <c r="Z111" s="588">
        <f t="shared" si="1031"/>
        <v>125000</v>
      </c>
      <c r="AA111" s="159"/>
      <c r="AB111" s="159"/>
      <c r="AC111" s="159"/>
      <c r="AD111" s="159">
        <f t="shared" si="1032"/>
        <v>0</v>
      </c>
      <c r="AE111" s="159"/>
      <c r="AF111" s="159">
        <v>10509.06</v>
      </c>
      <c r="AG111" s="159"/>
      <c r="AH111" s="159">
        <f t="shared" si="1033"/>
        <v>10509.06</v>
      </c>
      <c r="AI111" s="159"/>
      <c r="AJ111" s="159">
        <f>23770.94+260+1780</f>
        <v>25810.94</v>
      </c>
      <c r="AK111" s="159"/>
      <c r="AL111" s="159">
        <f t="shared" si="1034"/>
        <v>25810.94</v>
      </c>
      <c r="AM111" s="159"/>
      <c r="AN111" s="159">
        <f>13715.57+3500+909.93+19960.43+3500</f>
        <v>41585.93</v>
      </c>
      <c r="AO111" s="159"/>
      <c r="AP111" s="159">
        <f t="shared" si="1035"/>
        <v>41585.93</v>
      </c>
      <c r="AQ111" s="159">
        <f t="shared" si="1036"/>
        <v>0</v>
      </c>
      <c r="AR111" s="159">
        <f t="shared" si="1036"/>
        <v>77905.929999999993</v>
      </c>
      <c r="AS111" s="159">
        <f t="shared" si="1036"/>
        <v>0</v>
      </c>
      <c r="AT111" s="588">
        <f t="shared" si="1037"/>
        <v>77905.929999999993</v>
      </c>
      <c r="AU111" s="159"/>
      <c r="AV111" s="159"/>
      <c r="AW111" s="159"/>
      <c r="AX111" s="159">
        <f t="shared" si="1038"/>
        <v>0</v>
      </c>
      <c r="AY111" s="159"/>
      <c r="AZ111" s="159">
        <v>10509.06</v>
      </c>
      <c r="BA111" s="159"/>
      <c r="BB111" s="159">
        <f t="shared" si="1039"/>
        <v>10509.06</v>
      </c>
      <c r="BC111" s="159"/>
      <c r="BD111" s="159">
        <f>23770.94+260+1780</f>
        <v>25810.94</v>
      </c>
      <c r="BE111" s="159"/>
      <c r="BF111" s="159">
        <f t="shared" si="1040"/>
        <v>25810.94</v>
      </c>
      <c r="BG111" s="159"/>
      <c r="BH111" s="159">
        <f>13715.57+3500+909.93+19960.43</f>
        <v>38085.93</v>
      </c>
      <c r="BI111" s="159"/>
      <c r="BJ111" s="159">
        <f t="shared" si="1041"/>
        <v>38085.93</v>
      </c>
      <c r="BK111" s="159">
        <f t="shared" si="1042"/>
        <v>0</v>
      </c>
      <c r="BL111" s="159">
        <f t="shared" si="1042"/>
        <v>74405.929999999993</v>
      </c>
      <c r="BM111" s="159">
        <f t="shared" si="1042"/>
        <v>0</v>
      </c>
      <c r="BN111" s="159">
        <f t="shared" si="1043"/>
        <v>74405.929999999993</v>
      </c>
      <c r="BO111" s="588"/>
      <c r="BP111" s="159">
        <f t="shared" si="1044"/>
        <v>0</v>
      </c>
      <c r="BQ111" s="159">
        <f t="shared" si="1044"/>
        <v>47094.070000000007</v>
      </c>
      <c r="BR111" s="159">
        <f t="shared" si="1044"/>
        <v>0</v>
      </c>
      <c r="BS111" s="588">
        <f t="shared" si="1045"/>
        <v>47094.070000000007</v>
      </c>
      <c r="BT111" s="159"/>
      <c r="BU111" s="159"/>
      <c r="BV111" s="159"/>
      <c r="BW111" s="159">
        <f t="shared" si="1046"/>
        <v>0</v>
      </c>
      <c r="BX111" s="159">
        <f t="shared" si="687"/>
        <v>0</v>
      </c>
      <c r="BY111" s="159">
        <f t="shared" si="688"/>
        <v>3500</v>
      </c>
      <c r="BZ111" s="159">
        <f t="shared" si="689"/>
        <v>0</v>
      </c>
      <c r="CA111" s="583">
        <f t="shared" si="690"/>
        <v>3500</v>
      </c>
      <c r="CB111" s="91"/>
      <c r="CC111" s="91"/>
      <c r="CD111" s="91"/>
      <c r="CE111" s="91"/>
      <c r="CF111" s="91"/>
      <c r="CG111" s="91"/>
      <c r="CH111" s="91"/>
      <c r="CI111" s="91"/>
      <c r="CJ111" s="91"/>
      <c r="CK111" s="91"/>
      <c r="CL111" s="91"/>
      <c r="CM111" s="91"/>
    </row>
    <row r="112" spans="1:91" ht="14.1" customHeight="1" x14ac:dyDescent="0.2">
      <c r="A112" s="133" t="s">
        <v>202</v>
      </c>
      <c r="B112" s="74" t="s">
        <v>131</v>
      </c>
      <c r="C112" s="74"/>
      <c r="D112" s="73" t="s">
        <v>217</v>
      </c>
      <c r="E112" s="92"/>
      <c r="G112" s="156">
        <f>SUM(G113:G119)</f>
        <v>0</v>
      </c>
      <c r="H112" s="156">
        <f t="shared" ref="H112:I112" si="1047">SUM(H113:H119)</f>
        <v>925000</v>
      </c>
      <c r="I112" s="156">
        <f t="shared" si="1047"/>
        <v>0</v>
      </c>
      <c r="J112" s="156">
        <f t="shared" ref="J112:BS112" si="1048">SUM(J113:J119)</f>
        <v>925000</v>
      </c>
      <c r="K112" s="156">
        <f>SUM(K113:K119)</f>
        <v>0</v>
      </c>
      <c r="L112" s="156">
        <f t="shared" ref="L112" si="1049">SUM(L113:L119)</f>
        <v>0</v>
      </c>
      <c r="M112" s="156">
        <f t="shared" ref="M112" si="1050">SUM(M113:M119)</f>
        <v>0</v>
      </c>
      <c r="N112" s="156">
        <f t="shared" ref="N112" si="1051">SUM(N113:N119)</f>
        <v>0</v>
      </c>
      <c r="O112" s="156">
        <f>SUM(O113:O119)</f>
        <v>0</v>
      </c>
      <c r="P112" s="156">
        <f t="shared" ref="P112" si="1052">SUM(P113:P119)</f>
        <v>0</v>
      </c>
      <c r="Q112" s="156">
        <f t="shared" ref="Q112" si="1053">SUM(Q113:Q119)</f>
        <v>0</v>
      </c>
      <c r="R112" s="156">
        <f t="shared" ref="R112" si="1054">SUM(R113:R119)</f>
        <v>0</v>
      </c>
      <c r="S112" s="156">
        <f>SUM(S113:S119)</f>
        <v>0</v>
      </c>
      <c r="T112" s="156">
        <f t="shared" ref="T112" si="1055">SUM(T113:T119)</f>
        <v>0</v>
      </c>
      <c r="U112" s="156">
        <f t="shared" ref="U112" si="1056">SUM(U113:U119)</f>
        <v>0</v>
      </c>
      <c r="V112" s="156">
        <f t="shared" ref="V112" si="1057">SUM(V113:V119)</f>
        <v>0</v>
      </c>
      <c r="W112" s="156">
        <f t="shared" si="1048"/>
        <v>0</v>
      </c>
      <c r="X112" s="156">
        <f t="shared" si="1048"/>
        <v>925000</v>
      </c>
      <c r="Y112" s="156">
        <f t="shared" si="1048"/>
        <v>0</v>
      </c>
      <c r="Z112" s="89">
        <f t="shared" si="1048"/>
        <v>925000</v>
      </c>
      <c r="AA112" s="156">
        <f t="shared" si="1048"/>
        <v>0</v>
      </c>
      <c r="AB112" s="156">
        <f t="shared" si="1048"/>
        <v>27318.799999999999</v>
      </c>
      <c r="AC112" s="156">
        <f t="shared" si="1048"/>
        <v>0</v>
      </c>
      <c r="AD112" s="156">
        <f t="shared" si="1048"/>
        <v>27318.799999999999</v>
      </c>
      <c r="AE112" s="156">
        <f>SUM(AE113:AE119)</f>
        <v>0</v>
      </c>
      <c r="AF112" s="156">
        <f t="shared" ref="AF112:AH112" si="1058">SUM(AF113:AF119)</f>
        <v>70022.740000000005</v>
      </c>
      <c r="AG112" s="156">
        <f t="shared" si="1058"/>
        <v>0</v>
      </c>
      <c r="AH112" s="156">
        <f t="shared" si="1058"/>
        <v>70022.740000000005</v>
      </c>
      <c r="AI112" s="156">
        <f>SUM(AI113:AI119)</f>
        <v>0</v>
      </c>
      <c r="AJ112" s="156">
        <f t="shared" ref="AJ112:AL112" si="1059">SUM(AJ113:AJ119)</f>
        <v>193378.46</v>
      </c>
      <c r="AK112" s="156">
        <f t="shared" si="1059"/>
        <v>0</v>
      </c>
      <c r="AL112" s="156">
        <f t="shared" si="1059"/>
        <v>193378.46</v>
      </c>
      <c r="AM112" s="156">
        <f>SUM(AM113:AM119)</f>
        <v>0</v>
      </c>
      <c r="AN112" s="156">
        <f t="shared" ref="AN112:AP112" si="1060">SUM(AN113:AN119)</f>
        <v>312896.05</v>
      </c>
      <c r="AO112" s="156">
        <f t="shared" si="1060"/>
        <v>0</v>
      </c>
      <c r="AP112" s="156">
        <f t="shared" si="1060"/>
        <v>312896.05</v>
      </c>
      <c r="AQ112" s="156">
        <f t="shared" si="1048"/>
        <v>0</v>
      </c>
      <c r="AR112" s="156">
        <f t="shared" si="1048"/>
        <v>603616.05000000005</v>
      </c>
      <c r="AS112" s="156">
        <f t="shared" si="1048"/>
        <v>0</v>
      </c>
      <c r="AT112" s="89">
        <f t="shared" si="1048"/>
        <v>603616.05000000005</v>
      </c>
      <c r="AU112" s="156">
        <f t="shared" si="1048"/>
        <v>0</v>
      </c>
      <c r="AV112" s="156">
        <f t="shared" si="1048"/>
        <v>27318.799999999999</v>
      </c>
      <c r="AW112" s="156">
        <f t="shared" si="1048"/>
        <v>0</v>
      </c>
      <c r="AX112" s="156">
        <f t="shared" si="1048"/>
        <v>27318.799999999999</v>
      </c>
      <c r="AY112" s="156">
        <f>SUM(AY113:AY119)</f>
        <v>0</v>
      </c>
      <c r="AZ112" s="156">
        <f t="shared" ref="AZ112" si="1061">SUM(AZ113:AZ119)</f>
        <v>70022.740000000005</v>
      </c>
      <c r="BA112" s="156">
        <f t="shared" ref="BA112" si="1062">SUM(BA113:BA119)</f>
        <v>0</v>
      </c>
      <c r="BB112" s="156">
        <f t="shared" ref="BB112" si="1063">SUM(BB113:BB119)</f>
        <v>70022.740000000005</v>
      </c>
      <c r="BC112" s="156">
        <f>SUM(BC113:BC119)</f>
        <v>0</v>
      </c>
      <c r="BD112" s="156">
        <f t="shared" ref="BD112" si="1064">SUM(BD113:BD119)</f>
        <v>179594.87</v>
      </c>
      <c r="BE112" s="156">
        <f t="shared" ref="BE112" si="1065">SUM(BE113:BE119)</f>
        <v>0</v>
      </c>
      <c r="BF112" s="156">
        <f t="shared" ref="BF112" si="1066">SUM(BF113:BF119)</f>
        <v>179594.87</v>
      </c>
      <c r="BG112" s="156">
        <f>SUM(BG113:BG119)</f>
        <v>0</v>
      </c>
      <c r="BH112" s="156">
        <f t="shared" ref="BH112" si="1067">SUM(BH113:BH119)</f>
        <v>228820.56</v>
      </c>
      <c r="BI112" s="156">
        <f t="shared" ref="BI112" si="1068">SUM(BI113:BI119)</f>
        <v>0</v>
      </c>
      <c r="BJ112" s="156">
        <f t="shared" ref="BJ112" si="1069">SUM(BJ113:BJ119)</f>
        <v>228820.56</v>
      </c>
      <c r="BK112" s="156">
        <f t="shared" si="1048"/>
        <v>0</v>
      </c>
      <c r="BL112" s="156">
        <f t="shared" si="1048"/>
        <v>505756.97</v>
      </c>
      <c r="BM112" s="156">
        <f t="shared" si="1048"/>
        <v>0</v>
      </c>
      <c r="BN112" s="156">
        <f t="shared" si="1048"/>
        <v>505756.97</v>
      </c>
      <c r="BO112" s="172">
        <f t="shared" si="1048"/>
        <v>0</v>
      </c>
      <c r="BP112" s="156">
        <f t="shared" si="1048"/>
        <v>0</v>
      </c>
      <c r="BQ112" s="156">
        <f t="shared" si="1048"/>
        <v>321383.95</v>
      </c>
      <c r="BR112" s="156">
        <f t="shared" si="1048"/>
        <v>0</v>
      </c>
      <c r="BS112" s="89">
        <f t="shared" si="1048"/>
        <v>321383.95</v>
      </c>
      <c r="BT112" s="156">
        <f>SUM(BT113:BT119)</f>
        <v>0</v>
      </c>
      <c r="BU112" s="156">
        <f t="shared" ref="BU112" si="1070">SUM(BU113:BU119)</f>
        <v>0</v>
      </c>
      <c r="BV112" s="156">
        <f t="shared" ref="BV112" si="1071">SUM(BV113:BV119)</f>
        <v>0</v>
      </c>
      <c r="BW112" s="156">
        <f t="shared" ref="BW112" si="1072">SUM(BW113:BW119)</f>
        <v>0</v>
      </c>
      <c r="BX112" s="156">
        <f t="shared" ref="BX112:CA112" si="1073">SUM(BX113:BX119)</f>
        <v>0</v>
      </c>
      <c r="BY112" s="156">
        <f t="shared" si="1073"/>
        <v>97859.08</v>
      </c>
      <c r="BZ112" s="156">
        <f t="shared" si="1073"/>
        <v>0</v>
      </c>
      <c r="CA112" s="130">
        <f t="shared" si="1073"/>
        <v>97859.08</v>
      </c>
    </row>
    <row r="113" spans="1:91" s="90" customFormat="1" ht="14.1" customHeight="1" x14ac:dyDescent="0.2">
      <c r="A113" s="127" t="s">
        <v>203</v>
      </c>
      <c r="B113" s="568"/>
      <c r="C113" s="78">
        <v>1</v>
      </c>
      <c r="D113" s="69" t="s">
        <v>617</v>
      </c>
      <c r="E113" s="75"/>
      <c r="G113" s="159"/>
      <c r="H113" s="159">
        <v>250000</v>
      </c>
      <c r="I113" s="159"/>
      <c r="J113" s="159">
        <f t="shared" si="691"/>
        <v>250000</v>
      </c>
      <c r="K113" s="159"/>
      <c r="L113" s="159"/>
      <c r="M113" s="159"/>
      <c r="N113" s="159">
        <f t="shared" ref="N113:N119" si="1074">SUM(K113:M113)</f>
        <v>0</v>
      </c>
      <c r="O113" s="159"/>
      <c r="P113" s="159"/>
      <c r="Q113" s="159"/>
      <c r="R113" s="159">
        <f t="shared" ref="R113:R119" si="1075">SUM(O113:Q113)</f>
        <v>0</v>
      </c>
      <c r="S113" s="159"/>
      <c r="T113" s="159"/>
      <c r="U113" s="159"/>
      <c r="V113" s="159">
        <f t="shared" ref="V113:V119" si="1076">SUM(S113:U113)</f>
        <v>0</v>
      </c>
      <c r="W113" s="159">
        <f t="shared" ref="W113:W119" si="1077">G113-O113+S113+K113</f>
        <v>0</v>
      </c>
      <c r="X113" s="159">
        <f t="shared" ref="X113:Y119" si="1078">H113-P113+T113+L113</f>
        <v>250000</v>
      </c>
      <c r="Y113" s="159">
        <f t="shared" si="1078"/>
        <v>0</v>
      </c>
      <c r="Z113" s="588">
        <f t="shared" ref="Z113:Z119" si="1079">SUM(W113:Y113)</f>
        <v>250000</v>
      </c>
      <c r="AA113" s="159"/>
      <c r="AB113" s="159">
        <f>4500+4045.3+1000+4926.5+1000</f>
        <v>15471.8</v>
      </c>
      <c r="AC113" s="159"/>
      <c r="AD113" s="159">
        <f t="shared" ref="AD113:AD119" si="1080">SUM(AA113:AC113)</f>
        <v>15471.8</v>
      </c>
      <c r="AE113" s="159"/>
      <c r="AF113" s="159">
        <f>20872.74+1000+5400+4500</f>
        <v>31772.74</v>
      </c>
      <c r="AG113" s="159"/>
      <c r="AH113" s="159">
        <f t="shared" ref="AH113:AH119" si="1081">SUM(AE113:AG113)</f>
        <v>31772.74</v>
      </c>
      <c r="AI113" s="159"/>
      <c r="AJ113" s="159">
        <f>26121.25+2700+794.21+1400</f>
        <v>31015.46</v>
      </c>
      <c r="AK113" s="159"/>
      <c r="AL113" s="159">
        <f t="shared" ref="AL113:AL119" si="1082">SUM(AI113:AK113)</f>
        <v>31015.46</v>
      </c>
      <c r="AM113" s="159"/>
      <c r="AN113" s="159">
        <f>2884.67+475.33+7000+64176+8700+7000</f>
        <v>90236</v>
      </c>
      <c r="AO113" s="159"/>
      <c r="AP113" s="159">
        <f t="shared" ref="AP113:AP119" si="1083">SUM(AM113:AO113)</f>
        <v>90236</v>
      </c>
      <c r="AQ113" s="159">
        <f t="shared" ref="AQ113:AS119" si="1084">AA113+AE113+AI113+AM113</f>
        <v>0</v>
      </c>
      <c r="AR113" s="159">
        <f t="shared" si="1084"/>
        <v>168496</v>
      </c>
      <c r="AS113" s="159">
        <f t="shared" si="1084"/>
        <v>0</v>
      </c>
      <c r="AT113" s="588">
        <f t="shared" ref="AT113:AT119" si="1085">SUM(AQ113:AS113)</f>
        <v>168496</v>
      </c>
      <c r="AU113" s="159"/>
      <c r="AV113" s="159">
        <f>4500+4045.3+1000+4926.5+1000</f>
        <v>15471.8</v>
      </c>
      <c r="AW113" s="159"/>
      <c r="AX113" s="159">
        <f t="shared" ref="AX113:AX119" si="1086">SUM(AU113:AW113)</f>
        <v>15471.8</v>
      </c>
      <c r="AY113" s="159"/>
      <c r="AZ113" s="159">
        <f>20672.74+200+5200+1000+4500+200</f>
        <v>31772.74</v>
      </c>
      <c r="BA113" s="159"/>
      <c r="BB113" s="159">
        <f t="shared" ref="BB113:BB119" si="1087">SUM(AY113:BA113)</f>
        <v>31772.74</v>
      </c>
      <c r="BC113" s="159"/>
      <c r="BD113" s="159">
        <f>26121.25+2700+794.21+1400</f>
        <v>31015.46</v>
      </c>
      <c r="BE113" s="159"/>
      <c r="BF113" s="159">
        <f t="shared" ref="BF113:BF119" si="1088">SUM(BC113:BE113)</f>
        <v>31015.46</v>
      </c>
      <c r="BG113" s="159"/>
      <c r="BH113" s="159">
        <f>2760+124.67+475.33+7000+64176+8700</f>
        <v>83236</v>
      </c>
      <c r="BI113" s="159"/>
      <c r="BJ113" s="159">
        <f t="shared" ref="BJ113:BJ119" si="1089">SUM(BG113:BI113)</f>
        <v>83236</v>
      </c>
      <c r="BK113" s="159">
        <f t="shared" ref="BK113:BM119" si="1090">AU113+AY113+BC113+BG113</f>
        <v>0</v>
      </c>
      <c r="BL113" s="159">
        <f t="shared" si="1090"/>
        <v>161496</v>
      </c>
      <c r="BM113" s="159">
        <f t="shared" si="1090"/>
        <v>0</v>
      </c>
      <c r="BN113" s="159">
        <f t="shared" ref="BN113:BN119" si="1091">SUM(BK113:BM113)</f>
        <v>161496</v>
      </c>
      <c r="BO113" s="588"/>
      <c r="BP113" s="159">
        <f t="shared" ref="BP113:BR119" si="1092">W113-AQ113</f>
        <v>0</v>
      </c>
      <c r="BQ113" s="159">
        <f t="shared" si="1092"/>
        <v>81504</v>
      </c>
      <c r="BR113" s="159">
        <f t="shared" si="1092"/>
        <v>0</v>
      </c>
      <c r="BS113" s="588">
        <f t="shared" ref="BS113:BS119" si="1093">SUM(BP113:BR113)</f>
        <v>81504</v>
      </c>
      <c r="BT113" s="159"/>
      <c r="BU113" s="159"/>
      <c r="BV113" s="159"/>
      <c r="BW113" s="159">
        <f t="shared" ref="BW113:BW119" si="1094">SUM(BT113:BV113)</f>
        <v>0</v>
      </c>
      <c r="BX113" s="159">
        <f t="shared" si="687"/>
        <v>0</v>
      </c>
      <c r="BY113" s="159">
        <f t="shared" si="688"/>
        <v>7000</v>
      </c>
      <c r="BZ113" s="159">
        <f t="shared" si="689"/>
        <v>0</v>
      </c>
      <c r="CA113" s="583">
        <f t="shared" si="690"/>
        <v>7000</v>
      </c>
      <c r="CB113" s="91"/>
      <c r="CC113" s="91"/>
      <c r="CD113" s="91"/>
      <c r="CE113" s="91"/>
      <c r="CF113" s="91"/>
      <c r="CG113" s="91"/>
      <c r="CH113" s="91"/>
      <c r="CI113" s="91"/>
      <c r="CJ113" s="91"/>
      <c r="CK113" s="91"/>
      <c r="CL113" s="91"/>
      <c r="CM113" s="91"/>
    </row>
    <row r="114" spans="1:91" s="90" customFormat="1" ht="14.1" customHeight="1" x14ac:dyDescent="0.2">
      <c r="A114" s="127" t="s">
        <v>204</v>
      </c>
      <c r="B114" s="568"/>
      <c r="C114" s="78">
        <v>2</v>
      </c>
      <c r="D114" s="69" t="s">
        <v>618</v>
      </c>
      <c r="E114" s="75"/>
      <c r="G114" s="159"/>
      <c r="H114" s="159">
        <v>150000</v>
      </c>
      <c r="I114" s="159"/>
      <c r="J114" s="159">
        <f t="shared" si="691"/>
        <v>150000</v>
      </c>
      <c r="K114" s="159"/>
      <c r="L114" s="159"/>
      <c r="M114" s="159"/>
      <c r="N114" s="159">
        <f t="shared" si="1074"/>
        <v>0</v>
      </c>
      <c r="O114" s="159"/>
      <c r="P114" s="159"/>
      <c r="Q114" s="159"/>
      <c r="R114" s="159">
        <f t="shared" si="1075"/>
        <v>0</v>
      </c>
      <c r="S114" s="159"/>
      <c r="T114" s="159"/>
      <c r="U114" s="159"/>
      <c r="V114" s="159">
        <f t="shared" si="1076"/>
        <v>0</v>
      </c>
      <c r="W114" s="159">
        <f t="shared" si="1077"/>
        <v>0</v>
      </c>
      <c r="X114" s="159">
        <f t="shared" si="1078"/>
        <v>150000</v>
      </c>
      <c r="Y114" s="159">
        <f t="shared" si="1078"/>
        <v>0</v>
      </c>
      <c r="Z114" s="588">
        <f t="shared" si="1079"/>
        <v>150000</v>
      </c>
      <c r="AA114" s="159"/>
      <c r="AB114" s="159">
        <f>3046+2971+3194+2636</f>
        <v>11847</v>
      </c>
      <c r="AC114" s="159"/>
      <c r="AD114" s="159">
        <f t="shared" si="1080"/>
        <v>11847</v>
      </c>
      <c r="AE114" s="159"/>
      <c r="AF114" s="159">
        <f>5355.5+21375</f>
        <v>26730.5</v>
      </c>
      <c r="AG114" s="159"/>
      <c r="AH114" s="159">
        <f t="shared" si="1081"/>
        <v>26730.5</v>
      </c>
      <c r="AI114" s="159"/>
      <c r="AJ114" s="159">
        <f>12802.5+2040</f>
        <v>14842.5</v>
      </c>
      <c r="AK114" s="159"/>
      <c r="AL114" s="159">
        <f t="shared" si="1082"/>
        <v>14842.5</v>
      </c>
      <c r="AM114" s="159"/>
      <c r="AN114" s="159">
        <f>10412.2+567.8+300+3500+32096+3500</f>
        <v>50376</v>
      </c>
      <c r="AO114" s="159"/>
      <c r="AP114" s="159">
        <f t="shared" si="1083"/>
        <v>50376</v>
      </c>
      <c r="AQ114" s="159">
        <f t="shared" si="1084"/>
        <v>0</v>
      </c>
      <c r="AR114" s="159">
        <f t="shared" si="1084"/>
        <v>103796</v>
      </c>
      <c r="AS114" s="159">
        <f t="shared" si="1084"/>
        <v>0</v>
      </c>
      <c r="AT114" s="588">
        <f t="shared" si="1085"/>
        <v>103796</v>
      </c>
      <c r="AU114" s="159"/>
      <c r="AV114" s="159">
        <f>3046+2971+3194+2636</f>
        <v>11847</v>
      </c>
      <c r="AW114" s="159"/>
      <c r="AX114" s="159">
        <f t="shared" si="1086"/>
        <v>11847</v>
      </c>
      <c r="AY114" s="159"/>
      <c r="AZ114" s="159">
        <f>5355.5+21375</f>
        <v>26730.5</v>
      </c>
      <c r="BA114" s="159"/>
      <c r="BB114" s="159">
        <f t="shared" si="1087"/>
        <v>26730.5</v>
      </c>
      <c r="BC114" s="159"/>
      <c r="BD114" s="159">
        <f>12802.5+2040</f>
        <v>14842.5</v>
      </c>
      <c r="BE114" s="159"/>
      <c r="BF114" s="159">
        <f t="shared" si="1088"/>
        <v>14842.5</v>
      </c>
      <c r="BG114" s="159"/>
      <c r="BH114" s="159">
        <f>10412.2+567.8+300+3500+32096</f>
        <v>46876</v>
      </c>
      <c r="BI114" s="159"/>
      <c r="BJ114" s="159">
        <f t="shared" si="1089"/>
        <v>46876</v>
      </c>
      <c r="BK114" s="159">
        <f t="shared" si="1090"/>
        <v>0</v>
      </c>
      <c r="BL114" s="159">
        <f t="shared" si="1090"/>
        <v>100296</v>
      </c>
      <c r="BM114" s="159">
        <f t="shared" si="1090"/>
        <v>0</v>
      </c>
      <c r="BN114" s="159">
        <f t="shared" si="1091"/>
        <v>100296</v>
      </c>
      <c r="BO114" s="588"/>
      <c r="BP114" s="159">
        <f t="shared" si="1092"/>
        <v>0</v>
      </c>
      <c r="BQ114" s="159">
        <f t="shared" si="1092"/>
        <v>46204</v>
      </c>
      <c r="BR114" s="159">
        <f t="shared" si="1092"/>
        <v>0</v>
      </c>
      <c r="BS114" s="588">
        <f t="shared" si="1093"/>
        <v>46204</v>
      </c>
      <c r="BT114" s="159"/>
      <c r="BU114" s="159"/>
      <c r="BV114" s="159"/>
      <c r="BW114" s="159">
        <f t="shared" si="1094"/>
        <v>0</v>
      </c>
      <c r="BX114" s="159">
        <f t="shared" si="687"/>
        <v>0</v>
      </c>
      <c r="BY114" s="159">
        <f t="shared" si="688"/>
        <v>3500</v>
      </c>
      <c r="BZ114" s="159">
        <f t="shared" si="689"/>
        <v>0</v>
      </c>
      <c r="CA114" s="583">
        <f t="shared" si="690"/>
        <v>3500</v>
      </c>
      <c r="CB114" s="91"/>
      <c r="CC114" s="91"/>
      <c r="CD114" s="91"/>
      <c r="CE114" s="91"/>
      <c r="CF114" s="91"/>
      <c r="CG114" s="91"/>
      <c r="CH114" s="91"/>
      <c r="CI114" s="91"/>
      <c r="CJ114" s="91"/>
      <c r="CK114" s="91"/>
      <c r="CL114" s="91"/>
      <c r="CM114" s="91"/>
    </row>
    <row r="115" spans="1:91" s="90" customFormat="1" ht="14.1" customHeight="1" x14ac:dyDescent="0.2">
      <c r="A115" s="127" t="s">
        <v>205</v>
      </c>
      <c r="B115" s="568"/>
      <c r="C115" s="78">
        <v>3</v>
      </c>
      <c r="D115" s="69" t="s">
        <v>619</v>
      </c>
      <c r="E115" s="75"/>
      <c r="G115" s="159"/>
      <c r="H115" s="159">
        <v>25000</v>
      </c>
      <c r="I115" s="159"/>
      <c r="J115" s="159">
        <f t="shared" si="691"/>
        <v>25000</v>
      </c>
      <c r="K115" s="159"/>
      <c r="L115" s="159"/>
      <c r="M115" s="159"/>
      <c r="N115" s="159">
        <f t="shared" si="1074"/>
        <v>0</v>
      </c>
      <c r="O115" s="159"/>
      <c r="P115" s="159"/>
      <c r="Q115" s="159"/>
      <c r="R115" s="159">
        <f t="shared" si="1075"/>
        <v>0</v>
      </c>
      <c r="S115" s="159"/>
      <c r="T115" s="159"/>
      <c r="U115" s="159"/>
      <c r="V115" s="159">
        <f t="shared" si="1076"/>
        <v>0</v>
      </c>
      <c r="W115" s="159">
        <f t="shared" si="1077"/>
        <v>0</v>
      </c>
      <c r="X115" s="159">
        <f t="shared" si="1078"/>
        <v>25000</v>
      </c>
      <c r="Y115" s="159">
        <f t="shared" si="1078"/>
        <v>0</v>
      </c>
      <c r="Z115" s="588">
        <f t="shared" si="1079"/>
        <v>25000</v>
      </c>
      <c r="AA115" s="159"/>
      <c r="AB115" s="159"/>
      <c r="AC115" s="159"/>
      <c r="AD115" s="159">
        <f t="shared" si="1080"/>
        <v>0</v>
      </c>
      <c r="AE115" s="159"/>
      <c r="AF115" s="159">
        <f>11519.5</f>
        <v>11519.5</v>
      </c>
      <c r="AG115" s="159"/>
      <c r="AH115" s="159">
        <f t="shared" si="1081"/>
        <v>11519.5</v>
      </c>
      <c r="AI115" s="159"/>
      <c r="AJ115" s="159">
        <v>8580.5</v>
      </c>
      <c r="AK115" s="159"/>
      <c r="AL115" s="159">
        <f t="shared" si="1082"/>
        <v>8580.5</v>
      </c>
      <c r="AM115" s="159"/>
      <c r="AN115" s="159">
        <f>4800-264.62</f>
        <v>4535.38</v>
      </c>
      <c r="AO115" s="159"/>
      <c r="AP115" s="159">
        <f t="shared" si="1083"/>
        <v>4535.38</v>
      </c>
      <c r="AQ115" s="159">
        <f t="shared" si="1084"/>
        <v>0</v>
      </c>
      <c r="AR115" s="159">
        <f t="shared" si="1084"/>
        <v>24635.38</v>
      </c>
      <c r="AS115" s="159">
        <f t="shared" si="1084"/>
        <v>0</v>
      </c>
      <c r="AT115" s="588">
        <f t="shared" si="1085"/>
        <v>24635.38</v>
      </c>
      <c r="AU115" s="159"/>
      <c r="AV115" s="159"/>
      <c r="AW115" s="159"/>
      <c r="AX115" s="159">
        <f t="shared" si="1086"/>
        <v>0</v>
      </c>
      <c r="AY115" s="159"/>
      <c r="AZ115" s="159">
        <v>11519.5</v>
      </c>
      <c r="BA115" s="159"/>
      <c r="BB115" s="159">
        <f t="shared" si="1087"/>
        <v>11519.5</v>
      </c>
      <c r="BC115" s="159"/>
      <c r="BD115" s="159">
        <v>8580.5</v>
      </c>
      <c r="BE115" s="159"/>
      <c r="BF115" s="159">
        <f t="shared" si="1088"/>
        <v>8580.5</v>
      </c>
      <c r="BG115" s="159"/>
      <c r="BH115" s="159">
        <f>4535.38+264.62-264.62</f>
        <v>4535.38</v>
      </c>
      <c r="BI115" s="159"/>
      <c r="BJ115" s="159">
        <f t="shared" si="1089"/>
        <v>4535.38</v>
      </c>
      <c r="BK115" s="159">
        <f t="shared" si="1090"/>
        <v>0</v>
      </c>
      <c r="BL115" s="159">
        <f t="shared" si="1090"/>
        <v>24635.38</v>
      </c>
      <c r="BM115" s="159">
        <f t="shared" si="1090"/>
        <v>0</v>
      </c>
      <c r="BN115" s="159">
        <f t="shared" si="1091"/>
        <v>24635.38</v>
      </c>
      <c r="BO115" s="588"/>
      <c r="BP115" s="159">
        <f t="shared" si="1092"/>
        <v>0</v>
      </c>
      <c r="BQ115" s="159">
        <f t="shared" si="1092"/>
        <v>364.61999999999898</v>
      </c>
      <c r="BR115" s="159">
        <f t="shared" si="1092"/>
        <v>0</v>
      </c>
      <c r="BS115" s="588">
        <f t="shared" si="1093"/>
        <v>364.61999999999898</v>
      </c>
      <c r="BT115" s="159"/>
      <c r="BU115" s="159"/>
      <c r="BV115" s="159"/>
      <c r="BW115" s="159">
        <f t="shared" si="1094"/>
        <v>0</v>
      </c>
      <c r="BX115" s="159">
        <f t="shared" si="687"/>
        <v>0</v>
      </c>
      <c r="BY115" s="159">
        <f t="shared" si="688"/>
        <v>0</v>
      </c>
      <c r="BZ115" s="159">
        <f t="shared" si="689"/>
        <v>0</v>
      </c>
      <c r="CA115" s="583">
        <f t="shared" si="690"/>
        <v>0</v>
      </c>
      <c r="CB115" s="91"/>
      <c r="CC115" s="91"/>
      <c r="CD115" s="91"/>
      <c r="CE115" s="91"/>
      <c r="CF115" s="91"/>
      <c r="CG115" s="91"/>
      <c r="CH115" s="91"/>
      <c r="CI115" s="91"/>
      <c r="CJ115" s="91"/>
      <c r="CK115" s="91"/>
      <c r="CL115" s="91"/>
      <c r="CM115" s="91"/>
    </row>
    <row r="116" spans="1:91" s="90" customFormat="1" ht="14.1" customHeight="1" x14ac:dyDescent="0.2">
      <c r="A116" s="127" t="s">
        <v>206</v>
      </c>
      <c r="B116" s="568"/>
      <c r="C116" s="78">
        <v>4</v>
      </c>
      <c r="D116" s="69" t="s">
        <v>620</v>
      </c>
      <c r="E116" s="75"/>
      <c r="G116" s="159"/>
      <c r="H116" s="159">
        <v>125000</v>
      </c>
      <c r="I116" s="159"/>
      <c r="J116" s="159">
        <f t="shared" si="691"/>
        <v>125000</v>
      </c>
      <c r="K116" s="159"/>
      <c r="L116" s="159"/>
      <c r="M116" s="159"/>
      <c r="N116" s="159">
        <f t="shared" si="1074"/>
        <v>0</v>
      </c>
      <c r="O116" s="159"/>
      <c r="P116" s="159"/>
      <c r="Q116" s="159"/>
      <c r="R116" s="159">
        <f t="shared" si="1075"/>
        <v>0</v>
      </c>
      <c r="S116" s="159"/>
      <c r="T116" s="159"/>
      <c r="U116" s="159"/>
      <c r="V116" s="159">
        <f t="shared" si="1076"/>
        <v>0</v>
      </c>
      <c r="W116" s="159">
        <f t="shared" si="1077"/>
        <v>0</v>
      </c>
      <c r="X116" s="159">
        <f t="shared" si="1078"/>
        <v>125000</v>
      </c>
      <c r="Y116" s="159">
        <f t="shared" si="1078"/>
        <v>0</v>
      </c>
      <c r="Z116" s="588">
        <f t="shared" si="1079"/>
        <v>125000</v>
      </c>
      <c r="AA116" s="159"/>
      <c r="AB116" s="159"/>
      <c r="AC116" s="159"/>
      <c r="AD116" s="159">
        <f t="shared" si="1080"/>
        <v>0</v>
      </c>
      <c r="AE116" s="159"/>
      <c r="AF116" s="159"/>
      <c r="AG116" s="159"/>
      <c r="AH116" s="159">
        <f t="shared" si="1081"/>
        <v>0</v>
      </c>
      <c r="AI116" s="159"/>
      <c r="AJ116" s="159">
        <f>27817.08+1605.79+4857.13+1040+1000</f>
        <v>36320</v>
      </c>
      <c r="AK116" s="159"/>
      <c r="AL116" s="159">
        <f t="shared" si="1082"/>
        <v>36320</v>
      </c>
      <c r="AM116" s="159"/>
      <c r="AN116" s="159">
        <f>1280+300+3500+32096+3500</f>
        <v>40676</v>
      </c>
      <c r="AO116" s="159"/>
      <c r="AP116" s="159">
        <f t="shared" si="1083"/>
        <v>40676</v>
      </c>
      <c r="AQ116" s="159">
        <f t="shared" si="1084"/>
        <v>0</v>
      </c>
      <c r="AR116" s="159">
        <f t="shared" si="1084"/>
        <v>76996</v>
      </c>
      <c r="AS116" s="159">
        <f t="shared" si="1084"/>
        <v>0</v>
      </c>
      <c r="AT116" s="588">
        <f t="shared" si="1085"/>
        <v>76996</v>
      </c>
      <c r="AU116" s="159"/>
      <c r="AV116" s="159"/>
      <c r="AW116" s="159"/>
      <c r="AX116" s="159">
        <f t="shared" si="1086"/>
        <v>0</v>
      </c>
      <c r="AY116" s="159"/>
      <c r="AZ116" s="159"/>
      <c r="BA116" s="159"/>
      <c r="BB116" s="159">
        <f t="shared" si="1087"/>
        <v>0</v>
      </c>
      <c r="BC116" s="159"/>
      <c r="BD116" s="159">
        <f>27817.08+1405.79+4857.13+1040+1000+200</f>
        <v>36320</v>
      </c>
      <c r="BE116" s="159"/>
      <c r="BF116" s="159">
        <f t="shared" si="1088"/>
        <v>36320</v>
      </c>
      <c r="BG116" s="159"/>
      <c r="BH116" s="159">
        <f>1280+300+3500+32096</f>
        <v>37176</v>
      </c>
      <c r="BI116" s="159"/>
      <c r="BJ116" s="159">
        <f t="shared" si="1089"/>
        <v>37176</v>
      </c>
      <c r="BK116" s="159">
        <f t="shared" si="1090"/>
        <v>0</v>
      </c>
      <c r="BL116" s="159">
        <f t="shared" si="1090"/>
        <v>73496</v>
      </c>
      <c r="BM116" s="159">
        <f t="shared" si="1090"/>
        <v>0</v>
      </c>
      <c r="BN116" s="159">
        <f t="shared" si="1091"/>
        <v>73496</v>
      </c>
      <c r="BO116" s="588"/>
      <c r="BP116" s="159">
        <f t="shared" si="1092"/>
        <v>0</v>
      </c>
      <c r="BQ116" s="159">
        <f t="shared" si="1092"/>
        <v>48004</v>
      </c>
      <c r="BR116" s="159">
        <f t="shared" si="1092"/>
        <v>0</v>
      </c>
      <c r="BS116" s="588">
        <f t="shared" si="1093"/>
        <v>48004</v>
      </c>
      <c r="BT116" s="159"/>
      <c r="BU116" s="159"/>
      <c r="BV116" s="159"/>
      <c r="BW116" s="159">
        <f t="shared" si="1094"/>
        <v>0</v>
      </c>
      <c r="BX116" s="159">
        <f t="shared" si="687"/>
        <v>0</v>
      </c>
      <c r="BY116" s="159">
        <f t="shared" si="688"/>
        <v>3500</v>
      </c>
      <c r="BZ116" s="159">
        <f t="shared" si="689"/>
        <v>0</v>
      </c>
      <c r="CA116" s="583">
        <f t="shared" si="690"/>
        <v>3500</v>
      </c>
      <c r="CB116" s="91"/>
      <c r="CC116" s="91"/>
      <c r="CD116" s="91"/>
      <c r="CE116" s="91"/>
      <c r="CF116" s="91"/>
      <c r="CG116" s="91"/>
      <c r="CH116" s="91"/>
      <c r="CI116" s="91"/>
      <c r="CJ116" s="91"/>
      <c r="CK116" s="91"/>
      <c r="CL116" s="91"/>
      <c r="CM116" s="91"/>
    </row>
    <row r="117" spans="1:91" s="90" customFormat="1" ht="14.1" customHeight="1" x14ac:dyDescent="0.2">
      <c r="A117" s="127" t="s">
        <v>621</v>
      </c>
      <c r="B117" s="568"/>
      <c r="C117" s="78">
        <v>5</v>
      </c>
      <c r="D117" s="69" t="s">
        <v>622</v>
      </c>
      <c r="E117" s="75"/>
      <c r="G117" s="159"/>
      <c r="H117" s="159">
        <v>125000</v>
      </c>
      <c r="I117" s="159"/>
      <c r="J117" s="159">
        <f t="shared" si="691"/>
        <v>125000</v>
      </c>
      <c r="K117" s="159"/>
      <c r="L117" s="159"/>
      <c r="M117" s="159"/>
      <c r="N117" s="159">
        <f t="shared" si="1074"/>
        <v>0</v>
      </c>
      <c r="O117" s="159"/>
      <c r="P117" s="159"/>
      <c r="Q117" s="159"/>
      <c r="R117" s="159">
        <f t="shared" si="1075"/>
        <v>0</v>
      </c>
      <c r="S117" s="159"/>
      <c r="T117" s="159"/>
      <c r="U117" s="159"/>
      <c r="V117" s="159">
        <f t="shared" si="1076"/>
        <v>0</v>
      </c>
      <c r="W117" s="159">
        <f t="shared" si="1077"/>
        <v>0</v>
      </c>
      <c r="X117" s="159">
        <f t="shared" si="1078"/>
        <v>125000</v>
      </c>
      <c r="Y117" s="159">
        <f t="shared" si="1078"/>
        <v>0</v>
      </c>
      <c r="Z117" s="588">
        <f t="shared" si="1079"/>
        <v>125000</v>
      </c>
      <c r="AA117" s="159"/>
      <c r="AB117" s="159"/>
      <c r="AC117" s="159"/>
      <c r="AD117" s="159">
        <f t="shared" si="1080"/>
        <v>0</v>
      </c>
      <c r="AE117" s="159"/>
      <c r="AF117" s="159"/>
      <c r="AG117" s="159"/>
      <c r="AH117" s="159">
        <f t="shared" si="1081"/>
        <v>0</v>
      </c>
      <c r="AI117" s="159"/>
      <c r="AJ117" s="159">
        <f>1200+16437.68+180+5393.75+11248.57</f>
        <v>34460</v>
      </c>
      <c r="AK117" s="159"/>
      <c r="AL117" s="159">
        <f t="shared" si="1082"/>
        <v>34460</v>
      </c>
      <c r="AM117" s="159"/>
      <c r="AN117" s="159">
        <f>1860+1280+4.67+3500+22928.92+3500+9167.08</f>
        <v>42240.67</v>
      </c>
      <c r="AO117" s="159"/>
      <c r="AP117" s="159">
        <f t="shared" si="1083"/>
        <v>42240.67</v>
      </c>
      <c r="AQ117" s="159">
        <f t="shared" si="1084"/>
        <v>0</v>
      </c>
      <c r="AR117" s="159">
        <f t="shared" si="1084"/>
        <v>76700.67</v>
      </c>
      <c r="AS117" s="159">
        <f t="shared" si="1084"/>
        <v>0</v>
      </c>
      <c r="AT117" s="588">
        <f t="shared" si="1085"/>
        <v>76700.67</v>
      </c>
      <c r="AU117" s="159"/>
      <c r="AV117" s="159"/>
      <c r="AW117" s="159"/>
      <c r="AX117" s="159">
        <f t="shared" si="1086"/>
        <v>0</v>
      </c>
      <c r="AY117" s="159"/>
      <c r="AZ117" s="159"/>
      <c r="BA117" s="159"/>
      <c r="BB117" s="159">
        <f t="shared" si="1087"/>
        <v>0</v>
      </c>
      <c r="BC117" s="159"/>
      <c r="BD117" s="159">
        <f>1200+16437.68+180+5393.75</f>
        <v>23211.43</v>
      </c>
      <c r="BE117" s="159"/>
      <c r="BF117" s="159">
        <f t="shared" si="1088"/>
        <v>23211.43</v>
      </c>
      <c r="BG117" s="159"/>
      <c r="BH117" s="159">
        <f>13108.57+1280+4.67+3500+22928.92</f>
        <v>40822.159999999996</v>
      </c>
      <c r="BI117" s="159"/>
      <c r="BJ117" s="159">
        <f t="shared" si="1089"/>
        <v>40822.159999999996</v>
      </c>
      <c r="BK117" s="159">
        <f t="shared" si="1090"/>
        <v>0</v>
      </c>
      <c r="BL117" s="159">
        <f t="shared" si="1090"/>
        <v>64033.59</v>
      </c>
      <c r="BM117" s="159">
        <f t="shared" si="1090"/>
        <v>0</v>
      </c>
      <c r="BN117" s="159">
        <f t="shared" si="1091"/>
        <v>64033.59</v>
      </c>
      <c r="BO117" s="588"/>
      <c r="BP117" s="159">
        <f t="shared" si="1092"/>
        <v>0</v>
      </c>
      <c r="BQ117" s="159">
        <f t="shared" si="1092"/>
        <v>48299.33</v>
      </c>
      <c r="BR117" s="159">
        <f t="shared" si="1092"/>
        <v>0</v>
      </c>
      <c r="BS117" s="588">
        <f t="shared" si="1093"/>
        <v>48299.33</v>
      </c>
      <c r="BT117" s="159"/>
      <c r="BU117" s="159"/>
      <c r="BV117" s="159"/>
      <c r="BW117" s="159">
        <f t="shared" si="1094"/>
        <v>0</v>
      </c>
      <c r="BX117" s="159">
        <f t="shared" si="687"/>
        <v>0</v>
      </c>
      <c r="BY117" s="159">
        <f t="shared" si="688"/>
        <v>12667.080000000002</v>
      </c>
      <c r="BZ117" s="159">
        <f t="shared" si="689"/>
        <v>0</v>
      </c>
      <c r="CA117" s="583">
        <f t="shared" si="690"/>
        <v>12667.080000000002</v>
      </c>
      <c r="CB117" s="91"/>
      <c r="CC117" s="91"/>
      <c r="CD117" s="91"/>
      <c r="CE117" s="91"/>
      <c r="CF117" s="91"/>
      <c r="CG117" s="91"/>
      <c r="CH117" s="91"/>
      <c r="CI117" s="91"/>
      <c r="CJ117" s="91"/>
      <c r="CK117" s="91"/>
      <c r="CL117" s="91"/>
      <c r="CM117" s="91"/>
    </row>
    <row r="118" spans="1:91" s="90" customFormat="1" ht="14.1" customHeight="1" x14ac:dyDescent="0.2">
      <c r="A118" s="127" t="s">
        <v>623</v>
      </c>
      <c r="B118" s="568"/>
      <c r="C118" s="78">
        <v>6</v>
      </c>
      <c r="D118" s="69" t="s">
        <v>624</v>
      </c>
      <c r="E118" s="75"/>
      <c r="G118" s="159"/>
      <c r="H118" s="159">
        <v>125000</v>
      </c>
      <c r="I118" s="159"/>
      <c r="J118" s="159">
        <f t="shared" si="691"/>
        <v>125000</v>
      </c>
      <c r="K118" s="159"/>
      <c r="L118" s="159"/>
      <c r="M118" s="159"/>
      <c r="N118" s="159">
        <f t="shared" si="1074"/>
        <v>0</v>
      </c>
      <c r="O118" s="159"/>
      <c r="P118" s="159"/>
      <c r="Q118" s="159"/>
      <c r="R118" s="159">
        <f t="shared" si="1075"/>
        <v>0</v>
      </c>
      <c r="S118" s="159"/>
      <c r="T118" s="159"/>
      <c r="U118" s="159"/>
      <c r="V118" s="159">
        <f t="shared" si="1076"/>
        <v>0</v>
      </c>
      <c r="W118" s="159">
        <f t="shared" si="1077"/>
        <v>0</v>
      </c>
      <c r="X118" s="159">
        <f t="shared" si="1078"/>
        <v>125000</v>
      </c>
      <c r="Y118" s="159">
        <f t="shared" si="1078"/>
        <v>0</v>
      </c>
      <c r="Z118" s="588">
        <f t="shared" si="1079"/>
        <v>125000</v>
      </c>
      <c r="AA118" s="159"/>
      <c r="AB118" s="159"/>
      <c r="AC118" s="159"/>
      <c r="AD118" s="159">
        <f t="shared" si="1080"/>
        <v>0</v>
      </c>
      <c r="AE118" s="159"/>
      <c r="AF118" s="159"/>
      <c r="AG118" s="159"/>
      <c r="AH118" s="159">
        <f t="shared" si="1081"/>
        <v>0</v>
      </c>
      <c r="AI118" s="159"/>
      <c r="AJ118" s="159">
        <f>18454.98+15625.02</f>
        <v>34080</v>
      </c>
      <c r="AK118" s="159"/>
      <c r="AL118" s="159">
        <f t="shared" si="1082"/>
        <v>34080</v>
      </c>
      <c r="AM118" s="159"/>
      <c r="AN118" s="159">
        <f>2040+1280+3500+3500+32096</f>
        <v>42416</v>
      </c>
      <c r="AO118" s="159"/>
      <c r="AP118" s="159">
        <f t="shared" si="1083"/>
        <v>42416</v>
      </c>
      <c r="AQ118" s="159">
        <f t="shared" si="1084"/>
        <v>0</v>
      </c>
      <c r="AR118" s="159">
        <f t="shared" si="1084"/>
        <v>76496</v>
      </c>
      <c r="AS118" s="159">
        <f t="shared" si="1084"/>
        <v>0</v>
      </c>
      <c r="AT118" s="588">
        <f t="shared" si="1085"/>
        <v>76496</v>
      </c>
      <c r="AU118" s="159"/>
      <c r="AV118" s="159"/>
      <c r="AW118" s="159"/>
      <c r="AX118" s="159">
        <f t="shared" si="1086"/>
        <v>0</v>
      </c>
      <c r="AY118" s="159"/>
      <c r="AZ118" s="159"/>
      <c r="BA118" s="159"/>
      <c r="BB118" s="159">
        <f t="shared" si="1087"/>
        <v>0</v>
      </c>
      <c r="BC118" s="159"/>
      <c r="BD118" s="159">
        <f>18454.98+15625.02</f>
        <v>34080</v>
      </c>
      <c r="BE118" s="159"/>
      <c r="BF118" s="159">
        <f t="shared" si="1088"/>
        <v>34080</v>
      </c>
      <c r="BG118" s="159"/>
      <c r="BH118" s="159">
        <f>2040+1280+3500</f>
        <v>6820</v>
      </c>
      <c r="BI118" s="159"/>
      <c r="BJ118" s="159">
        <f t="shared" si="1089"/>
        <v>6820</v>
      </c>
      <c r="BK118" s="159">
        <f t="shared" si="1090"/>
        <v>0</v>
      </c>
      <c r="BL118" s="159">
        <f t="shared" si="1090"/>
        <v>40900</v>
      </c>
      <c r="BM118" s="159">
        <f t="shared" si="1090"/>
        <v>0</v>
      </c>
      <c r="BN118" s="159">
        <f t="shared" si="1091"/>
        <v>40900</v>
      </c>
      <c r="BO118" s="588"/>
      <c r="BP118" s="159">
        <f t="shared" si="1092"/>
        <v>0</v>
      </c>
      <c r="BQ118" s="159">
        <f t="shared" si="1092"/>
        <v>48504</v>
      </c>
      <c r="BR118" s="159">
        <f t="shared" si="1092"/>
        <v>0</v>
      </c>
      <c r="BS118" s="588">
        <f t="shared" si="1093"/>
        <v>48504</v>
      </c>
      <c r="BT118" s="159"/>
      <c r="BU118" s="159"/>
      <c r="BV118" s="159"/>
      <c r="BW118" s="159">
        <f t="shared" si="1094"/>
        <v>0</v>
      </c>
      <c r="BX118" s="159">
        <f t="shared" si="687"/>
        <v>0</v>
      </c>
      <c r="BY118" s="159">
        <f t="shared" si="688"/>
        <v>35596</v>
      </c>
      <c r="BZ118" s="159">
        <f t="shared" si="689"/>
        <v>0</v>
      </c>
      <c r="CA118" s="583">
        <f t="shared" si="690"/>
        <v>35596</v>
      </c>
      <c r="CB118" s="91"/>
      <c r="CC118" s="91"/>
      <c r="CD118" s="91"/>
      <c r="CE118" s="91"/>
      <c r="CF118" s="91"/>
      <c r="CG118" s="91"/>
      <c r="CH118" s="91"/>
      <c r="CI118" s="91"/>
      <c r="CJ118" s="91"/>
      <c r="CK118" s="91"/>
      <c r="CL118" s="91"/>
      <c r="CM118" s="91"/>
    </row>
    <row r="119" spans="1:91" s="90" customFormat="1" ht="14.1" customHeight="1" x14ac:dyDescent="0.2">
      <c r="A119" s="127" t="s">
        <v>625</v>
      </c>
      <c r="B119" s="568"/>
      <c r="C119" s="78">
        <v>7</v>
      </c>
      <c r="D119" s="69" t="s">
        <v>626</v>
      </c>
      <c r="E119" s="75"/>
      <c r="G119" s="159"/>
      <c r="H119" s="159">
        <v>125000</v>
      </c>
      <c r="I119" s="159"/>
      <c r="J119" s="159">
        <f t="shared" si="691"/>
        <v>125000</v>
      </c>
      <c r="K119" s="159"/>
      <c r="L119" s="159"/>
      <c r="M119" s="159"/>
      <c r="N119" s="159">
        <f t="shared" si="1074"/>
        <v>0</v>
      </c>
      <c r="O119" s="159"/>
      <c r="P119" s="159"/>
      <c r="Q119" s="159"/>
      <c r="R119" s="159">
        <f t="shared" si="1075"/>
        <v>0</v>
      </c>
      <c r="S119" s="159"/>
      <c r="T119" s="159"/>
      <c r="U119" s="159"/>
      <c r="V119" s="159">
        <f t="shared" si="1076"/>
        <v>0</v>
      </c>
      <c r="W119" s="159">
        <f t="shared" si="1077"/>
        <v>0</v>
      </c>
      <c r="X119" s="159">
        <f t="shared" si="1078"/>
        <v>125000</v>
      </c>
      <c r="Y119" s="159">
        <f t="shared" si="1078"/>
        <v>0</v>
      </c>
      <c r="Z119" s="588">
        <f t="shared" si="1079"/>
        <v>125000</v>
      </c>
      <c r="AA119" s="159"/>
      <c r="AB119" s="159"/>
      <c r="AC119" s="159"/>
      <c r="AD119" s="159">
        <f t="shared" si="1080"/>
        <v>0</v>
      </c>
      <c r="AE119" s="159"/>
      <c r="AF119" s="159"/>
      <c r="AG119" s="159"/>
      <c r="AH119" s="159">
        <f t="shared" si="1081"/>
        <v>0</v>
      </c>
      <c r="AI119" s="159"/>
      <c r="AJ119" s="159">
        <f>1000+23085+7459.98+2535.02</f>
        <v>34080</v>
      </c>
      <c r="AK119" s="159"/>
      <c r="AL119" s="159">
        <f t="shared" si="1082"/>
        <v>34080</v>
      </c>
      <c r="AM119" s="159"/>
      <c r="AN119" s="159">
        <f>2040+1280+3500+3500+32096</f>
        <v>42416</v>
      </c>
      <c r="AO119" s="159"/>
      <c r="AP119" s="159">
        <f t="shared" si="1083"/>
        <v>42416</v>
      </c>
      <c r="AQ119" s="159">
        <f t="shared" si="1084"/>
        <v>0</v>
      </c>
      <c r="AR119" s="159">
        <f t="shared" si="1084"/>
        <v>76496</v>
      </c>
      <c r="AS119" s="159">
        <f t="shared" si="1084"/>
        <v>0</v>
      </c>
      <c r="AT119" s="588">
        <f t="shared" si="1085"/>
        <v>76496</v>
      </c>
      <c r="AU119" s="159"/>
      <c r="AV119" s="159"/>
      <c r="AW119" s="159"/>
      <c r="AX119" s="159">
        <f t="shared" si="1086"/>
        <v>0</v>
      </c>
      <c r="AY119" s="159"/>
      <c r="AZ119" s="159"/>
      <c r="BA119" s="159"/>
      <c r="BB119" s="159">
        <f t="shared" si="1087"/>
        <v>0</v>
      </c>
      <c r="BC119" s="159"/>
      <c r="BD119" s="159">
        <f>1000+23085+7459.98</f>
        <v>31544.98</v>
      </c>
      <c r="BE119" s="159"/>
      <c r="BF119" s="159">
        <f t="shared" si="1088"/>
        <v>31544.98</v>
      </c>
      <c r="BG119" s="159"/>
      <c r="BH119" s="159">
        <f>4575.02+1280+3500</f>
        <v>9355.02</v>
      </c>
      <c r="BI119" s="159"/>
      <c r="BJ119" s="159">
        <f t="shared" si="1089"/>
        <v>9355.02</v>
      </c>
      <c r="BK119" s="159">
        <f t="shared" si="1090"/>
        <v>0</v>
      </c>
      <c r="BL119" s="159">
        <f t="shared" si="1090"/>
        <v>40900</v>
      </c>
      <c r="BM119" s="159">
        <f t="shared" si="1090"/>
        <v>0</v>
      </c>
      <c r="BN119" s="159">
        <f t="shared" si="1091"/>
        <v>40900</v>
      </c>
      <c r="BO119" s="588"/>
      <c r="BP119" s="159">
        <f t="shared" si="1092"/>
        <v>0</v>
      </c>
      <c r="BQ119" s="159">
        <f t="shared" si="1092"/>
        <v>48504</v>
      </c>
      <c r="BR119" s="159">
        <f t="shared" si="1092"/>
        <v>0</v>
      </c>
      <c r="BS119" s="588">
        <f t="shared" si="1093"/>
        <v>48504</v>
      </c>
      <c r="BT119" s="159"/>
      <c r="BU119" s="159"/>
      <c r="BV119" s="159"/>
      <c r="BW119" s="159">
        <f t="shared" si="1094"/>
        <v>0</v>
      </c>
      <c r="BX119" s="159">
        <f t="shared" si="687"/>
        <v>0</v>
      </c>
      <c r="BY119" s="159">
        <f t="shared" si="688"/>
        <v>35596</v>
      </c>
      <c r="BZ119" s="159">
        <f t="shared" si="689"/>
        <v>0</v>
      </c>
      <c r="CA119" s="583">
        <f t="shared" si="690"/>
        <v>35596</v>
      </c>
      <c r="CB119" s="91"/>
      <c r="CC119" s="91"/>
      <c r="CD119" s="91"/>
      <c r="CE119" s="91"/>
      <c r="CF119" s="91"/>
      <c r="CG119" s="91"/>
      <c r="CH119" s="91"/>
      <c r="CI119" s="91"/>
      <c r="CJ119" s="91"/>
      <c r="CK119" s="91"/>
      <c r="CL119" s="91"/>
      <c r="CM119" s="91"/>
    </row>
    <row r="120" spans="1:91" ht="14.1" customHeight="1" x14ac:dyDescent="0.2">
      <c r="A120" s="559" t="s">
        <v>209</v>
      </c>
      <c r="B120" s="560" t="s">
        <v>196</v>
      </c>
      <c r="C120" s="560"/>
      <c r="D120" s="561"/>
      <c r="E120" s="524"/>
      <c r="F120" s="525"/>
      <c r="G120" s="555">
        <f>G121+G128</f>
        <v>8378000</v>
      </c>
      <c r="H120" s="555">
        <f t="shared" ref="H120:I120" si="1095">H121+H128</f>
        <v>2527000</v>
      </c>
      <c r="I120" s="555">
        <f t="shared" si="1095"/>
        <v>0</v>
      </c>
      <c r="J120" s="555">
        <f t="shared" ref="J120:BS120" si="1096">J121+J128</f>
        <v>10905000</v>
      </c>
      <c r="K120" s="555">
        <f>K121+K128</f>
        <v>0</v>
      </c>
      <c r="L120" s="555">
        <f t="shared" ref="L120" si="1097">L121+L128</f>
        <v>0</v>
      </c>
      <c r="M120" s="555">
        <f t="shared" ref="M120" si="1098">M121+M128</f>
        <v>0</v>
      </c>
      <c r="N120" s="555">
        <f t="shared" ref="N120" si="1099">N121+N128</f>
        <v>0</v>
      </c>
      <c r="O120" s="555">
        <f>O121+O128</f>
        <v>0</v>
      </c>
      <c r="P120" s="555">
        <f t="shared" ref="P120" si="1100">P121+P128</f>
        <v>0</v>
      </c>
      <c r="Q120" s="555">
        <f t="shared" ref="Q120" si="1101">Q121+Q128</f>
        <v>0</v>
      </c>
      <c r="R120" s="555">
        <f t="shared" ref="R120" si="1102">R121+R128</f>
        <v>0</v>
      </c>
      <c r="S120" s="555">
        <f>S121+S128</f>
        <v>0</v>
      </c>
      <c r="T120" s="555">
        <f t="shared" ref="T120" si="1103">T121+T128</f>
        <v>0</v>
      </c>
      <c r="U120" s="555">
        <f t="shared" ref="U120" si="1104">U121+U128</f>
        <v>0</v>
      </c>
      <c r="V120" s="555">
        <f t="shared" ref="V120" si="1105">V121+V128</f>
        <v>0</v>
      </c>
      <c r="W120" s="555">
        <f t="shared" si="1096"/>
        <v>8378000</v>
      </c>
      <c r="X120" s="555">
        <f t="shared" si="1096"/>
        <v>2527000</v>
      </c>
      <c r="Y120" s="555">
        <f t="shared" si="1096"/>
        <v>0</v>
      </c>
      <c r="Z120" s="556">
        <f t="shared" si="1096"/>
        <v>10905000</v>
      </c>
      <c r="AA120" s="555">
        <f t="shared" si="1096"/>
        <v>2823932</v>
      </c>
      <c r="AB120" s="555">
        <f t="shared" si="1096"/>
        <v>107226.5</v>
      </c>
      <c r="AC120" s="555">
        <f t="shared" si="1096"/>
        <v>0</v>
      </c>
      <c r="AD120" s="555">
        <f t="shared" si="1096"/>
        <v>2931158.5</v>
      </c>
      <c r="AE120" s="555">
        <f>AE121+AE128</f>
        <v>2697655.8</v>
      </c>
      <c r="AF120" s="555">
        <f t="shared" ref="AF120:AH120" si="1106">AF121+AF128</f>
        <v>216187.84</v>
      </c>
      <c r="AG120" s="555">
        <f t="shared" si="1106"/>
        <v>0</v>
      </c>
      <c r="AH120" s="555">
        <f t="shared" si="1106"/>
        <v>2913843.6399999997</v>
      </c>
      <c r="AI120" s="555">
        <f>AI121+AI128</f>
        <v>1444260</v>
      </c>
      <c r="AJ120" s="555">
        <f t="shared" ref="AJ120:AL120" si="1107">AJ121+AJ128</f>
        <v>347174</v>
      </c>
      <c r="AK120" s="555">
        <f t="shared" si="1107"/>
        <v>0</v>
      </c>
      <c r="AL120" s="555">
        <f t="shared" si="1107"/>
        <v>1791434</v>
      </c>
      <c r="AM120" s="555">
        <f>AM121+AM128</f>
        <v>1394152.2</v>
      </c>
      <c r="AN120" s="555">
        <f t="shared" ref="AN120:AP120" si="1108">AN121+AN128</f>
        <v>1674207.6999999997</v>
      </c>
      <c r="AO120" s="555">
        <f t="shared" si="1108"/>
        <v>0</v>
      </c>
      <c r="AP120" s="555">
        <f t="shared" si="1108"/>
        <v>3068359.9</v>
      </c>
      <c r="AQ120" s="555">
        <f t="shared" si="1096"/>
        <v>8360000</v>
      </c>
      <c r="AR120" s="555">
        <f t="shared" si="1096"/>
        <v>2344796.04</v>
      </c>
      <c r="AS120" s="555">
        <f t="shared" si="1096"/>
        <v>0</v>
      </c>
      <c r="AT120" s="556">
        <f t="shared" si="1096"/>
        <v>10704796.039999999</v>
      </c>
      <c r="AU120" s="555">
        <f t="shared" si="1096"/>
        <v>2146199</v>
      </c>
      <c r="AV120" s="555">
        <f t="shared" si="1096"/>
        <v>94519.5</v>
      </c>
      <c r="AW120" s="555">
        <f t="shared" si="1096"/>
        <v>0</v>
      </c>
      <c r="AX120" s="555">
        <f t="shared" si="1096"/>
        <v>2240718.5</v>
      </c>
      <c r="AY120" s="555">
        <f>AY121+AY128</f>
        <v>2867838.52</v>
      </c>
      <c r="AZ120" s="555">
        <f t="shared" ref="AZ120" si="1109">AZ121+AZ128</f>
        <v>228894.84</v>
      </c>
      <c r="BA120" s="555">
        <f t="shared" ref="BA120" si="1110">BA121+BA128</f>
        <v>0</v>
      </c>
      <c r="BB120" s="555">
        <f t="shared" ref="BB120" si="1111">BB121+BB128</f>
        <v>3096733.36</v>
      </c>
      <c r="BC120" s="555">
        <f>BC121+BC128</f>
        <v>1940199.16</v>
      </c>
      <c r="BD120" s="555">
        <f t="shared" ref="BD120" si="1112">BD121+BD128</f>
        <v>314782.58999999997</v>
      </c>
      <c r="BE120" s="555">
        <f t="shared" ref="BE120" si="1113">BE121+BE128</f>
        <v>0</v>
      </c>
      <c r="BF120" s="555">
        <f t="shared" ref="BF120" si="1114">BF121+BF128</f>
        <v>2254981.75</v>
      </c>
      <c r="BG120" s="555">
        <f>BG121+BG128</f>
        <v>1405763.32</v>
      </c>
      <c r="BH120" s="555">
        <f t="shared" ref="BH120" si="1115">BH121+BH128</f>
        <v>1106436.33</v>
      </c>
      <c r="BI120" s="555">
        <f t="shared" ref="BI120" si="1116">BI121+BI128</f>
        <v>0</v>
      </c>
      <c r="BJ120" s="555">
        <f t="shared" ref="BJ120" si="1117">BJ121+BJ128</f>
        <v>2512199.6500000004</v>
      </c>
      <c r="BK120" s="555">
        <f t="shared" si="1096"/>
        <v>8360000</v>
      </c>
      <c r="BL120" s="555">
        <f t="shared" si="1096"/>
        <v>1744633.26</v>
      </c>
      <c r="BM120" s="555">
        <f t="shared" si="1096"/>
        <v>0</v>
      </c>
      <c r="BN120" s="555">
        <f t="shared" si="1096"/>
        <v>10104633.26</v>
      </c>
      <c r="BO120" s="557">
        <f t="shared" si="1096"/>
        <v>0</v>
      </c>
      <c r="BP120" s="555">
        <f t="shared" si="1096"/>
        <v>18000</v>
      </c>
      <c r="BQ120" s="555">
        <f t="shared" si="1096"/>
        <v>182203.9600000002</v>
      </c>
      <c r="BR120" s="555">
        <f t="shared" si="1096"/>
        <v>0</v>
      </c>
      <c r="BS120" s="556">
        <f t="shared" si="1096"/>
        <v>200203.9600000002</v>
      </c>
      <c r="BT120" s="555">
        <f>BT121+BT128</f>
        <v>0</v>
      </c>
      <c r="BU120" s="555">
        <f t="shared" ref="BU120" si="1118">BU121+BU128</f>
        <v>0</v>
      </c>
      <c r="BV120" s="555">
        <f t="shared" ref="BV120" si="1119">BV121+BV128</f>
        <v>0</v>
      </c>
      <c r="BW120" s="555">
        <f t="shared" ref="BW120" si="1120">BW121+BW128</f>
        <v>0</v>
      </c>
      <c r="BX120" s="555">
        <f t="shared" ref="BX120:CA120" si="1121">BX121+BX128</f>
        <v>0</v>
      </c>
      <c r="BY120" s="555">
        <f t="shared" si="1121"/>
        <v>600162.7799999998</v>
      </c>
      <c r="BZ120" s="555">
        <f t="shared" si="1121"/>
        <v>0</v>
      </c>
      <c r="CA120" s="558">
        <f t="shared" si="1121"/>
        <v>600162.7799999998</v>
      </c>
    </row>
    <row r="121" spans="1:91" ht="40.5" customHeight="1" x14ac:dyDescent="0.2">
      <c r="A121" s="133" t="s">
        <v>211</v>
      </c>
      <c r="B121" s="74" t="s">
        <v>126</v>
      </c>
      <c r="C121" s="903" t="s">
        <v>198</v>
      </c>
      <c r="D121" s="903"/>
      <c r="E121" s="903"/>
      <c r="G121" s="153">
        <f>G123+G124+G127</f>
        <v>8378000</v>
      </c>
      <c r="H121" s="153">
        <f t="shared" ref="H121:I121" si="1122">H123+H124+H127</f>
        <v>2527000</v>
      </c>
      <c r="I121" s="153">
        <f t="shared" si="1122"/>
        <v>0</v>
      </c>
      <c r="J121" s="153">
        <f t="shared" ref="J121:BS121" si="1123">J123+J124+J127</f>
        <v>10905000</v>
      </c>
      <c r="K121" s="153">
        <f>K123+K124+K127</f>
        <v>0</v>
      </c>
      <c r="L121" s="153">
        <f t="shared" ref="L121:N121" si="1124">L123+L124+L127</f>
        <v>0</v>
      </c>
      <c r="M121" s="153">
        <f t="shared" si="1124"/>
        <v>0</v>
      </c>
      <c r="N121" s="153">
        <f t="shared" si="1124"/>
        <v>0</v>
      </c>
      <c r="O121" s="153">
        <f>O123+O124+O127</f>
        <v>0</v>
      </c>
      <c r="P121" s="153">
        <f t="shared" ref="P121:R121" si="1125">P123+P124+P127</f>
        <v>0</v>
      </c>
      <c r="Q121" s="153">
        <f t="shared" si="1125"/>
        <v>0</v>
      </c>
      <c r="R121" s="153">
        <f t="shared" si="1125"/>
        <v>0</v>
      </c>
      <c r="S121" s="153">
        <f>S123+S124+S127</f>
        <v>0</v>
      </c>
      <c r="T121" s="153">
        <f t="shared" ref="T121:V121" si="1126">T123+T124+T127</f>
        <v>0</v>
      </c>
      <c r="U121" s="153">
        <f t="shared" si="1126"/>
        <v>0</v>
      </c>
      <c r="V121" s="153">
        <f t="shared" si="1126"/>
        <v>0</v>
      </c>
      <c r="W121" s="153">
        <f t="shared" si="1123"/>
        <v>8378000</v>
      </c>
      <c r="X121" s="153">
        <f t="shared" si="1123"/>
        <v>2527000</v>
      </c>
      <c r="Y121" s="153">
        <f t="shared" si="1123"/>
        <v>0</v>
      </c>
      <c r="Z121" s="85">
        <f t="shared" si="1123"/>
        <v>10905000</v>
      </c>
      <c r="AA121" s="153">
        <f t="shared" si="1123"/>
        <v>2823932</v>
      </c>
      <c r="AB121" s="153">
        <f t="shared" si="1123"/>
        <v>107226.5</v>
      </c>
      <c r="AC121" s="153">
        <f t="shared" si="1123"/>
        <v>0</v>
      </c>
      <c r="AD121" s="153">
        <f t="shared" si="1123"/>
        <v>2931158.5</v>
      </c>
      <c r="AE121" s="153">
        <f>AE123+AE124+AE127</f>
        <v>2697655.8</v>
      </c>
      <c r="AF121" s="153">
        <f t="shared" ref="AF121:AH121" si="1127">AF123+AF124+AF127</f>
        <v>216187.84</v>
      </c>
      <c r="AG121" s="153">
        <f t="shared" si="1127"/>
        <v>0</v>
      </c>
      <c r="AH121" s="153">
        <f t="shared" si="1127"/>
        <v>2913843.6399999997</v>
      </c>
      <c r="AI121" s="153">
        <f>AI123+AI124+AI127</f>
        <v>1444260</v>
      </c>
      <c r="AJ121" s="153">
        <f t="shared" ref="AJ121:AL121" si="1128">AJ123+AJ124+AJ127</f>
        <v>347174</v>
      </c>
      <c r="AK121" s="153">
        <f t="shared" si="1128"/>
        <v>0</v>
      </c>
      <c r="AL121" s="153">
        <f t="shared" si="1128"/>
        <v>1791434</v>
      </c>
      <c r="AM121" s="153">
        <f>AM123+AM124+AM127</f>
        <v>1394152.2</v>
      </c>
      <c r="AN121" s="153">
        <f t="shared" ref="AN121:AP121" si="1129">AN123+AN124+AN127</f>
        <v>1674207.6999999997</v>
      </c>
      <c r="AO121" s="153">
        <f t="shared" si="1129"/>
        <v>0</v>
      </c>
      <c r="AP121" s="153">
        <f t="shared" si="1129"/>
        <v>3068359.9</v>
      </c>
      <c r="AQ121" s="153">
        <f t="shared" si="1123"/>
        <v>8360000</v>
      </c>
      <c r="AR121" s="153">
        <f t="shared" si="1123"/>
        <v>2344796.04</v>
      </c>
      <c r="AS121" s="153">
        <f t="shared" si="1123"/>
        <v>0</v>
      </c>
      <c r="AT121" s="85">
        <f t="shared" si="1123"/>
        <v>10704796.039999999</v>
      </c>
      <c r="AU121" s="153">
        <f t="shared" si="1123"/>
        <v>2146199</v>
      </c>
      <c r="AV121" s="153">
        <f t="shared" si="1123"/>
        <v>94519.5</v>
      </c>
      <c r="AW121" s="153">
        <f t="shared" si="1123"/>
        <v>0</v>
      </c>
      <c r="AX121" s="153">
        <f t="shared" si="1123"/>
        <v>2240718.5</v>
      </c>
      <c r="AY121" s="153">
        <f>AY123+AY124+AY127</f>
        <v>2867838.52</v>
      </c>
      <c r="AZ121" s="153">
        <f t="shared" ref="AZ121:BB121" si="1130">AZ123+AZ124+AZ127</f>
        <v>228894.84</v>
      </c>
      <c r="BA121" s="153">
        <f t="shared" si="1130"/>
        <v>0</v>
      </c>
      <c r="BB121" s="153">
        <f t="shared" si="1130"/>
        <v>3096733.36</v>
      </c>
      <c r="BC121" s="153">
        <f>BC123+BC124+BC127</f>
        <v>1940199.16</v>
      </c>
      <c r="BD121" s="153">
        <f t="shared" ref="BD121:BF121" si="1131">BD123+BD124+BD127</f>
        <v>314782.58999999997</v>
      </c>
      <c r="BE121" s="153">
        <f t="shared" si="1131"/>
        <v>0</v>
      </c>
      <c r="BF121" s="153">
        <f t="shared" si="1131"/>
        <v>2254981.75</v>
      </c>
      <c r="BG121" s="153">
        <f>BG123+BG124+BG127</f>
        <v>1405763.32</v>
      </c>
      <c r="BH121" s="153">
        <f t="shared" ref="BH121:BJ121" si="1132">BH123+BH124+BH127</f>
        <v>1106436.33</v>
      </c>
      <c r="BI121" s="153">
        <f t="shared" si="1132"/>
        <v>0</v>
      </c>
      <c r="BJ121" s="153">
        <f t="shared" si="1132"/>
        <v>2512199.6500000004</v>
      </c>
      <c r="BK121" s="153">
        <f t="shared" si="1123"/>
        <v>8360000</v>
      </c>
      <c r="BL121" s="153">
        <f t="shared" si="1123"/>
        <v>1744633.26</v>
      </c>
      <c r="BM121" s="153">
        <f t="shared" si="1123"/>
        <v>0</v>
      </c>
      <c r="BN121" s="153">
        <f t="shared" si="1123"/>
        <v>10104633.26</v>
      </c>
      <c r="BO121" s="169">
        <f t="shared" si="1123"/>
        <v>0</v>
      </c>
      <c r="BP121" s="153">
        <f t="shared" si="1123"/>
        <v>18000</v>
      </c>
      <c r="BQ121" s="153">
        <f t="shared" si="1123"/>
        <v>182203.9600000002</v>
      </c>
      <c r="BR121" s="153">
        <f t="shared" si="1123"/>
        <v>0</v>
      </c>
      <c r="BS121" s="85">
        <f t="shared" si="1123"/>
        <v>200203.9600000002</v>
      </c>
      <c r="BT121" s="153">
        <f>BT123+BT124+BT127</f>
        <v>0</v>
      </c>
      <c r="BU121" s="153">
        <f t="shared" ref="BU121:BW121" si="1133">BU123+BU124+BU127</f>
        <v>0</v>
      </c>
      <c r="BV121" s="153">
        <f t="shared" si="1133"/>
        <v>0</v>
      </c>
      <c r="BW121" s="153">
        <f t="shared" si="1133"/>
        <v>0</v>
      </c>
      <c r="BX121" s="153">
        <f t="shared" ref="BX121:CA121" si="1134">BX123+BX124+BX127</f>
        <v>0</v>
      </c>
      <c r="BY121" s="153">
        <f t="shared" si="1134"/>
        <v>600162.7799999998</v>
      </c>
      <c r="BZ121" s="153">
        <f t="shared" si="1134"/>
        <v>0</v>
      </c>
      <c r="CA121" s="124">
        <f t="shared" si="1134"/>
        <v>600162.7799999998</v>
      </c>
    </row>
    <row r="122" spans="1:91" ht="14.1" customHeight="1" x14ac:dyDescent="0.2">
      <c r="A122" s="138" t="s">
        <v>627</v>
      </c>
      <c r="B122" s="67" t="s">
        <v>628</v>
      </c>
      <c r="C122" s="67"/>
      <c r="D122" s="67"/>
      <c r="E122" s="67"/>
      <c r="G122" s="152"/>
      <c r="H122" s="152"/>
      <c r="I122" s="152"/>
      <c r="J122" s="152">
        <f t="shared" si="691"/>
        <v>0</v>
      </c>
      <c r="K122" s="152"/>
      <c r="L122" s="152"/>
      <c r="M122" s="152"/>
      <c r="N122" s="152">
        <f t="shared" ref="N122:N123" si="1135">SUM(K122:M122)</f>
        <v>0</v>
      </c>
      <c r="O122" s="152"/>
      <c r="P122" s="152"/>
      <c r="Q122" s="152"/>
      <c r="R122" s="152">
        <f t="shared" ref="R122:R123" si="1136">SUM(O122:Q122)</f>
        <v>0</v>
      </c>
      <c r="S122" s="152"/>
      <c r="T122" s="152"/>
      <c r="U122" s="152"/>
      <c r="V122" s="152">
        <f t="shared" ref="V122:V123" si="1137">SUM(S122:U122)</f>
        <v>0</v>
      </c>
      <c r="W122" s="152"/>
      <c r="X122" s="152"/>
      <c r="Y122" s="152"/>
      <c r="AA122" s="152"/>
      <c r="AB122" s="152"/>
      <c r="AC122" s="152"/>
      <c r="AD122" s="152">
        <f t="shared" ref="AD122:AD123" si="1138">SUM(AA122:AC122)</f>
        <v>0</v>
      </c>
      <c r="AE122" s="152"/>
      <c r="AF122" s="152"/>
      <c r="AG122" s="152"/>
      <c r="AH122" s="152">
        <f t="shared" ref="AH122:AH123" si="1139">SUM(AE122:AG122)</f>
        <v>0</v>
      </c>
      <c r="AI122" s="152"/>
      <c r="AJ122" s="152"/>
      <c r="AK122" s="152"/>
      <c r="AL122" s="152">
        <f t="shared" ref="AL122:AL123" si="1140">SUM(AI122:AK122)</f>
        <v>0</v>
      </c>
      <c r="AM122" s="152"/>
      <c r="AN122" s="152"/>
      <c r="AO122" s="152"/>
      <c r="AP122" s="152">
        <f t="shared" ref="AP122:AP123" si="1141">SUM(AM122:AO122)</f>
        <v>0</v>
      </c>
      <c r="AQ122" s="152"/>
      <c r="AR122" s="152"/>
      <c r="AS122" s="152"/>
      <c r="AU122" s="152"/>
      <c r="AV122" s="152"/>
      <c r="AW122" s="152"/>
      <c r="AX122" s="152">
        <f t="shared" ref="AX122:AX123" si="1142">SUM(AU122:AW122)</f>
        <v>0</v>
      </c>
      <c r="AY122" s="152"/>
      <c r="AZ122" s="152"/>
      <c r="BA122" s="152"/>
      <c r="BB122" s="152">
        <f t="shared" ref="BB122:BB123" si="1143">SUM(AY122:BA122)</f>
        <v>0</v>
      </c>
      <c r="BC122" s="152"/>
      <c r="BD122" s="152"/>
      <c r="BE122" s="152"/>
      <c r="BF122" s="152">
        <f t="shared" ref="BF122:BF123" si="1144">SUM(BC122:BE122)</f>
        <v>0</v>
      </c>
      <c r="BG122" s="152"/>
      <c r="BH122" s="152"/>
      <c r="BI122" s="152"/>
      <c r="BJ122" s="152">
        <f t="shared" ref="BJ122:BJ123" si="1145">SUM(BG122:BI122)</f>
        <v>0</v>
      </c>
      <c r="BK122" s="152"/>
      <c r="BL122" s="152"/>
      <c r="BM122" s="152"/>
      <c r="BN122" s="152"/>
      <c r="BO122" s="168"/>
      <c r="BP122" s="152"/>
      <c r="BQ122" s="152"/>
      <c r="BR122" s="152"/>
      <c r="BT122" s="152"/>
      <c r="BU122" s="152"/>
      <c r="BV122" s="152"/>
      <c r="BW122" s="152">
        <f t="shared" ref="BW122:BW123" si="1146">SUM(BT122:BV122)</f>
        <v>0</v>
      </c>
      <c r="BX122" s="152">
        <f t="shared" si="687"/>
        <v>0</v>
      </c>
      <c r="BY122" s="152">
        <f t="shared" si="688"/>
        <v>0</v>
      </c>
      <c r="BZ122" s="152">
        <f t="shared" si="689"/>
        <v>0</v>
      </c>
      <c r="CA122" s="587">
        <f t="shared" si="690"/>
        <v>0</v>
      </c>
    </row>
    <row r="123" spans="1:91" ht="14.1" customHeight="1" x14ac:dyDescent="0.2">
      <c r="A123" s="127" t="s">
        <v>629</v>
      </c>
      <c r="B123" s="568"/>
      <c r="C123" s="78">
        <v>1.1000000000000001</v>
      </c>
      <c r="D123" s="69" t="s">
        <v>630</v>
      </c>
      <c r="E123" s="75"/>
      <c r="G123" s="152">
        <v>8378000</v>
      </c>
      <c r="H123" s="152">
        <v>761000</v>
      </c>
      <c r="I123" s="152"/>
      <c r="J123" s="152">
        <f t="shared" si="691"/>
        <v>9139000</v>
      </c>
      <c r="K123" s="152"/>
      <c r="L123" s="152"/>
      <c r="M123" s="152"/>
      <c r="N123" s="152">
        <f t="shared" si="1135"/>
        <v>0</v>
      </c>
      <c r="O123" s="152"/>
      <c r="P123" s="152"/>
      <c r="Q123" s="152"/>
      <c r="R123" s="152">
        <f t="shared" si="1136"/>
        <v>0</v>
      </c>
      <c r="S123" s="152"/>
      <c r="T123" s="152"/>
      <c r="U123" s="152"/>
      <c r="V123" s="152">
        <f t="shared" si="1137"/>
        <v>0</v>
      </c>
      <c r="W123" s="152">
        <f>G123-O123+S123+K123</f>
        <v>8378000</v>
      </c>
      <c r="X123" s="152">
        <f t="shared" ref="X123:Y127" si="1147">H123-P123+T123+L123</f>
        <v>761000</v>
      </c>
      <c r="Y123" s="152">
        <f t="shared" si="1147"/>
        <v>0</v>
      </c>
      <c r="Z123" s="168">
        <f>SUM(W123:Y123)</f>
        <v>9139000</v>
      </c>
      <c r="AA123" s="152">
        <f>1900+6650+1900+38000+581622+10000+95000+38000+581622+1900+6650+1900+38000+10000+628683+1900+6850+1900+94122+38000+628683+1900+6850+1900</f>
        <v>2823932</v>
      </c>
      <c r="AB123" s="152">
        <f>4080+10141+4800+5948+4820.5+5654+22261</f>
        <v>57704.5</v>
      </c>
      <c r="AC123" s="152"/>
      <c r="AD123" s="152">
        <f t="shared" si="1138"/>
        <v>2881636.5</v>
      </c>
      <c r="AE123" s="152">
        <f>1374016+5000+628683+1900+6850+1900+1501.8+38000+1900+6850+1900+629155</f>
        <v>2697655.8</v>
      </c>
      <c r="AF123" s="152">
        <f>69279.5+1000+8355+2015+27563.84+10000</f>
        <v>118213.34</v>
      </c>
      <c r="AG123" s="152"/>
      <c r="AH123" s="152">
        <f t="shared" si="1139"/>
        <v>2815869.1399999997</v>
      </c>
      <c r="AI123" s="152">
        <f>735805+1900+6850+1900+629155+10000+10000+38000+1900+6850+1900</f>
        <v>1444260</v>
      </c>
      <c r="AJ123" s="152">
        <f>107384.34+4400+19436+2177.09+12185+3275+3275+26094+1668+2645+23085+9301.41</f>
        <v>214925.84</v>
      </c>
      <c r="AK123" s="152"/>
      <c r="AL123" s="152">
        <f t="shared" si="1140"/>
        <v>1659185.84</v>
      </c>
      <c r="AM123" s="152">
        <f>1566709+10000+45507.5+45018.7-48000-60000-60000-44683-10000-10000-10000-5000-2800-19800-2800</f>
        <v>1394152.2</v>
      </c>
      <c r="AN123" s="152">
        <f>193845.74+2800+7000+7400-7735.38+7000+64000+2600</f>
        <v>276910.36</v>
      </c>
      <c r="AO123" s="152"/>
      <c r="AP123" s="152">
        <f t="shared" si="1141"/>
        <v>1671062.56</v>
      </c>
      <c r="AQ123" s="152">
        <f t="shared" ref="AQ123:AS127" si="1148">AA123+AE123+AI123+AM123</f>
        <v>8360000</v>
      </c>
      <c r="AR123" s="152">
        <f t="shared" si="1148"/>
        <v>667754.04</v>
      </c>
      <c r="AS123" s="152">
        <f t="shared" si="1148"/>
        <v>0</v>
      </c>
      <c r="AT123" s="168">
        <f>SUM(AQ123:AS123)</f>
        <v>9027754.0399999991</v>
      </c>
      <c r="AU123" s="152">
        <f>1900+6650+1900+38000+581622+10000+95000+38000+581622+1900+6650+1900+10000+93722+628683+38000+1900+6850+1900</f>
        <v>2146199</v>
      </c>
      <c r="AV123" s="152">
        <f>4080+10141+4800+5948+4820.5+5654+22261</f>
        <v>57704.5</v>
      </c>
      <c r="AW123" s="152"/>
      <c r="AX123" s="152">
        <f t="shared" si="1142"/>
        <v>2203903.5</v>
      </c>
      <c r="AY123" s="152">
        <f>1618800.84+2861.12+381437.04+1900+6850+1900+5000+36450+1366.64+35138.88+1900+6850+1900+628683+1550+135251</f>
        <v>2867838.52</v>
      </c>
      <c r="AZ123" s="152">
        <f>59279.5+10000+1000+8355+2015+10000+27563.84</f>
        <v>118213.34</v>
      </c>
      <c r="BA123" s="152"/>
      <c r="BB123" s="152">
        <f t="shared" si="1143"/>
        <v>2986051.86</v>
      </c>
      <c r="BC123" s="152">
        <f>1240494.16+10000+10000+2861.12+629155+1900+6850+1900+1900+35138.88</f>
        <v>1940199.16</v>
      </c>
      <c r="BD123" s="152">
        <f>104064.84+3319.5+4400+19436+2177.09+12185+3275+3275+26094+1668+2645</f>
        <v>182539.43</v>
      </c>
      <c r="BE123" s="152"/>
      <c r="BF123" s="152">
        <f t="shared" si="1144"/>
        <v>2122738.59</v>
      </c>
      <c r="BG123" s="152">
        <f>839555+95000+2861.12+630254+1900+6850+1900+10000+45507.5+45018.7-48000-60000-60000-44683-10000-10000-19800-2800-2800-5000-10000</f>
        <v>1405763.32</v>
      </c>
      <c r="BH123" s="152">
        <f>226232.15+2800+7000+7400-7735.38</f>
        <v>235696.77</v>
      </c>
      <c r="BI123" s="152"/>
      <c r="BJ123" s="152">
        <f t="shared" si="1145"/>
        <v>1641460.09</v>
      </c>
      <c r="BK123" s="152">
        <f t="shared" ref="BK123:BM127" si="1149">AU123+AY123+BC123+BG123</f>
        <v>8360000</v>
      </c>
      <c r="BL123" s="152">
        <f t="shared" si="1149"/>
        <v>594154.04</v>
      </c>
      <c r="BM123" s="152">
        <f t="shared" si="1149"/>
        <v>0</v>
      </c>
      <c r="BN123" s="152">
        <f>SUM(BK123:BM123)</f>
        <v>8954154.0399999991</v>
      </c>
      <c r="BO123" s="168"/>
      <c r="BP123" s="152">
        <f t="shared" ref="BP123:BR127" si="1150">W123-AQ123</f>
        <v>18000</v>
      </c>
      <c r="BQ123" s="152">
        <f t="shared" si="1150"/>
        <v>93245.959999999963</v>
      </c>
      <c r="BR123" s="152">
        <f t="shared" si="1150"/>
        <v>0</v>
      </c>
      <c r="BS123" s="168">
        <f>SUM(BP123:BR123)</f>
        <v>111245.95999999996</v>
      </c>
      <c r="BT123" s="152"/>
      <c r="BU123" s="152"/>
      <c r="BV123" s="152"/>
      <c r="BW123" s="152">
        <f t="shared" si="1146"/>
        <v>0</v>
      </c>
      <c r="BX123" s="152">
        <f t="shared" si="687"/>
        <v>0</v>
      </c>
      <c r="BY123" s="152">
        <f t="shared" si="688"/>
        <v>73600</v>
      </c>
      <c r="BZ123" s="152">
        <f t="shared" si="689"/>
        <v>0</v>
      </c>
      <c r="CA123" s="587">
        <f t="shared" si="690"/>
        <v>73600</v>
      </c>
    </row>
    <row r="124" spans="1:91" ht="14.1" customHeight="1" x14ac:dyDescent="0.2">
      <c r="A124" s="127" t="s">
        <v>631</v>
      </c>
      <c r="B124" s="568"/>
      <c r="C124" s="78">
        <v>1.2</v>
      </c>
      <c r="D124" s="69" t="s">
        <v>632</v>
      </c>
      <c r="E124" s="75"/>
      <c r="G124" s="154">
        <f>SUM(G125:G126)</f>
        <v>0</v>
      </c>
      <c r="H124" s="154">
        <f t="shared" ref="H124:I124" si="1151">SUM(H125:H126)</f>
        <v>1641000</v>
      </c>
      <c r="I124" s="154">
        <f t="shared" si="1151"/>
        <v>0</v>
      </c>
      <c r="J124" s="154">
        <f t="shared" ref="J124:BS124" si="1152">SUM(J125:J126)</f>
        <v>1641000</v>
      </c>
      <c r="K124" s="154">
        <f>SUM(K125:K126)</f>
        <v>0</v>
      </c>
      <c r="L124" s="154">
        <f t="shared" ref="L124" si="1153">SUM(L125:L126)</f>
        <v>0</v>
      </c>
      <c r="M124" s="154">
        <f t="shared" ref="M124" si="1154">SUM(M125:M126)</f>
        <v>0</v>
      </c>
      <c r="N124" s="154">
        <f t="shared" ref="N124" si="1155">SUM(N125:N126)</f>
        <v>0</v>
      </c>
      <c r="O124" s="154">
        <f>SUM(O125:O126)</f>
        <v>0</v>
      </c>
      <c r="P124" s="154">
        <f t="shared" ref="P124" si="1156">SUM(P125:P126)</f>
        <v>0</v>
      </c>
      <c r="Q124" s="154">
        <f t="shared" ref="Q124" si="1157">SUM(Q125:Q126)</f>
        <v>0</v>
      </c>
      <c r="R124" s="154">
        <f t="shared" ref="R124" si="1158">SUM(R125:R126)</f>
        <v>0</v>
      </c>
      <c r="S124" s="154">
        <f>SUM(S125:S126)</f>
        <v>0</v>
      </c>
      <c r="T124" s="154">
        <f t="shared" ref="T124" si="1159">SUM(T125:T126)</f>
        <v>0</v>
      </c>
      <c r="U124" s="154">
        <f t="shared" ref="U124" si="1160">SUM(U125:U126)</f>
        <v>0</v>
      </c>
      <c r="V124" s="154">
        <f t="shared" ref="V124" si="1161">SUM(V125:V126)</f>
        <v>0</v>
      </c>
      <c r="W124" s="154">
        <f t="shared" si="1152"/>
        <v>0</v>
      </c>
      <c r="X124" s="154">
        <f t="shared" si="1152"/>
        <v>1641000</v>
      </c>
      <c r="Y124" s="154">
        <f t="shared" si="1152"/>
        <v>0</v>
      </c>
      <c r="Z124" s="84">
        <f t="shared" si="1152"/>
        <v>1641000</v>
      </c>
      <c r="AA124" s="154">
        <f t="shared" si="1152"/>
        <v>0</v>
      </c>
      <c r="AB124" s="154">
        <f t="shared" si="1152"/>
        <v>49522</v>
      </c>
      <c r="AC124" s="154">
        <f t="shared" si="1152"/>
        <v>0</v>
      </c>
      <c r="AD124" s="154">
        <f t="shared" si="1152"/>
        <v>49522</v>
      </c>
      <c r="AE124" s="154">
        <f>SUM(AE125:AE126)</f>
        <v>0</v>
      </c>
      <c r="AF124" s="154">
        <f t="shared" ref="AF124:AH124" si="1162">SUM(AF125:AF126)</f>
        <v>97974.5</v>
      </c>
      <c r="AG124" s="154">
        <f t="shared" si="1162"/>
        <v>0</v>
      </c>
      <c r="AH124" s="154">
        <f t="shared" si="1162"/>
        <v>97974.5</v>
      </c>
      <c r="AI124" s="154">
        <f>SUM(AI125:AI126)</f>
        <v>0</v>
      </c>
      <c r="AJ124" s="154">
        <f t="shared" ref="AJ124:AL124" si="1163">SUM(AJ125:AJ126)</f>
        <v>97968.16</v>
      </c>
      <c r="AK124" s="154">
        <f t="shared" si="1163"/>
        <v>0</v>
      </c>
      <c r="AL124" s="154">
        <f t="shared" si="1163"/>
        <v>97968.16</v>
      </c>
      <c r="AM124" s="154">
        <f>SUM(AM125:AM126)</f>
        <v>0</v>
      </c>
      <c r="AN124" s="154">
        <f t="shared" ref="AN124:AP124" si="1164">SUM(AN125:AN126)</f>
        <v>1355381.3399999999</v>
      </c>
      <c r="AO124" s="154">
        <f t="shared" si="1164"/>
        <v>0</v>
      </c>
      <c r="AP124" s="154">
        <f t="shared" si="1164"/>
        <v>1355381.3399999999</v>
      </c>
      <c r="AQ124" s="154">
        <f t="shared" si="1152"/>
        <v>0</v>
      </c>
      <c r="AR124" s="154">
        <f t="shared" si="1152"/>
        <v>1600845.9999999998</v>
      </c>
      <c r="AS124" s="154">
        <f t="shared" si="1152"/>
        <v>0</v>
      </c>
      <c r="AT124" s="84">
        <f t="shared" si="1152"/>
        <v>1600845.9999999998</v>
      </c>
      <c r="AU124" s="154">
        <f t="shared" si="1152"/>
        <v>0</v>
      </c>
      <c r="AV124" s="154">
        <f t="shared" si="1152"/>
        <v>36815</v>
      </c>
      <c r="AW124" s="154">
        <f t="shared" si="1152"/>
        <v>0</v>
      </c>
      <c r="AX124" s="154">
        <f t="shared" si="1152"/>
        <v>36815</v>
      </c>
      <c r="AY124" s="154">
        <f>SUM(AY125:AY126)</f>
        <v>0</v>
      </c>
      <c r="AZ124" s="154">
        <f t="shared" ref="AZ124" si="1165">SUM(AZ125:AZ126)</f>
        <v>110681.5</v>
      </c>
      <c r="BA124" s="154">
        <f t="shared" ref="BA124" si="1166">SUM(BA125:BA126)</f>
        <v>0</v>
      </c>
      <c r="BB124" s="154">
        <f t="shared" ref="BB124" si="1167">SUM(BB125:BB126)</f>
        <v>110681.5</v>
      </c>
      <c r="BC124" s="154">
        <f>SUM(BC125:BC126)</f>
        <v>0</v>
      </c>
      <c r="BD124" s="154">
        <f t="shared" ref="BD124" si="1168">SUM(BD125:BD126)</f>
        <v>97968.16</v>
      </c>
      <c r="BE124" s="154">
        <f t="shared" ref="BE124" si="1169">SUM(BE125:BE126)</f>
        <v>0</v>
      </c>
      <c r="BF124" s="154">
        <f t="shared" ref="BF124" si="1170">SUM(BF125:BF126)</f>
        <v>97968.16</v>
      </c>
      <c r="BG124" s="154">
        <f>SUM(BG125:BG126)</f>
        <v>0</v>
      </c>
      <c r="BH124" s="154">
        <f t="shared" ref="BH124" si="1171">SUM(BH125:BH126)</f>
        <v>863919.56</v>
      </c>
      <c r="BI124" s="154">
        <f t="shared" ref="BI124" si="1172">SUM(BI125:BI126)</f>
        <v>0</v>
      </c>
      <c r="BJ124" s="154">
        <f t="shared" ref="BJ124" si="1173">SUM(BJ125:BJ126)</f>
        <v>863919.56</v>
      </c>
      <c r="BK124" s="154">
        <f t="shared" si="1152"/>
        <v>0</v>
      </c>
      <c r="BL124" s="154">
        <f t="shared" si="1152"/>
        <v>1109384.22</v>
      </c>
      <c r="BM124" s="154">
        <f t="shared" si="1152"/>
        <v>0</v>
      </c>
      <c r="BN124" s="154">
        <f t="shared" si="1152"/>
        <v>1109384.22</v>
      </c>
      <c r="BO124" s="170">
        <f t="shared" si="1152"/>
        <v>0</v>
      </c>
      <c r="BP124" s="154">
        <f t="shared" si="1152"/>
        <v>0</v>
      </c>
      <c r="BQ124" s="154">
        <f t="shared" si="1152"/>
        <v>40154.000000000233</v>
      </c>
      <c r="BR124" s="154">
        <f t="shared" si="1152"/>
        <v>0</v>
      </c>
      <c r="BS124" s="84">
        <f t="shared" si="1152"/>
        <v>40154.000000000233</v>
      </c>
      <c r="BT124" s="154">
        <f>SUM(BT125:BT126)</f>
        <v>0</v>
      </c>
      <c r="BU124" s="154">
        <f t="shared" ref="BU124" si="1174">SUM(BU125:BU126)</f>
        <v>0</v>
      </c>
      <c r="BV124" s="154">
        <f t="shared" ref="BV124" si="1175">SUM(BV125:BV126)</f>
        <v>0</v>
      </c>
      <c r="BW124" s="154">
        <f t="shared" ref="BW124" si="1176">SUM(BW125:BW126)</f>
        <v>0</v>
      </c>
      <c r="BX124" s="154">
        <f t="shared" ref="BX124:CA124" si="1177">SUM(BX125:BX126)</f>
        <v>0</v>
      </c>
      <c r="BY124" s="154">
        <f t="shared" si="1177"/>
        <v>491461.7799999998</v>
      </c>
      <c r="BZ124" s="154">
        <f t="shared" si="1177"/>
        <v>0</v>
      </c>
      <c r="CA124" s="126">
        <f t="shared" si="1177"/>
        <v>491461.7799999998</v>
      </c>
    </row>
    <row r="125" spans="1:91" ht="14.1" customHeight="1" x14ac:dyDescent="0.2">
      <c r="A125" s="127" t="s">
        <v>633</v>
      </c>
      <c r="B125" s="568"/>
      <c r="C125" s="568"/>
      <c r="D125" s="78" t="s">
        <v>176</v>
      </c>
      <c r="E125" s="69" t="s">
        <v>634</v>
      </c>
      <c r="G125" s="152"/>
      <c r="H125" s="152">
        <v>1538000</v>
      </c>
      <c r="I125" s="152"/>
      <c r="J125" s="152">
        <f t="shared" si="691"/>
        <v>1538000</v>
      </c>
      <c r="K125" s="152"/>
      <c r="L125" s="152"/>
      <c r="M125" s="152"/>
      <c r="N125" s="152">
        <f t="shared" ref="N125:N127" si="1178">SUM(K125:M125)</f>
        <v>0</v>
      </c>
      <c r="O125" s="152"/>
      <c r="P125" s="152"/>
      <c r="Q125" s="152"/>
      <c r="R125" s="152">
        <f t="shared" ref="R125:R127" si="1179">SUM(O125:Q125)</f>
        <v>0</v>
      </c>
      <c r="S125" s="152"/>
      <c r="T125" s="152"/>
      <c r="U125" s="152"/>
      <c r="V125" s="152">
        <f t="shared" ref="V125:V127" si="1180">SUM(S125:U125)</f>
        <v>0</v>
      </c>
      <c r="W125" s="152">
        <f>G125-O125+S125+K125</f>
        <v>0</v>
      </c>
      <c r="X125" s="152">
        <f t="shared" si="1147"/>
        <v>1538000</v>
      </c>
      <c r="Y125" s="152">
        <f t="shared" si="1147"/>
        <v>0</v>
      </c>
      <c r="Z125" s="168">
        <f>SUM(W125:Y125)</f>
        <v>1538000</v>
      </c>
      <c r="AA125" s="152"/>
      <c r="AB125" s="152">
        <f>2000+14000+5950+3390+11475+12707</f>
        <v>49522</v>
      </c>
      <c r="AC125" s="152"/>
      <c r="AD125" s="152">
        <f t="shared" ref="AD125:AD127" si="1181">SUM(AA125:AC125)</f>
        <v>49522</v>
      </c>
      <c r="AE125" s="152"/>
      <c r="AF125" s="152">
        <f>67014.5+13320+17640</f>
        <v>97974.5</v>
      </c>
      <c r="AG125" s="152"/>
      <c r="AH125" s="152">
        <f t="shared" ref="AH125:AH127" si="1182">SUM(AE125:AG125)</f>
        <v>97974.5</v>
      </c>
      <c r="AI125" s="152"/>
      <c r="AJ125" s="152">
        <f>85783.16+12185</f>
        <v>97968.16</v>
      </c>
      <c r="AK125" s="152"/>
      <c r="AL125" s="152">
        <f t="shared" ref="AL125:AL127" si="1183">SUM(AI125:AK125)</f>
        <v>97968.16</v>
      </c>
      <c r="AM125" s="152"/>
      <c r="AN125" s="152">
        <f>100911.56+3229+2965+5590+23100+7350+2884.62+1426+1280+54420+11295+3035+4320+4320+8735+20700+2400+5040+5040+5200+3500+3501+2240+2240+3520+3520+3520+3520+43800+8600+2800+2800+2800+2039+2653+2510+300000+200000-2884.62+248353.66+104512.12+3500+32096</f>
        <v>1252381.3399999999</v>
      </c>
      <c r="AO125" s="152"/>
      <c r="AP125" s="152">
        <f t="shared" ref="AP125:AP127" si="1184">SUM(AM125:AO125)</f>
        <v>1252381.3399999999</v>
      </c>
      <c r="AQ125" s="152">
        <f t="shared" si="1148"/>
        <v>0</v>
      </c>
      <c r="AR125" s="152">
        <f t="shared" si="1148"/>
        <v>1497845.9999999998</v>
      </c>
      <c r="AS125" s="152">
        <f t="shared" si="1148"/>
        <v>0</v>
      </c>
      <c r="AT125" s="168">
        <f>SUM(AQ125:AS125)</f>
        <v>1497845.9999999998</v>
      </c>
      <c r="AU125" s="152"/>
      <c r="AV125" s="152">
        <f>2000+14000+5950+3390+11475</f>
        <v>36815</v>
      </c>
      <c r="AW125" s="152"/>
      <c r="AX125" s="152">
        <f t="shared" ref="AX125:AX127" si="1185">SUM(AU125:AW125)</f>
        <v>36815</v>
      </c>
      <c r="AY125" s="152">
        <v>0</v>
      </c>
      <c r="AZ125" s="152">
        <f>79721.5+17640+13320</f>
        <v>110681.5</v>
      </c>
      <c r="BA125" s="152"/>
      <c r="BB125" s="152">
        <f t="shared" ref="BB125:BB127" si="1186">SUM(AY125:BA125)</f>
        <v>110681.5</v>
      </c>
      <c r="BC125" s="152"/>
      <c r="BD125" s="152">
        <f>85783.16+12185</f>
        <v>97968.16</v>
      </c>
      <c r="BE125" s="152"/>
      <c r="BF125" s="152">
        <f t="shared" ref="BF125:BF127" si="1187">SUM(BC125:BE125)</f>
        <v>97968.16</v>
      </c>
      <c r="BG125" s="152"/>
      <c r="BH125" s="152">
        <f>100911.56+3229+2965+5590+23100+7350+1426+1280+11295+54420+3035+4320+4320+8735+20700+2400+5040+5040+5200+3500+3501+2240+2240+3520+3520+3520+3520+43800+8600+2800+2800+2800+2039+2653+2510+300000+200000</f>
        <v>863919.56</v>
      </c>
      <c r="BI125" s="152"/>
      <c r="BJ125" s="152">
        <f t="shared" ref="BJ125:BJ127" si="1188">SUM(BG125:BI125)</f>
        <v>863919.56</v>
      </c>
      <c r="BK125" s="152">
        <f t="shared" si="1149"/>
        <v>0</v>
      </c>
      <c r="BL125" s="152">
        <f t="shared" si="1149"/>
        <v>1109384.22</v>
      </c>
      <c r="BM125" s="152">
        <f t="shared" si="1149"/>
        <v>0</v>
      </c>
      <c r="BN125" s="152">
        <f>SUM(BK125:BM125)</f>
        <v>1109384.22</v>
      </c>
      <c r="BO125" s="168"/>
      <c r="BP125" s="152">
        <f t="shared" si="1150"/>
        <v>0</v>
      </c>
      <c r="BQ125" s="152">
        <f t="shared" si="1150"/>
        <v>40154.000000000233</v>
      </c>
      <c r="BR125" s="152">
        <f t="shared" si="1150"/>
        <v>0</v>
      </c>
      <c r="BS125" s="168">
        <f>SUM(BP125:BR125)</f>
        <v>40154.000000000233</v>
      </c>
      <c r="BT125" s="152"/>
      <c r="BU125" s="152"/>
      <c r="BV125" s="152"/>
      <c r="BW125" s="152">
        <f t="shared" ref="BW125:BW127" si="1189">SUM(BT125:BV125)</f>
        <v>0</v>
      </c>
      <c r="BX125" s="152">
        <f t="shared" si="687"/>
        <v>0</v>
      </c>
      <c r="BY125" s="152">
        <f t="shared" si="688"/>
        <v>388461.7799999998</v>
      </c>
      <c r="BZ125" s="152">
        <f t="shared" si="689"/>
        <v>0</v>
      </c>
      <c r="CA125" s="587">
        <f t="shared" si="690"/>
        <v>388461.7799999998</v>
      </c>
    </row>
    <row r="126" spans="1:91" ht="14.1" customHeight="1" x14ac:dyDescent="0.2">
      <c r="A126" s="127" t="s">
        <v>635</v>
      </c>
      <c r="B126" s="568"/>
      <c r="C126" s="568"/>
      <c r="D126" s="78" t="s">
        <v>181</v>
      </c>
      <c r="E126" s="69" t="s">
        <v>636</v>
      </c>
      <c r="G126" s="152"/>
      <c r="H126" s="152">
        <v>103000</v>
      </c>
      <c r="I126" s="152"/>
      <c r="J126" s="152">
        <f t="shared" si="691"/>
        <v>103000</v>
      </c>
      <c r="K126" s="152"/>
      <c r="L126" s="152"/>
      <c r="M126" s="152"/>
      <c r="N126" s="152">
        <f t="shared" si="1178"/>
        <v>0</v>
      </c>
      <c r="O126" s="152"/>
      <c r="P126" s="152"/>
      <c r="Q126" s="152"/>
      <c r="R126" s="152">
        <f t="shared" si="1179"/>
        <v>0</v>
      </c>
      <c r="S126" s="152"/>
      <c r="T126" s="152"/>
      <c r="U126" s="152"/>
      <c r="V126" s="152">
        <f t="shared" si="1180"/>
        <v>0</v>
      </c>
      <c r="W126" s="152">
        <f>G126-O126+S126+K126</f>
        <v>0</v>
      </c>
      <c r="X126" s="152">
        <f t="shared" si="1147"/>
        <v>103000</v>
      </c>
      <c r="Y126" s="152">
        <f t="shared" si="1147"/>
        <v>0</v>
      </c>
      <c r="Z126" s="168">
        <f>SUM(W126:Y126)</f>
        <v>103000</v>
      </c>
      <c r="AA126" s="152"/>
      <c r="AB126" s="152"/>
      <c r="AC126" s="152"/>
      <c r="AD126" s="152">
        <f t="shared" si="1181"/>
        <v>0</v>
      </c>
      <c r="AE126" s="152"/>
      <c r="AF126" s="152"/>
      <c r="AG126" s="152"/>
      <c r="AH126" s="152">
        <f t="shared" si="1182"/>
        <v>0</v>
      </c>
      <c r="AI126" s="152"/>
      <c r="AJ126" s="152"/>
      <c r="AK126" s="152"/>
      <c r="AL126" s="152">
        <f t="shared" si="1183"/>
        <v>0</v>
      </c>
      <c r="AM126" s="152"/>
      <c r="AN126" s="152">
        <f>64000+39000</f>
        <v>103000</v>
      </c>
      <c r="AO126" s="152"/>
      <c r="AP126" s="152">
        <f t="shared" si="1184"/>
        <v>103000</v>
      </c>
      <c r="AQ126" s="152">
        <f t="shared" si="1148"/>
        <v>0</v>
      </c>
      <c r="AR126" s="152">
        <f t="shared" si="1148"/>
        <v>103000</v>
      </c>
      <c r="AS126" s="152">
        <f t="shared" si="1148"/>
        <v>0</v>
      </c>
      <c r="AT126" s="168">
        <f>SUM(AQ126:AS126)</f>
        <v>103000</v>
      </c>
      <c r="AU126" s="152"/>
      <c r="AV126" s="152"/>
      <c r="AW126" s="152"/>
      <c r="AX126" s="152">
        <f t="shared" si="1185"/>
        <v>0</v>
      </c>
      <c r="AY126" s="152"/>
      <c r="AZ126" s="152"/>
      <c r="BA126" s="152"/>
      <c r="BB126" s="152">
        <f t="shared" si="1186"/>
        <v>0</v>
      </c>
      <c r="BC126" s="152"/>
      <c r="BD126" s="152"/>
      <c r="BE126" s="152"/>
      <c r="BF126" s="152">
        <f t="shared" si="1187"/>
        <v>0</v>
      </c>
      <c r="BG126" s="152"/>
      <c r="BH126" s="152"/>
      <c r="BI126" s="152"/>
      <c r="BJ126" s="152">
        <f t="shared" si="1188"/>
        <v>0</v>
      </c>
      <c r="BK126" s="152">
        <f t="shared" si="1149"/>
        <v>0</v>
      </c>
      <c r="BL126" s="152">
        <f t="shared" si="1149"/>
        <v>0</v>
      </c>
      <c r="BM126" s="152">
        <f t="shared" si="1149"/>
        <v>0</v>
      </c>
      <c r="BN126" s="152">
        <f>SUM(BK126:BM126)</f>
        <v>0</v>
      </c>
      <c r="BO126" s="168"/>
      <c r="BP126" s="152">
        <f t="shared" si="1150"/>
        <v>0</v>
      </c>
      <c r="BQ126" s="152">
        <f t="shared" si="1150"/>
        <v>0</v>
      </c>
      <c r="BR126" s="152">
        <f t="shared" si="1150"/>
        <v>0</v>
      </c>
      <c r="BS126" s="168">
        <f>SUM(BP126:BR126)</f>
        <v>0</v>
      </c>
      <c r="BT126" s="152"/>
      <c r="BU126" s="152"/>
      <c r="BV126" s="152"/>
      <c r="BW126" s="152">
        <f t="shared" si="1189"/>
        <v>0</v>
      </c>
      <c r="BX126" s="152">
        <f t="shared" si="687"/>
        <v>0</v>
      </c>
      <c r="BY126" s="152">
        <f t="shared" si="688"/>
        <v>103000</v>
      </c>
      <c r="BZ126" s="152">
        <f t="shared" si="689"/>
        <v>0</v>
      </c>
      <c r="CA126" s="587">
        <f t="shared" si="690"/>
        <v>103000</v>
      </c>
    </row>
    <row r="127" spans="1:91" ht="14.1" customHeight="1" x14ac:dyDescent="0.2">
      <c r="A127" s="127" t="s">
        <v>637</v>
      </c>
      <c r="B127" s="568"/>
      <c r="C127" s="78">
        <v>1.3</v>
      </c>
      <c r="D127" s="69" t="s">
        <v>638</v>
      </c>
      <c r="E127" s="75"/>
      <c r="G127" s="152"/>
      <c r="H127" s="152">
        <v>125000</v>
      </c>
      <c r="I127" s="152"/>
      <c r="J127" s="152">
        <f t="shared" si="691"/>
        <v>125000</v>
      </c>
      <c r="K127" s="152"/>
      <c r="L127" s="152"/>
      <c r="M127" s="152"/>
      <c r="N127" s="152">
        <f t="shared" si="1178"/>
        <v>0</v>
      </c>
      <c r="O127" s="152"/>
      <c r="P127" s="152"/>
      <c r="Q127" s="152"/>
      <c r="R127" s="152">
        <f t="shared" si="1179"/>
        <v>0</v>
      </c>
      <c r="S127" s="152"/>
      <c r="T127" s="152"/>
      <c r="U127" s="152"/>
      <c r="V127" s="152">
        <f t="shared" si="1180"/>
        <v>0</v>
      </c>
      <c r="W127" s="152">
        <f>G127-O127+S127+K127</f>
        <v>0</v>
      </c>
      <c r="X127" s="152">
        <f t="shared" si="1147"/>
        <v>125000</v>
      </c>
      <c r="Y127" s="152">
        <f t="shared" si="1147"/>
        <v>0</v>
      </c>
      <c r="Z127" s="168">
        <f>SUM(W127:Y127)</f>
        <v>125000</v>
      </c>
      <c r="AA127" s="152"/>
      <c r="AB127" s="152"/>
      <c r="AC127" s="152"/>
      <c r="AD127" s="152">
        <f t="shared" si="1181"/>
        <v>0</v>
      </c>
      <c r="AE127" s="152"/>
      <c r="AF127" s="152"/>
      <c r="AG127" s="152"/>
      <c r="AH127" s="152">
        <f t="shared" si="1182"/>
        <v>0</v>
      </c>
      <c r="AI127" s="152"/>
      <c r="AJ127" s="152">
        <v>34280</v>
      </c>
      <c r="AK127" s="152"/>
      <c r="AL127" s="152">
        <f t="shared" si="1183"/>
        <v>34280</v>
      </c>
      <c r="AM127" s="152"/>
      <c r="AN127" s="152">
        <f>2040+1280+3500+3000+32096</f>
        <v>41916</v>
      </c>
      <c r="AO127" s="152"/>
      <c r="AP127" s="152">
        <f t="shared" si="1184"/>
        <v>41916</v>
      </c>
      <c r="AQ127" s="152">
        <f t="shared" si="1148"/>
        <v>0</v>
      </c>
      <c r="AR127" s="152">
        <f t="shared" si="1148"/>
        <v>76196</v>
      </c>
      <c r="AS127" s="152">
        <f t="shared" si="1148"/>
        <v>0</v>
      </c>
      <c r="AT127" s="168">
        <f>SUM(AQ127:AS127)</f>
        <v>76196</v>
      </c>
      <c r="AU127" s="152"/>
      <c r="AV127" s="152"/>
      <c r="AW127" s="152"/>
      <c r="AX127" s="152">
        <f t="shared" si="1185"/>
        <v>0</v>
      </c>
      <c r="AY127" s="152"/>
      <c r="AZ127" s="152"/>
      <c r="BA127" s="152"/>
      <c r="BB127" s="152">
        <f t="shared" si="1186"/>
        <v>0</v>
      </c>
      <c r="BC127" s="152"/>
      <c r="BD127" s="152">
        <v>34275</v>
      </c>
      <c r="BE127" s="152"/>
      <c r="BF127" s="152">
        <f t="shared" si="1187"/>
        <v>34275</v>
      </c>
      <c r="BG127" s="152"/>
      <c r="BH127" s="152">
        <f>2040+1280+3500</f>
        <v>6820</v>
      </c>
      <c r="BI127" s="152"/>
      <c r="BJ127" s="152">
        <f t="shared" si="1188"/>
        <v>6820</v>
      </c>
      <c r="BK127" s="152">
        <f t="shared" si="1149"/>
        <v>0</v>
      </c>
      <c r="BL127" s="152">
        <f t="shared" si="1149"/>
        <v>41095</v>
      </c>
      <c r="BM127" s="152">
        <f t="shared" si="1149"/>
        <v>0</v>
      </c>
      <c r="BN127" s="152">
        <f>SUM(BK127:BM127)</f>
        <v>41095</v>
      </c>
      <c r="BO127" s="168"/>
      <c r="BP127" s="152">
        <f t="shared" si="1150"/>
        <v>0</v>
      </c>
      <c r="BQ127" s="152">
        <f t="shared" si="1150"/>
        <v>48804</v>
      </c>
      <c r="BR127" s="152">
        <f t="shared" si="1150"/>
        <v>0</v>
      </c>
      <c r="BS127" s="168">
        <f>SUM(BP127:BR127)</f>
        <v>48804</v>
      </c>
      <c r="BT127" s="152"/>
      <c r="BU127" s="152"/>
      <c r="BV127" s="152"/>
      <c r="BW127" s="152">
        <f t="shared" si="1189"/>
        <v>0</v>
      </c>
      <c r="BX127" s="152">
        <f t="shared" si="687"/>
        <v>0</v>
      </c>
      <c r="BY127" s="152">
        <f t="shared" si="688"/>
        <v>35101</v>
      </c>
      <c r="BZ127" s="152">
        <f t="shared" si="689"/>
        <v>0</v>
      </c>
      <c r="CA127" s="587">
        <f t="shared" si="690"/>
        <v>35101</v>
      </c>
    </row>
    <row r="128" spans="1:91" ht="14.1" customHeight="1" x14ac:dyDescent="0.2">
      <c r="A128" s="133" t="s">
        <v>639</v>
      </c>
      <c r="B128" s="74" t="s">
        <v>131</v>
      </c>
      <c r="C128" s="73" t="s">
        <v>208</v>
      </c>
      <c r="D128" s="73"/>
      <c r="E128" s="73"/>
      <c r="G128" s="153">
        <f>SUM(G129)</f>
        <v>0</v>
      </c>
      <c r="H128" s="153">
        <f t="shared" ref="H128:I128" si="1190">SUM(H129)</f>
        <v>0</v>
      </c>
      <c r="I128" s="153">
        <f t="shared" si="1190"/>
        <v>0</v>
      </c>
      <c r="J128" s="153">
        <f t="shared" ref="J128:BS128" si="1191">SUM(J129)</f>
        <v>0</v>
      </c>
      <c r="K128" s="153">
        <f>SUM(K129)</f>
        <v>0</v>
      </c>
      <c r="L128" s="153">
        <f t="shared" ref="L128" si="1192">SUM(L129)</f>
        <v>0</v>
      </c>
      <c r="M128" s="153">
        <f t="shared" ref="M128" si="1193">SUM(M129)</f>
        <v>0</v>
      </c>
      <c r="N128" s="153">
        <f t="shared" ref="N128" si="1194">SUM(N129)</f>
        <v>0</v>
      </c>
      <c r="O128" s="153">
        <f>SUM(O129)</f>
        <v>0</v>
      </c>
      <c r="P128" s="153">
        <f t="shared" ref="P128" si="1195">SUM(P129)</f>
        <v>0</v>
      </c>
      <c r="Q128" s="153">
        <f t="shared" ref="Q128" si="1196">SUM(Q129)</f>
        <v>0</v>
      </c>
      <c r="R128" s="153">
        <f t="shared" ref="R128" si="1197">SUM(R129)</f>
        <v>0</v>
      </c>
      <c r="S128" s="153">
        <f>SUM(S129)</f>
        <v>0</v>
      </c>
      <c r="T128" s="153">
        <f t="shared" ref="T128" si="1198">SUM(T129)</f>
        <v>0</v>
      </c>
      <c r="U128" s="153">
        <f t="shared" ref="U128" si="1199">SUM(U129)</f>
        <v>0</v>
      </c>
      <c r="V128" s="153">
        <f t="shared" ref="V128" si="1200">SUM(V129)</f>
        <v>0</v>
      </c>
      <c r="W128" s="153">
        <f t="shared" si="1191"/>
        <v>0</v>
      </c>
      <c r="X128" s="153">
        <f t="shared" si="1191"/>
        <v>0</v>
      </c>
      <c r="Y128" s="153">
        <f t="shared" si="1191"/>
        <v>0</v>
      </c>
      <c r="Z128" s="85">
        <f t="shared" si="1191"/>
        <v>0</v>
      </c>
      <c r="AA128" s="153">
        <f t="shared" si="1191"/>
        <v>0</v>
      </c>
      <c r="AB128" s="153">
        <f t="shared" si="1191"/>
        <v>0</v>
      </c>
      <c r="AC128" s="153">
        <f t="shared" si="1191"/>
        <v>0</v>
      </c>
      <c r="AD128" s="153">
        <f t="shared" si="1191"/>
        <v>0</v>
      </c>
      <c r="AE128" s="153">
        <f>SUM(AE129)</f>
        <v>0</v>
      </c>
      <c r="AF128" s="153">
        <f t="shared" ref="AF128:AH128" si="1201">SUM(AF129)</f>
        <v>0</v>
      </c>
      <c r="AG128" s="153">
        <f t="shared" si="1201"/>
        <v>0</v>
      </c>
      <c r="AH128" s="153">
        <f t="shared" si="1201"/>
        <v>0</v>
      </c>
      <c r="AI128" s="153">
        <f>SUM(AI129)</f>
        <v>0</v>
      </c>
      <c r="AJ128" s="153">
        <f t="shared" ref="AJ128:AL128" si="1202">SUM(AJ129)</f>
        <v>0</v>
      </c>
      <c r="AK128" s="153">
        <f t="shared" si="1202"/>
        <v>0</v>
      </c>
      <c r="AL128" s="153">
        <f t="shared" si="1202"/>
        <v>0</v>
      </c>
      <c r="AM128" s="153">
        <f>SUM(AM129)</f>
        <v>0</v>
      </c>
      <c r="AN128" s="153">
        <f t="shared" ref="AN128:AX128" si="1203">SUM(AN129)</f>
        <v>0</v>
      </c>
      <c r="AO128" s="153">
        <f t="shared" si="1203"/>
        <v>0</v>
      </c>
      <c r="AP128" s="153">
        <f t="shared" si="1203"/>
        <v>0</v>
      </c>
      <c r="AQ128" s="153">
        <f t="shared" si="1203"/>
        <v>0</v>
      </c>
      <c r="AR128" s="153">
        <f t="shared" si="1203"/>
        <v>0</v>
      </c>
      <c r="AS128" s="153">
        <f t="shared" si="1203"/>
        <v>0</v>
      </c>
      <c r="AT128" s="85">
        <f t="shared" si="1203"/>
        <v>0</v>
      </c>
      <c r="AU128" s="153">
        <f t="shared" si="1203"/>
        <v>0</v>
      </c>
      <c r="AV128" s="153">
        <f t="shared" si="1203"/>
        <v>0</v>
      </c>
      <c r="AW128" s="153">
        <f t="shared" si="1203"/>
        <v>0</v>
      </c>
      <c r="AX128" s="153">
        <f t="shared" si="1203"/>
        <v>0</v>
      </c>
      <c r="AY128" s="153">
        <f>SUM(AY129)</f>
        <v>0</v>
      </c>
      <c r="AZ128" s="153">
        <f t="shared" ref="AZ128" si="1204">SUM(AZ129)</f>
        <v>0</v>
      </c>
      <c r="BA128" s="153">
        <f t="shared" ref="BA128" si="1205">SUM(BA129)</f>
        <v>0</v>
      </c>
      <c r="BB128" s="153">
        <f t="shared" ref="BB128" si="1206">SUM(BB129)</f>
        <v>0</v>
      </c>
      <c r="BC128" s="153">
        <f>SUM(BC129)</f>
        <v>0</v>
      </c>
      <c r="BD128" s="153">
        <f t="shared" ref="BD128" si="1207">SUM(BD129)</f>
        <v>0</v>
      </c>
      <c r="BE128" s="153">
        <f t="shared" ref="BE128" si="1208">SUM(BE129)</f>
        <v>0</v>
      </c>
      <c r="BF128" s="153">
        <f t="shared" ref="BF128" si="1209">SUM(BF129)</f>
        <v>0</v>
      </c>
      <c r="BG128" s="153">
        <f>SUM(BG129)</f>
        <v>0</v>
      </c>
      <c r="BH128" s="153">
        <f t="shared" ref="BH128" si="1210">SUM(BH129)</f>
        <v>0</v>
      </c>
      <c r="BI128" s="153">
        <f t="shared" ref="BI128" si="1211">SUM(BI129)</f>
        <v>0</v>
      </c>
      <c r="BJ128" s="153">
        <f t="shared" ref="BJ128" si="1212">SUM(BJ129)</f>
        <v>0</v>
      </c>
      <c r="BK128" s="153">
        <f t="shared" si="1191"/>
        <v>0</v>
      </c>
      <c r="BL128" s="153">
        <f t="shared" si="1191"/>
        <v>0</v>
      </c>
      <c r="BM128" s="153">
        <f t="shared" si="1191"/>
        <v>0</v>
      </c>
      <c r="BN128" s="153">
        <f t="shared" si="1191"/>
        <v>0</v>
      </c>
      <c r="BO128" s="169">
        <f t="shared" si="1191"/>
        <v>0</v>
      </c>
      <c r="BP128" s="153">
        <f t="shared" si="1191"/>
        <v>0</v>
      </c>
      <c r="BQ128" s="153">
        <f t="shared" si="1191"/>
        <v>0</v>
      </c>
      <c r="BR128" s="153">
        <f t="shared" si="1191"/>
        <v>0</v>
      </c>
      <c r="BS128" s="85">
        <f t="shared" si="1191"/>
        <v>0</v>
      </c>
      <c r="BT128" s="153">
        <f>SUM(BT129)</f>
        <v>0</v>
      </c>
      <c r="BU128" s="153">
        <f t="shared" ref="BU128" si="1213">SUM(BU129)</f>
        <v>0</v>
      </c>
      <c r="BV128" s="153">
        <f t="shared" ref="BV128" si="1214">SUM(BV129)</f>
        <v>0</v>
      </c>
      <c r="BW128" s="153">
        <f t="shared" ref="BW128" si="1215">SUM(BW129)</f>
        <v>0</v>
      </c>
      <c r="BX128" s="153">
        <f t="shared" ref="BX128:CA128" si="1216">SUM(BX129)</f>
        <v>0</v>
      </c>
      <c r="BY128" s="153">
        <f t="shared" si="1216"/>
        <v>0</v>
      </c>
      <c r="BZ128" s="153">
        <f t="shared" si="1216"/>
        <v>0</v>
      </c>
      <c r="CA128" s="124">
        <f t="shared" si="1216"/>
        <v>0</v>
      </c>
    </row>
    <row r="129" spans="1:79" ht="14.1" customHeight="1" x14ac:dyDescent="0.2">
      <c r="A129" s="127" t="s">
        <v>640</v>
      </c>
      <c r="B129" s="568"/>
      <c r="C129" s="78">
        <v>1</v>
      </c>
      <c r="D129" s="69" t="s">
        <v>641</v>
      </c>
      <c r="E129" s="75"/>
      <c r="G129" s="152"/>
      <c r="H129" s="152"/>
      <c r="I129" s="152"/>
      <c r="J129" s="152">
        <f t="shared" si="691"/>
        <v>0</v>
      </c>
      <c r="K129" s="152"/>
      <c r="L129" s="152"/>
      <c r="M129" s="152"/>
      <c r="N129" s="152">
        <f t="shared" ref="N129" si="1217">SUM(K129:M129)</f>
        <v>0</v>
      </c>
      <c r="O129" s="152"/>
      <c r="P129" s="152"/>
      <c r="Q129" s="152"/>
      <c r="R129" s="152">
        <f t="shared" ref="R129" si="1218">SUM(O129:Q129)</f>
        <v>0</v>
      </c>
      <c r="S129" s="152"/>
      <c r="T129" s="152"/>
      <c r="U129" s="152"/>
      <c r="V129" s="152">
        <f t="shared" ref="V129" si="1219">SUM(S129:U129)</f>
        <v>0</v>
      </c>
      <c r="W129" s="152">
        <f>G129-O129+S129+K129</f>
        <v>0</v>
      </c>
      <c r="X129" s="152">
        <f t="shared" ref="X129:Y129" si="1220">H129-P129+T129+L129</f>
        <v>0</v>
      </c>
      <c r="Y129" s="152">
        <f t="shared" si="1220"/>
        <v>0</v>
      </c>
      <c r="Z129" s="168">
        <f>SUM(W129:Y129)</f>
        <v>0</v>
      </c>
      <c r="AA129" s="152"/>
      <c r="AB129" s="152"/>
      <c r="AC129" s="152"/>
      <c r="AD129" s="152">
        <f t="shared" ref="AD129" si="1221">SUM(AA129:AC129)</f>
        <v>0</v>
      </c>
      <c r="AE129" s="152"/>
      <c r="AF129" s="152"/>
      <c r="AG129" s="152"/>
      <c r="AH129" s="152">
        <f t="shared" ref="AH129" si="1222">SUM(AE129:AG129)</f>
        <v>0</v>
      </c>
      <c r="AI129" s="152"/>
      <c r="AJ129" s="152"/>
      <c r="AK129" s="152"/>
      <c r="AL129" s="152">
        <f t="shared" ref="AL129" si="1223">SUM(AI129:AK129)</f>
        <v>0</v>
      </c>
      <c r="AM129" s="152"/>
      <c r="AN129" s="152"/>
      <c r="AO129" s="152"/>
      <c r="AP129" s="152">
        <f t="shared" ref="AP129" si="1224">SUM(AM129:AO129)</f>
        <v>0</v>
      </c>
      <c r="AQ129" s="152">
        <f t="shared" ref="AQ129:AS129" si="1225">AA129+AE129+AI129+AM129</f>
        <v>0</v>
      </c>
      <c r="AR129" s="152">
        <f t="shared" si="1225"/>
        <v>0</v>
      </c>
      <c r="AS129" s="152">
        <f t="shared" si="1225"/>
        <v>0</v>
      </c>
      <c r="AT129" s="168">
        <f>SUM(AQ129:AS129)</f>
        <v>0</v>
      </c>
      <c r="AU129" s="152"/>
      <c r="AV129" s="152"/>
      <c r="AW129" s="152"/>
      <c r="AX129" s="152">
        <f t="shared" ref="AX129" si="1226">SUM(AU129:AW129)</f>
        <v>0</v>
      </c>
      <c r="AY129" s="152"/>
      <c r="AZ129" s="152"/>
      <c r="BA129" s="152"/>
      <c r="BB129" s="152">
        <f t="shared" ref="BB129" si="1227">SUM(AY129:BA129)</f>
        <v>0</v>
      </c>
      <c r="BC129" s="152"/>
      <c r="BD129" s="152"/>
      <c r="BE129" s="152"/>
      <c r="BF129" s="152">
        <f t="shared" ref="BF129" si="1228">SUM(BC129:BE129)</f>
        <v>0</v>
      </c>
      <c r="BG129" s="152"/>
      <c r="BH129" s="152"/>
      <c r="BI129" s="152"/>
      <c r="BJ129" s="152">
        <f t="shared" ref="BJ129" si="1229">SUM(BG129:BI129)</f>
        <v>0</v>
      </c>
      <c r="BK129" s="152">
        <f t="shared" ref="BK129:BM129" si="1230">AU129+AY129+BC129+BG129</f>
        <v>0</v>
      </c>
      <c r="BL129" s="152">
        <f t="shared" si="1230"/>
        <v>0</v>
      </c>
      <c r="BM129" s="152">
        <f t="shared" si="1230"/>
        <v>0</v>
      </c>
      <c r="BN129" s="152">
        <f>SUM(BK129:BM129)</f>
        <v>0</v>
      </c>
      <c r="BO129" s="168"/>
      <c r="BP129" s="152">
        <f t="shared" ref="BP129:BR129" si="1231">W129-AQ129</f>
        <v>0</v>
      </c>
      <c r="BQ129" s="152">
        <f t="shared" si="1231"/>
        <v>0</v>
      </c>
      <c r="BR129" s="152">
        <f t="shared" si="1231"/>
        <v>0</v>
      </c>
      <c r="BS129" s="168">
        <f>SUM(BP129:BR129)</f>
        <v>0</v>
      </c>
      <c r="BT129" s="152"/>
      <c r="BU129" s="152"/>
      <c r="BV129" s="152"/>
      <c r="BW129" s="152">
        <f t="shared" ref="BW129" si="1232">SUM(BT129:BV129)</f>
        <v>0</v>
      </c>
      <c r="BX129" s="152">
        <f t="shared" si="687"/>
        <v>0</v>
      </c>
      <c r="BY129" s="152">
        <f t="shared" si="688"/>
        <v>0</v>
      </c>
      <c r="BZ129" s="152">
        <f t="shared" si="689"/>
        <v>0</v>
      </c>
      <c r="CA129" s="587">
        <f t="shared" si="690"/>
        <v>0</v>
      </c>
    </row>
    <row r="130" spans="1:79" ht="14.1" customHeight="1" x14ac:dyDescent="0.2">
      <c r="A130" s="526" t="s">
        <v>218</v>
      </c>
      <c r="B130" s="523" t="s">
        <v>219</v>
      </c>
      <c r="C130" s="523"/>
      <c r="D130" s="523"/>
      <c r="E130" s="528"/>
      <c r="F130" s="525"/>
      <c r="G130" s="555">
        <f>G131+G132+G136</f>
        <v>0</v>
      </c>
      <c r="H130" s="555">
        <f t="shared" ref="H130:I130" si="1233">H131+H132+H136</f>
        <v>0</v>
      </c>
      <c r="I130" s="555">
        <f t="shared" si="1233"/>
        <v>0</v>
      </c>
      <c r="J130" s="555">
        <f t="shared" ref="J130:BS130" si="1234">J131+J132+J136</f>
        <v>0</v>
      </c>
      <c r="K130" s="555">
        <f>K131+K132+K136</f>
        <v>0</v>
      </c>
      <c r="L130" s="555">
        <f t="shared" ref="L130" si="1235">L131+L132+L136</f>
        <v>0</v>
      </c>
      <c r="M130" s="555">
        <f t="shared" ref="M130" si="1236">M131+M132+M136</f>
        <v>0</v>
      </c>
      <c r="N130" s="555">
        <f t="shared" ref="N130" si="1237">N131+N132+N136</f>
        <v>0</v>
      </c>
      <c r="O130" s="555">
        <f>O131+O132+O136</f>
        <v>0</v>
      </c>
      <c r="P130" s="555">
        <f t="shared" ref="P130" si="1238">P131+P132+P136</f>
        <v>0</v>
      </c>
      <c r="Q130" s="555">
        <f t="shared" ref="Q130" si="1239">Q131+Q132+Q136</f>
        <v>0</v>
      </c>
      <c r="R130" s="555">
        <f t="shared" ref="R130" si="1240">R131+R132+R136</f>
        <v>0</v>
      </c>
      <c r="S130" s="555">
        <f>S131+S132+S136</f>
        <v>0</v>
      </c>
      <c r="T130" s="555">
        <f t="shared" ref="T130" si="1241">T131+T132+T136</f>
        <v>0</v>
      </c>
      <c r="U130" s="555">
        <f t="shared" ref="U130" si="1242">U131+U132+U136</f>
        <v>0</v>
      </c>
      <c r="V130" s="555">
        <f t="shared" ref="V130" si="1243">V131+V132+V136</f>
        <v>0</v>
      </c>
      <c r="W130" s="555">
        <f t="shared" si="1234"/>
        <v>0</v>
      </c>
      <c r="X130" s="555">
        <f t="shared" si="1234"/>
        <v>0</v>
      </c>
      <c r="Y130" s="555">
        <f t="shared" si="1234"/>
        <v>0</v>
      </c>
      <c r="Z130" s="556">
        <f t="shared" si="1234"/>
        <v>0</v>
      </c>
      <c r="AA130" s="555">
        <f t="shared" si="1234"/>
        <v>0</v>
      </c>
      <c r="AB130" s="555">
        <f t="shared" si="1234"/>
        <v>0</v>
      </c>
      <c r="AC130" s="555">
        <f t="shared" si="1234"/>
        <v>0</v>
      </c>
      <c r="AD130" s="555">
        <f t="shared" si="1234"/>
        <v>0</v>
      </c>
      <c r="AE130" s="555">
        <f>AE131+AE132+AE136</f>
        <v>0</v>
      </c>
      <c r="AF130" s="555">
        <f t="shared" ref="AF130:AH130" si="1244">AF131+AF132+AF136</f>
        <v>0</v>
      </c>
      <c r="AG130" s="555">
        <f t="shared" si="1244"/>
        <v>0</v>
      </c>
      <c r="AH130" s="555">
        <f t="shared" si="1244"/>
        <v>0</v>
      </c>
      <c r="AI130" s="555">
        <f>AI131+AI132+AI136</f>
        <v>0</v>
      </c>
      <c r="AJ130" s="555">
        <f t="shared" ref="AJ130:AL130" si="1245">AJ131+AJ132+AJ136</f>
        <v>0</v>
      </c>
      <c r="AK130" s="555">
        <f t="shared" si="1245"/>
        <v>0</v>
      </c>
      <c r="AL130" s="555">
        <f t="shared" si="1245"/>
        <v>0</v>
      </c>
      <c r="AM130" s="555">
        <f>AM131+AM132+AM136</f>
        <v>0</v>
      </c>
      <c r="AN130" s="555">
        <f t="shared" ref="AN130:AP130" si="1246">AN131+AN132+AN136</f>
        <v>0</v>
      </c>
      <c r="AO130" s="555">
        <f t="shared" si="1246"/>
        <v>0</v>
      </c>
      <c r="AP130" s="555">
        <f t="shared" si="1246"/>
        <v>0</v>
      </c>
      <c r="AQ130" s="555">
        <f t="shared" si="1234"/>
        <v>0</v>
      </c>
      <c r="AR130" s="555">
        <f t="shared" si="1234"/>
        <v>0</v>
      </c>
      <c r="AS130" s="555">
        <f t="shared" si="1234"/>
        <v>0</v>
      </c>
      <c r="AT130" s="556">
        <f t="shared" si="1234"/>
        <v>0</v>
      </c>
      <c r="AU130" s="555">
        <f t="shared" si="1234"/>
        <v>0</v>
      </c>
      <c r="AV130" s="555">
        <f t="shared" si="1234"/>
        <v>0</v>
      </c>
      <c r="AW130" s="555">
        <f t="shared" si="1234"/>
        <v>0</v>
      </c>
      <c r="AX130" s="555">
        <f t="shared" si="1234"/>
        <v>0</v>
      </c>
      <c r="AY130" s="555">
        <f>AY131+AY132+AY136</f>
        <v>0</v>
      </c>
      <c r="AZ130" s="555">
        <f t="shared" ref="AZ130" si="1247">AZ131+AZ132+AZ136</f>
        <v>0</v>
      </c>
      <c r="BA130" s="555">
        <f t="shared" ref="BA130" si="1248">BA131+BA132+BA136</f>
        <v>0</v>
      </c>
      <c r="BB130" s="555">
        <f t="shared" ref="BB130" si="1249">BB131+BB132+BB136</f>
        <v>0</v>
      </c>
      <c r="BC130" s="555">
        <f>BC131+BC132+BC136</f>
        <v>0</v>
      </c>
      <c r="BD130" s="555">
        <f t="shared" ref="BD130" si="1250">BD131+BD132+BD136</f>
        <v>0</v>
      </c>
      <c r="BE130" s="555">
        <f t="shared" ref="BE130" si="1251">BE131+BE132+BE136</f>
        <v>0</v>
      </c>
      <c r="BF130" s="555">
        <f t="shared" ref="BF130" si="1252">BF131+BF132+BF136</f>
        <v>0</v>
      </c>
      <c r="BG130" s="555">
        <f>BG131+BG132+BG136</f>
        <v>0</v>
      </c>
      <c r="BH130" s="555">
        <f t="shared" ref="BH130" si="1253">BH131+BH132+BH136</f>
        <v>0</v>
      </c>
      <c r="BI130" s="555">
        <f t="shared" ref="BI130" si="1254">BI131+BI132+BI136</f>
        <v>0</v>
      </c>
      <c r="BJ130" s="555">
        <f t="shared" ref="BJ130" si="1255">BJ131+BJ132+BJ136</f>
        <v>0</v>
      </c>
      <c r="BK130" s="555">
        <f t="shared" si="1234"/>
        <v>0</v>
      </c>
      <c r="BL130" s="555">
        <f t="shared" si="1234"/>
        <v>0</v>
      </c>
      <c r="BM130" s="555">
        <f t="shared" si="1234"/>
        <v>0</v>
      </c>
      <c r="BN130" s="555">
        <f t="shared" si="1234"/>
        <v>0</v>
      </c>
      <c r="BO130" s="557">
        <f t="shared" si="1234"/>
        <v>0</v>
      </c>
      <c r="BP130" s="555">
        <f t="shared" si="1234"/>
        <v>0</v>
      </c>
      <c r="BQ130" s="555">
        <f t="shared" si="1234"/>
        <v>0</v>
      </c>
      <c r="BR130" s="555">
        <f t="shared" si="1234"/>
        <v>0</v>
      </c>
      <c r="BS130" s="556">
        <f t="shared" si="1234"/>
        <v>0</v>
      </c>
      <c r="BT130" s="555">
        <f>BT131+BT132+BT136</f>
        <v>0</v>
      </c>
      <c r="BU130" s="555">
        <f t="shared" ref="BU130" si="1256">BU131+BU132+BU136</f>
        <v>0</v>
      </c>
      <c r="BV130" s="555">
        <f t="shared" ref="BV130" si="1257">BV131+BV132+BV136</f>
        <v>0</v>
      </c>
      <c r="BW130" s="555">
        <f t="shared" ref="BW130" si="1258">BW131+BW132+BW136</f>
        <v>0</v>
      </c>
      <c r="BX130" s="555">
        <f t="shared" ref="BX130:CA130" si="1259">BX131+BX132+BX136</f>
        <v>0</v>
      </c>
      <c r="BY130" s="555">
        <f t="shared" si="1259"/>
        <v>0</v>
      </c>
      <c r="BZ130" s="555">
        <f t="shared" si="1259"/>
        <v>0</v>
      </c>
      <c r="CA130" s="558">
        <f t="shared" si="1259"/>
        <v>0</v>
      </c>
    </row>
    <row r="131" spans="1:79" ht="14.1" customHeight="1" x14ac:dyDescent="0.2">
      <c r="A131" s="133" t="s">
        <v>220</v>
      </c>
      <c r="B131" s="78" t="s">
        <v>126</v>
      </c>
      <c r="C131" s="568" t="s">
        <v>642</v>
      </c>
      <c r="D131" s="78"/>
      <c r="E131" s="79"/>
      <c r="G131" s="152"/>
      <c r="H131" s="152"/>
      <c r="I131" s="152"/>
      <c r="J131" s="152">
        <f t="shared" si="691"/>
        <v>0</v>
      </c>
      <c r="K131" s="152"/>
      <c r="L131" s="152"/>
      <c r="M131" s="152"/>
      <c r="N131" s="152">
        <f t="shared" ref="N131" si="1260">SUM(K131:M131)</f>
        <v>0</v>
      </c>
      <c r="O131" s="152"/>
      <c r="P131" s="152"/>
      <c r="Q131" s="152"/>
      <c r="R131" s="152">
        <f t="shared" ref="R131" si="1261">SUM(O131:Q131)</f>
        <v>0</v>
      </c>
      <c r="S131" s="152"/>
      <c r="T131" s="152"/>
      <c r="U131" s="152"/>
      <c r="V131" s="152">
        <f t="shared" ref="V131" si="1262">SUM(S131:U131)</f>
        <v>0</v>
      </c>
      <c r="W131" s="152">
        <f t="shared" ref="W131:W136" si="1263">G131-O131+S131+K131</f>
        <v>0</v>
      </c>
      <c r="X131" s="152">
        <f t="shared" ref="X131:Y136" si="1264">H131-P131+T131+L131</f>
        <v>0</v>
      </c>
      <c r="Y131" s="152">
        <f t="shared" si="1264"/>
        <v>0</v>
      </c>
      <c r="Z131" s="168">
        <f t="shared" ref="Z131:Z136" si="1265">SUM(W131:Y131)</f>
        <v>0</v>
      </c>
      <c r="AA131" s="152"/>
      <c r="AB131" s="152"/>
      <c r="AC131" s="152"/>
      <c r="AD131" s="152">
        <f t="shared" ref="AD131" si="1266">SUM(AA131:AC131)</f>
        <v>0</v>
      </c>
      <c r="AE131" s="152"/>
      <c r="AF131" s="152"/>
      <c r="AG131" s="152"/>
      <c r="AH131" s="152">
        <f t="shared" ref="AH131" si="1267">SUM(AE131:AG131)</f>
        <v>0</v>
      </c>
      <c r="AI131" s="152"/>
      <c r="AJ131" s="152"/>
      <c r="AK131" s="152"/>
      <c r="AL131" s="152">
        <f t="shared" ref="AL131" si="1268">SUM(AI131:AK131)</f>
        <v>0</v>
      </c>
      <c r="AM131" s="152"/>
      <c r="AN131" s="152"/>
      <c r="AO131" s="152"/>
      <c r="AP131" s="152">
        <f t="shared" ref="AP131" si="1269">SUM(AM131:AO131)</f>
        <v>0</v>
      </c>
      <c r="AQ131" s="152">
        <f t="shared" ref="AQ131:AS136" si="1270">AA131+AE131+AI131+AM131</f>
        <v>0</v>
      </c>
      <c r="AR131" s="152">
        <f t="shared" si="1270"/>
        <v>0</v>
      </c>
      <c r="AS131" s="152">
        <f t="shared" si="1270"/>
        <v>0</v>
      </c>
      <c r="AT131" s="168">
        <f t="shared" ref="AT131:AT136" si="1271">SUM(AQ131:AS131)</f>
        <v>0</v>
      </c>
      <c r="AU131" s="152"/>
      <c r="AV131" s="152"/>
      <c r="AW131" s="152"/>
      <c r="AX131" s="152">
        <f t="shared" ref="AX131" si="1272">SUM(AU131:AW131)</f>
        <v>0</v>
      </c>
      <c r="AY131" s="152"/>
      <c r="AZ131" s="152"/>
      <c r="BA131" s="152"/>
      <c r="BB131" s="152">
        <f t="shared" ref="BB131" si="1273">SUM(AY131:BA131)</f>
        <v>0</v>
      </c>
      <c r="BC131" s="152"/>
      <c r="BD131" s="152"/>
      <c r="BE131" s="152"/>
      <c r="BF131" s="152">
        <f t="shared" ref="BF131" si="1274">SUM(BC131:BE131)</f>
        <v>0</v>
      </c>
      <c r="BG131" s="152"/>
      <c r="BH131" s="152"/>
      <c r="BI131" s="152"/>
      <c r="BJ131" s="152">
        <f t="shared" ref="BJ131" si="1275">SUM(BG131:BI131)</f>
        <v>0</v>
      </c>
      <c r="BK131" s="152">
        <f t="shared" ref="BK131:BM136" si="1276">AU131+AY131+BC131+BG131</f>
        <v>0</v>
      </c>
      <c r="BL131" s="152">
        <f t="shared" si="1276"/>
        <v>0</v>
      </c>
      <c r="BM131" s="152">
        <f t="shared" si="1276"/>
        <v>0</v>
      </c>
      <c r="BN131" s="152">
        <f t="shared" ref="BN131:BN136" si="1277">SUM(BK131:BM131)</f>
        <v>0</v>
      </c>
      <c r="BO131" s="168"/>
      <c r="BP131" s="152">
        <f t="shared" ref="BP131:BR136" si="1278">W131-AQ131</f>
        <v>0</v>
      </c>
      <c r="BQ131" s="152">
        <f t="shared" si="1278"/>
        <v>0</v>
      </c>
      <c r="BR131" s="152">
        <f t="shared" si="1278"/>
        <v>0</v>
      </c>
      <c r="BS131" s="168">
        <f t="shared" ref="BS131:BS136" si="1279">SUM(BP131:BR131)</f>
        <v>0</v>
      </c>
      <c r="BT131" s="152"/>
      <c r="BU131" s="152"/>
      <c r="BV131" s="152"/>
      <c r="BW131" s="152">
        <f t="shared" ref="BW131" si="1280">SUM(BT131:BV131)</f>
        <v>0</v>
      </c>
      <c r="BX131" s="152">
        <f t="shared" si="687"/>
        <v>0</v>
      </c>
      <c r="BY131" s="152">
        <f t="shared" si="688"/>
        <v>0</v>
      </c>
      <c r="BZ131" s="152">
        <f t="shared" si="689"/>
        <v>0</v>
      </c>
      <c r="CA131" s="587">
        <f t="shared" si="690"/>
        <v>0</v>
      </c>
    </row>
    <row r="132" spans="1:79" ht="14.1" customHeight="1" x14ac:dyDescent="0.2">
      <c r="A132" s="133" t="s">
        <v>221</v>
      </c>
      <c r="B132" s="78" t="s">
        <v>131</v>
      </c>
      <c r="C132" s="568" t="s">
        <v>643</v>
      </c>
      <c r="D132" s="78"/>
      <c r="E132" s="79"/>
      <c r="G132" s="161">
        <f>SUM(G133:G135)</f>
        <v>0</v>
      </c>
      <c r="H132" s="161">
        <f t="shared" ref="H132:I132" si="1281">SUM(H133:H135)</f>
        <v>0</v>
      </c>
      <c r="I132" s="161">
        <f t="shared" si="1281"/>
        <v>0</v>
      </c>
      <c r="J132" s="161">
        <f t="shared" ref="J132:BS132" si="1282">SUM(J133:J135)</f>
        <v>0</v>
      </c>
      <c r="K132" s="161">
        <f>SUM(K133:K135)</f>
        <v>0</v>
      </c>
      <c r="L132" s="161">
        <f t="shared" ref="L132" si="1283">SUM(L133:L135)</f>
        <v>0</v>
      </c>
      <c r="M132" s="161">
        <f t="shared" ref="M132" si="1284">SUM(M133:M135)</f>
        <v>0</v>
      </c>
      <c r="N132" s="161">
        <f t="shared" ref="N132" si="1285">SUM(N133:N135)</f>
        <v>0</v>
      </c>
      <c r="O132" s="161">
        <f>SUM(O133:O135)</f>
        <v>0</v>
      </c>
      <c r="P132" s="161">
        <f t="shared" ref="P132" si="1286">SUM(P133:P135)</f>
        <v>0</v>
      </c>
      <c r="Q132" s="161">
        <f t="shared" ref="Q132" si="1287">SUM(Q133:Q135)</f>
        <v>0</v>
      </c>
      <c r="R132" s="161">
        <f t="shared" ref="R132" si="1288">SUM(R133:R135)</f>
        <v>0</v>
      </c>
      <c r="S132" s="161">
        <f>SUM(S133:S135)</f>
        <v>0</v>
      </c>
      <c r="T132" s="161">
        <f t="shared" ref="T132" si="1289">SUM(T133:T135)</f>
        <v>0</v>
      </c>
      <c r="U132" s="161">
        <f t="shared" ref="U132" si="1290">SUM(U133:U135)</f>
        <v>0</v>
      </c>
      <c r="V132" s="161">
        <f t="shared" ref="V132" si="1291">SUM(V133:V135)</f>
        <v>0</v>
      </c>
      <c r="W132" s="161">
        <f t="shared" si="1282"/>
        <v>0</v>
      </c>
      <c r="X132" s="161">
        <f t="shared" si="1282"/>
        <v>0</v>
      </c>
      <c r="Y132" s="161">
        <f t="shared" si="1282"/>
        <v>0</v>
      </c>
      <c r="Z132" s="97">
        <f t="shared" si="1282"/>
        <v>0</v>
      </c>
      <c r="AA132" s="161">
        <f t="shared" si="1282"/>
        <v>0</v>
      </c>
      <c r="AB132" s="161">
        <f t="shared" si="1282"/>
        <v>0</v>
      </c>
      <c r="AC132" s="161">
        <f t="shared" si="1282"/>
        <v>0</v>
      </c>
      <c r="AD132" s="161">
        <f t="shared" si="1282"/>
        <v>0</v>
      </c>
      <c r="AE132" s="161">
        <f>SUM(AE133:AE135)</f>
        <v>0</v>
      </c>
      <c r="AF132" s="161">
        <f t="shared" ref="AF132:AH132" si="1292">SUM(AF133:AF135)</f>
        <v>0</v>
      </c>
      <c r="AG132" s="161">
        <f t="shared" si="1292"/>
        <v>0</v>
      </c>
      <c r="AH132" s="161">
        <f t="shared" si="1292"/>
        <v>0</v>
      </c>
      <c r="AI132" s="161">
        <f>SUM(AI133:AI135)</f>
        <v>0</v>
      </c>
      <c r="AJ132" s="161">
        <f t="shared" ref="AJ132:AL132" si="1293">SUM(AJ133:AJ135)</f>
        <v>0</v>
      </c>
      <c r="AK132" s="161">
        <f t="shared" si="1293"/>
        <v>0</v>
      </c>
      <c r="AL132" s="161">
        <f t="shared" si="1293"/>
        <v>0</v>
      </c>
      <c r="AM132" s="161">
        <f>SUM(AM133:AM135)</f>
        <v>0</v>
      </c>
      <c r="AN132" s="161">
        <f t="shared" ref="AN132:AP132" si="1294">SUM(AN133:AN135)</f>
        <v>0</v>
      </c>
      <c r="AO132" s="161">
        <f t="shared" si="1294"/>
        <v>0</v>
      </c>
      <c r="AP132" s="161">
        <f t="shared" si="1294"/>
        <v>0</v>
      </c>
      <c r="AQ132" s="161">
        <f t="shared" si="1282"/>
        <v>0</v>
      </c>
      <c r="AR132" s="161">
        <f t="shared" si="1282"/>
        <v>0</v>
      </c>
      <c r="AS132" s="161">
        <f t="shared" si="1282"/>
        <v>0</v>
      </c>
      <c r="AT132" s="97">
        <f t="shared" si="1282"/>
        <v>0</v>
      </c>
      <c r="AU132" s="161">
        <f t="shared" si="1282"/>
        <v>0</v>
      </c>
      <c r="AV132" s="161">
        <f t="shared" si="1282"/>
        <v>0</v>
      </c>
      <c r="AW132" s="161">
        <f t="shared" si="1282"/>
        <v>0</v>
      </c>
      <c r="AX132" s="161">
        <f t="shared" si="1282"/>
        <v>0</v>
      </c>
      <c r="AY132" s="161">
        <f>SUM(AY133:AY135)</f>
        <v>0</v>
      </c>
      <c r="AZ132" s="161">
        <f t="shared" ref="AZ132" si="1295">SUM(AZ133:AZ135)</f>
        <v>0</v>
      </c>
      <c r="BA132" s="161">
        <f t="shared" ref="BA132" si="1296">SUM(BA133:BA135)</f>
        <v>0</v>
      </c>
      <c r="BB132" s="161">
        <f t="shared" ref="BB132" si="1297">SUM(BB133:BB135)</f>
        <v>0</v>
      </c>
      <c r="BC132" s="161">
        <f>SUM(BC133:BC135)</f>
        <v>0</v>
      </c>
      <c r="BD132" s="161">
        <f t="shared" ref="BD132" si="1298">SUM(BD133:BD135)</f>
        <v>0</v>
      </c>
      <c r="BE132" s="161">
        <f t="shared" ref="BE132" si="1299">SUM(BE133:BE135)</f>
        <v>0</v>
      </c>
      <c r="BF132" s="161">
        <f t="shared" ref="BF132" si="1300">SUM(BF133:BF135)</f>
        <v>0</v>
      </c>
      <c r="BG132" s="161">
        <f>SUM(BG133:BG135)</f>
        <v>0</v>
      </c>
      <c r="BH132" s="161">
        <f t="shared" ref="BH132" si="1301">SUM(BH133:BH135)</f>
        <v>0</v>
      </c>
      <c r="BI132" s="161">
        <f t="shared" ref="BI132" si="1302">SUM(BI133:BI135)</f>
        <v>0</v>
      </c>
      <c r="BJ132" s="161">
        <f t="shared" ref="BJ132" si="1303">SUM(BJ133:BJ135)</f>
        <v>0</v>
      </c>
      <c r="BK132" s="161">
        <f t="shared" si="1282"/>
        <v>0</v>
      </c>
      <c r="BL132" s="161">
        <f t="shared" si="1282"/>
        <v>0</v>
      </c>
      <c r="BM132" s="161">
        <f t="shared" si="1282"/>
        <v>0</v>
      </c>
      <c r="BN132" s="161">
        <f t="shared" si="1282"/>
        <v>0</v>
      </c>
      <c r="BO132" s="176">
        <f t="shared" si="1282"/>
        <v>0</v>
      </c>
      <c r="BP132" s="161">
        <f t="shared" si="1282"/>
        <v>0</v>
      </c>
      <c r="BQ132" s="161">
        <f t="shared" si="1282"/>
        <v>0</v>
      </c>
      <c r="BR132" s="161">
        <f t="shared" si="1282"/>
        <v>0</v>
      </c>
      <c r="BS132" s="97">
        <f t="shared" si="1282"/>
        <v>0</v>
      </c>
      <c r="BT132" s="161">
        <f>SUM(BT133:BT135)</f>
        <v>0</v>
      </c>
      <c r="BU132" s="161">
        <f t="shared" ref="BU132" si="1304">SUM(BU133:BU135)</f>
        <v>0</v>
      </c>
      <c r="BV132" s="161">
        <f t="shared" ref="BV132" si="1305">SUM(BV133:BV135)</f>
        <v>0</v>
      </c>
      <c r="BW132" s="161">
        <f t="shared" ref="BW132" si="1306">SUM(BW133:BW135)</f>
        <v>0</v>
      </c>
      <c r="BX132" s="161">
        <f t="shared" ref="BX132:CA132" si="1307">SUM(BX133:BX135)</f>
        <v>0</v>
      </c>
      <c r="BY132" s="161">
        <f t="shared" si="1307"/>
        <v>0</v>
      </c>
      <c r="BZ132" s="161">
        <f t="shared" si="1307"/>
        <v>0</v>
      </c>
      <c r="CA132" s="139">
        <f t="shared" si="1307"/>
        <v>0</v>
      </c>
    </row>
    <row r="133" spans="1:79" ht="14.1" customHeight="1" x14ac:dyDescent="0.2">
      <c r="A133" s="125" t="s">
        <v>222</v>
      </c>
      <c r="B133" s="568"/>
      <c r="C133" s="81">
        <v>1</v>
      </c>
      <c r="D133" s="69" t="s">
        <v>644</v>
      </c>
      <c r="E133" s="83"/>
      <c r="G133" s="152"/>
      <c r="H133" s="152"/>
      <c r="I133" s="152"/>
      <c r="J133" s="152">
        <f t="shared" si="691"/>
        <v>0</v>
      </c>
      <c r="K133" s="152"/>
      <c r="L133" s="152"/>
      <c r="M133" s="152"/>
      <c r="N133" s="152">
        <f t="shared" ref="N133:N136" si="1308">SUM(K133:M133)</f>
        <v>0</v>
      </c>
      <c r="O133" s="152"/>
      <c r="P133" s="152"/>
      <c r="Q133" s="152"/>
      <c r="R133" s="152">
        <f t="shared" ref="R133:R136" si="1309">SUM(O133:Q133)</f>
        <v>0</v>
      </c>
      <c r="S133" s="152"/>
      <c r="T133" s="152"/>
      <c r="U133" s="152"/>
      <c r="V133" s="152">
        <f t="shared" ref="V133:V136" si="1310">SUM(S133:U133)</f>
        <v>0</v>
      </c>
      <c r="W133" s="152">
        <f t="shared" si="1263"/>
        <v>0</v>
      </c>
      <c r="X133" s="152">
        <f t="shared" si="1264"/>
        <v>0</v>
      </c>
      <c r="Y133" s="152">
        <f t="shared" si="1264"/>
        <v>0</v>
      </c>
      <c r="Z133" s="168">
        <f t="shared" si="1265"/>
        <v>0</v>
      </c>
      <c r="AA133" s="152"/>
      <c r="AB133" s="152"/>
      <c r="AC133" s="152"/>
      <c r="AD133" s="152">
        <f t="shared" ref="AD133:AD136" si="1311">SUM(AA133:AC133)</f>
        <v>0</v>
      </c>
      <c r="AE133" s="152"/>
      <c r="AF133" s="152"/>
      <c r="AG133" s="152"/>
      <c r="AH133" s="152">
        <f t="shared" ref="AH133:AH136" si="1312">SUM(AE133:AG133)</f>
        <v>0</v>
      </c>
      <c r="AI133" s="152"/>
      <c r="AJ133" s="152"/>
      <c r="AK133" s="152"/>
      <c r="AL133" s="152">
        <f t="shared" ref="AL133:AL136" si="1313">SUM(AI133:AK133)</f>
        <v>0</v>
      </c>
      <c r="AM133" s="152"/>
      <c r="AN133" s="152"/>
      <c r="AO133" s="152"/>
      <c r="AP133" s="152">
        <f t="shared" ref="AP133:AP136" si="1314">SUM(AM133:AO133)</f>
        <v>0</v>
      </c>
      <c r="AQ133" s="152">
        <f t="shared" si="1270"/>
        <v>0</v>
      </c>
      <c r="AR133" s="152">
        <f t="shared" si="1270"/>
        <v>0</v>
      </c>
      <c r="AS133" s="152">
        <f t="shared" si="1270"/>
        <v>0</v>
      </c>
      <c r="AT133" s="168">
        <f t="shared" si="1271"/>
        <v>0</v>
      </c>
      <c r="AU133" s="152"/>
      <c r="AV133" s="152"/>
      <c r="AW133" s="152"/>
      <c r="AX133" s="152">
        <f t="shared" ref="AX133:AX136" si="1315">SUM(AU133:AW133)</f>
        <v>0</v>
      </c>
      <c r="AY133" s="152"/>
      <c r="AZ133" s="152"/>
      <c r="BA133" s="152"/>
      <c r="BB133" s="152">
        <f t="shared" ref="BB133:BB136" si="1316">SUM(AY133:BA133)</f>
        <v>0</v>
      </c>
      <c r="BC133" s="152"/>
      <c r="BD133" s="152"/>
      <c r="BE133" s="152"/>
      <c r="BF133" s="152">
        <f t="shared" ref="BF133:BF136" si="1317">SUM(BC133:BE133)</f>
        <v>0</v>
      </c>
      <c r="BG133" s="152"/>
      <c r="BH133" s="152"/>
      <c r="BI133" s="152"/>
      <c r="BJ133" s="152">
        <f t="shared" ref="BJ133:BJ136" si="1318">SUM(BG133:BI133)</f>
        <v>0</v>
      </c>
      <c r="BK133" s="152">
        <f t="shared" si="1276"/>
        <v>0</v>
      </c>
      <c r="BL133" s="152">
        <f t="shared" si="1276"/>
        <v>0</v>
      </c>
      <c r="BM133" s="152">
        <f t="shared" si="1276"/>
        <v>0</v>
      </c>
      <c r="BN133" s="152">
        <f t="shared" si="1277"/>
        <v>0</v>
      </c>
      <c r="BO133" s="168"/>
      <c r="BP133" s="152">
        <f t="shared" si="1278"/>
        <v>0</v>
      </c>
      <c r="BQ133" s="152">
        <f t="shared" si="1278"/>
        <v>0</v>
      </c>
      <c r="BR133" s="152">
        <f t="shared" si="1278"/>
        <v>0</v>
      </c>
      <c r="BS133" s="168">
        <f t="shared" si="1279"/>
        <v>0</v>
      </c>
      <c r="BT133" s="152"/>
      <c r="BU133" s="152"/>
      <c r="BV133" s="152"/>
      <c r="BW133" s="152">
        <f t="shared" ref="BW133:BW136" si="1319">SUM(BT133:BV133)</f>
        <v>0</v>
      </c>
      <c r="BX133" s="152">
        <f t="shared" si="687"/>
        <v>0</v>
      </c>
      <c r="BY133" s="152">
        <f t="shared" si="688"/>
        <v>0</v>
      </c>
      <c r="BZ133" s="152">
        <f t="shared" si="689"/>
        <v>0</v>
      </c>
      <c r="CA133" s="587">
        <f t="shared" si="690"/>
        <v>0</v>
      </c>
    </row>
    <row r="134" spans="1:79" ht="14.1" customHeight="1" x14ac:dyDescent="0.2">
      <c r="A134" s="125" t="s">
        <v>223</v>
      </c>
      <c r="B134" s="568"/>
      <c r="C134" s="81">
        <v>2</v>
      </c>
      <c r="D134" s="69" t="s">
        <v>645</v>
      </c>
      <c r="E134" s="83"/>
      <c r="G134" s="152"/>
      <c r="H134" s="152"/>
      <c r="I134" s="152"/>
      <c r="J134" s="152">
        <f t="shared" si="691"/>
        <v>0</v>
      </c>
      <c r="K134" s="152"/>
      <c r="L134" s="152"/>
      <c r="M134" s="152"/>
      <c r="N134" s="152">
        <f t="shared" si="1308"/>
        <v>0</v>
      </c>
      <c r="O134" s="152"/>
      <c r="P134" s="152"/>
      <c r="Q134" s="152"/>
      <c r="R134" s="152">
        <f t="shared" si="1309"/>
        <v>0</v>
      </c>
      <c r="S134" s="152"/>
      <c r="T134" s="152"/>
      <c r="U134" s="152"/>
      <c r="V134" s="152">
        <f t="shared" si="1310"/>
        <v>0</v>
      </c>
      <c r="W134" s="152">
        <f t="shared" si="1263"/>
        <v>0</v>
      </c>
      <c r="X134" s="152">
        <f t="shared" si="1264"/>
        <v>0</v>
      </c>
      <c r="Y134" s="152">
        <f t="shared" si="1264"/>
        <v>0</v>
      </c>
      <c r="Z134" s="168">
        <f t="shared" si="1265"/>
        <v>0</v>
      </c>
      <c r="AA134" s="152"/>
      <c r="AB134" s="152"/>
      <c r="AC134" s="152"/>
      <c r="AD134" s="152">
        <f t="shared" si="1311"/>
        <v>0</v>
      </c>
      <c r="AE134" s="152"/>
      <c r="AF134" s="152"/>
      <c r="AG134" s="152"/>
      <c r="AH134" s="152">
        <f t="shared" si="1312"/>
        <v>0</v>
      </c>
      <c r="AI134" s="152"/>
      <c r="AJ134" s="152"/>
      <c r="AK134" s="152"/>
      <c r="AL134" s="152">
        <f t="shared" si="1313"/>
        <v>0</v>
      </c>
      <c r="AM134" s="152"/>
      <c r="AN134" s="152"/>
      <c r="AO134" s="152"/>
      <c r="AP134" s="152">
        <f t="shared" si="1314"/>
        <v>0</v>
      </c>
      <c r="AQ134" s="152">
        <f t="shared" si="1270"/>
        <v>0</v>
      </c>
      <c r="AR134" s="152">
        <f t="shared" si="1270"/>
        <v>0</v>
      </c>
      <c r="AS134" s="152">
        <f t="shared" si="1270"/>
        <v>0</v>
      </c>
      <c r="AT134" s="168">
        <f t="shared" si="1271"/>
        <v>0</v>
      </c>
      <c r="AU134" s="152"/>
      <c r="AV134" s="152"/>
      <c r="AW134" s="152"/>
      <c r="AX134" s="152">
        <f t="shared" si="1315"/>
        <v>0</v>
      </c>
      <c r="AY134" s="152"/>
      <c r="AZ134" s="152"/>
      <c r="BA134" s="152"/>
      <c r="BB134" s="152">
        <f t="shared" si="1316"/>
        <v>0</v>
      </c>
      <c r="BC134" s="152"/>
      <c r="BD134" s="152"/>
      <c r="BE134" s="152"/>
      <c r="BF134" s="152">
        <f t="shared" si="1317"/>
        <v>0</v>
      </c>
      <c r="BG134" s="152"/>
      <c r="BH134" s="152"/>
      <c r="BI134" s="152"/>
      <c r="BJ134" s="152">
        <f t="shared" si="1318"/>
        <v>0</v>
      </c>
      <c r="BK134" s="152">
        <f t="shared" si="1276"/>
        <v>0</v>
      </c>
      <c r="BL134" s="152">
        <f t="shared" si="1276"/>
        <v>0</v>
      </c>
      <c r="BM134" s="152">
        <f t="shared" si="1276"/>
        <v>0</v>
      </c>
      <c r="BN134" s="152">
        <f t="shared" si="1277"/>
        <v>0</v>
      </c>
      <c r="BO134" s="168"/>
      <c r="BP134" s="152">
        <f t="shared" si="1278"/>
        <v>0</v>
      </c>
      <c r="BQ134" s="152">
        <f t="shared" si="1278"/>
        <v>0</v>
      </c>
      <c r="BR134" s="152">
        <f t="shared" si="1278"/>
        <v>0</v>
      </c>
      <c r="BS134" s="168">
        <f t="shared" si="1279"/>
        <v>0</v>
      </c>
      <c r="BT134" s="152"/>
      <c r="BU134" s="152"/>
      <c r="BV134" s="152"/>
      <c r="BW134" s="152">
        <f t="shared" si="1319"/>
        <v>0</v>
      </c>
      <c r="BX134" s="152">
        <f t="shared" si="687"/>
        <v>0</v>
      </c>
      <c r="BY134" s="152">
        <f t="shared" si="688"/>
        <v>0</v>
      </c>
      <c r="BZ134" s="152">
        <f t="shared" si="689"/>
        <v>0</v>
      </c>
      <c r="CA134" s="587">
        <f t="shared" si="690"/>
        <v>0</v>
      </c>
    </row>
    <row r="135" spans="1:79" ht="14.1" customHeight="1" x14ac:dyDescent="0.2">
      <c r="A135" s="125" t="s">
        <v>646</v>
      </c>
      <c r="B135" s="568"/>
      <c r="C135" s="81">
        <v>3</v>
      </c>
      <c r="D135" s="69" t="s">
        <v>647</v>
      </c>
      <c r="E135" s="83"/>
      <c r="G135" s="152"/>
      <c r="H135" s="152"/>
      <c r="I135" s="152"/>
      <c r="J135" s="152">
        <f t="shared" si="691"/>
        <v>0</v>
      </c>
      <c r="K135" s="152"/>
      <c r="L135" s="152"/>
      <c r="M135" s="152"/>
      <c r="N135" s="152">
        <f t="shared" si="1308"/>
        <v>0</v>
      </c>
      <c r="O135" s="152"/>
      <c r="P135" s="152"/>
      <c r="Q135" s="152"/>
      <c r="R135" s="152">
        <f t="shared" si="1309"/>
        <v>0</v>
      </c>
      <c r="S135" s="152"/>
      <c r="T135" s="152"/>
      <c r="U135" s="152"/>
      <c r="V135" s="152">
        <f t="shared" si="1310"/>
        <v>0</v>
      </c>
      <c r="W135" s="152">
        <f t="shared" si="1263"/>
        <v>0</v>
      </c>
      <c r="X135" s="152">
        <f t="shared" si="1264"/>
        <v>0</v>
      </c>
      <c r="Y135" s="152">
        <f t="shared" si="1264"/>
        <v>0</v>
      </c>
      <c r="Z135" s="168">
        <f t="shared" si="1265"/>
        <v>0</v>
      </c>
      <c r="AA135" s="152"/>
      <c r="AB135" s="152"/>
      <c r="AC135" s="152"/>
      <c r="AD135" s="152">
        <f t="shared" si="1311"/>
        <v>0</v>
      </c>
      <c r="AE135" s="152"/>
      <c r="AF135" s="152"/>
      <c r="AG135" s="152"/>
      <c r="AH135" s="152">
        <f t="shared" si="1312"/>
        <v>0</v>
      </c>
      <c r="AI135" s="152"/>
      <c r="AJ135" s="152"/>
      <c r="AK135" s="152"/>
      <c r="AL135" s="152">
        <f t="shared" si="1313"/>
        <v>0</v>
      </c>
      <c r="AM135" s="152"/>
      <c r="AN135" s="152"/>
      <c r="AO135" s="152"/>
      <c r="AP135" s="152">
        <f t="shared" si="1314"/>
        <v>0</v>
      </c>
      <c r="AQ135" s="152">
        <f t="shared" si="1270"/>
        <v>0</v>
      </c>
      <c r="AR135" s="152">
        <f t="shared" si="1270"/>
        <v>0</v>
      </c>
      <c r="AS135" s="152">
        <f t="shared" si="1270"/>
        <v>0</v>
      </c>
      <c r="AT135" s="168">
        <f t="shared" si="1271"/>
        <v>0</v>
      </c>
      <c r="AU135" s="152"/>
      <c r="AV135" s="152"/>
      <c r="AW135" s="152"/>
      <c r="AX135" s="152">
        <f t="shared" si="1315"/>
        <v>0</v>
      </c>
      <c r="AY135" s="152"/>
      <c r="AZ135" s="152"/>
      <c r="BA135" s="152"/>
      <c r="BB135" s="152">
        <f t="shared" si="1316"/>
        <v>0</v>
      </c>
      <c r="BC135" s="152"/>
      <c r="BD135" s="152"/>
      <c r="BE135" s="152"/>
      <c r="BF135" s="152">
        <f t="shared" si="1317"/>
        <v>0</v>
      </c>
      <c r="BG135" s="152"/>
      <c r="BH135" s="152"/>
      <c r="BI135" s="152"/>
      <c r="BJ135" s="152">
        <f t="shared" si="1318"/>
        <v>0</v>
      </c>
      <c r="BK135" s="152">
        <f t="shared" si="1276"/>
        <v>0</v>
      </c>
      <c r="BL135" s="152">
        <f t="shared" si="1276"/>
        <v>0</v>
      </c>
      <c r="BM135" s="152">
        <f t="shared" si="1276"/>
        <v>0</v>
      </c>
      <c r="BN135" s="152">
        <f t="shared" si="1277"/>
        <v>0</v>
      </c>
      <c r="BO135" s="168"/>
      <c r="BP135" s="152">
        <f t="shared" si="1278"/>
        <v>0</v>
      </c>
      <c r="BQ135" s="152">
        <f t="shared" si="1278"/>
        <v>0</v>
      </c>
      <c r="BR135" s="152">
        <f t="shared" si="1278"/>
        <v>0</v>
      </c>
      <c r="BS135" s="168">
        <f t="shared" si="1279"/>
        <v>0</v>
      </c>
      <c r="BT135" s="152"/>
      <c r="BU135" s="152"/>
      <c r="BV135" s="152"/>
      <c r="BW135" s="152">
        <f t="shared" si="1319"/>
        <v>0</v>
      </c>
      <c r="BX135" s="152">
        <f t="shared" si="687"/>
        <v>0</v>
      </c>
      <c r="BY135" s="152">
        <f t="shared" si="688"/>
        <v>0</v>
      </c>
      <c r="BZ135" s="152">
        <f t="shared" si="689"/>
        <v>0</v>
      </c>
      <c r="CA135" s="587">
        <f t="shared" si="690"/>
        <v>0</v>
      </c>
    </row>
    <row r="136" spans="1:79" ht="14.1" customHeight="1" x14ac:dyDescent="0.2">
      <c r="A136" s="127" t="s">
        <v>224</v>
      </c>
      <c r="B136" s="78" t="s">
        <v>184</v>
      </c>
      <c r="C136" s="568" t="s">
        <v>648</v>
      </c>
      <c r="D136" s="69"/>
      <c r="E136" s="75"/>
      <c r="G136" s="152"/>
      <c r="H136" s="152"/>
      <c r="I136" s="152"/>
      <c r="J136" s="152">
        <f t="shared" si="691"/>
        <v>0</v>
      </c>
      <c r="K136" s="152"/>
      <c r="L136" s="152"/>
      <c r="M136" s="152"/>
      <c r="N136" s="152">
        <f t="shared" si="1308"/>
        <v>0</v>
      </c>
      <c r="O136" s="152"/>
      <c r="P136" s="152"/>
      <c r="Q136" s="152"/>
      <c r="R136" s="152">
        <f t="shared" si="1309"/>
        <v>0</v>
      </c>
      <c r="S136" s="152"/>
      <c r="T136" s="152"/>
      <c r="U136" s="152"/>
      <c r="V136" s="152">
        <f t="shared" si="1310"/>
        <v>0</v>
      </c>
      <c r="W136" s="152">
        <f t="shared" si="1263"/>
        <v>0</v>
      </c>
      <c r="X136" s="152">
        <f t="shared" si="1264"/>
        <v>0</v>
      </c>
      <c r="Y136" s="152">
        <f t="shared" si="1264"/>
        <v>0</v>
      </c>
      <c r="Z136" s="168">
        <f t="shared" si="1265"/>
        <v>0</v>
      </c>
      <c r="AA136" s="152"/>
      <c r="AB136" s="152"/>
      <c r="AC136" s="152"/>
      <c r="AD136" s="152">
        <f t="shared" si="1311"/>
        <v>0</v>
      </c>
      <c r="AE136" s="152"/>
      <c r="AF136" s="152"/>
      <c r="AG136" s="152"/>
      <c r="AH136" s="152">
        <f t="shared" si="1312"/>
        <v>0</v>
      </c>
      <c r="AI136" s="152"/>
      <c r="AJ136" s="152"/>
      <c r="AK136" s="152"/>
      <c r="AL136" s="152">
        <f t="shared" si="1313"/>
        <v>0</v>
      </c>
      <c r="AM136" s="152"/>
      <c r="AN136" s="152"/>
      <c r="AO136" s="152"/>
      <c r="AP136" s="152">
        <f t="shared" si="1314"/>
        <v>0</v>
      </c>
      <c r="AQ136" s="152">
        <f t="shared" si="1270"/>
        <v>0</v>
      </c>
      <c r="AR136" s="152">
        <f t="shared" si="1270"/>
        <v>0</v>
      </c>
      <c r="AS136" s="152">
        <f t="shared" si="1270"/>
        <v>0</v>
      </c>
      <c r="AT136" s="168">
        <f t="shared" si="1271"/>
        <v>0</v>
      </c>
      <c r="AU136" s="152"/>
      <c r="AV136" s="152"/>
      <c r="AW136" s="152"/>
      <c r="AX136" s="152">
        <f t="shared" si="1315"/>
        <v>0</v>
      </c>
      <c r="AY136" s="152"/>
      <c r="AZ136" s="152"/>
      <c r="BA136" s="152"/>
      <c r="BB136" s="152">
        <f t="shared" si="1316"/>
        <v>0</v>
      </c>
      <c r="BC136" s="152"/>
      <c r="BD136" s="152"/>
      <c r="BE136" s="152"/>
      <c r="BF136" s="152">
        <f t="shared" si="1317"/>
        <v>0</v>
      </c>
      <c r="BG136" s="152"/>
      <c r="BH136" s="152"/>
      <c r="BI136" s="152"/>
      <c r="BJ136" s="152">
        <f t="shared" si="1318"/>
        <v>0</v>
      </c>
      <c r="BK136" s="152">
        <f t="shared" si="1276"/>
        <v>0</v>
      </c>
      <c r="BL136" s="152">
        <f t="shared" si="1276"/>
        <v>0</v>
      </c>
      <c r="BM136" s="152">
        <f t="shared" si="1276"/>
        <v>0</v>
      </c>
      <c r="BN136" s="152">
        <f t="shared" si="1277"/>
        <v>0</v>
      </c>
      <c r="BO136" s="168"/>
      <c r="BP136" s="152">
        <f t="shared" si="1278"/>
        <v>0</v>
      </c>
      <c r="BQ136" s="152">
        <f t="shared" si="1278"/>
        <v>0</v>
      </c>
      <c r="BR136" s="152">
        <f t="shared" si="1278"/>
        <v>0</v>
      </c>
      <c r="BS136" s="168">
        <f t="shared" si="1279"/>
        <v>0</v>
      </c>
      <c r="BT136" s="152"/>
      <c r="BU136" s="152"/>
      <c r="BV136" s="152"/>
      <c r="BW136" s="152">
        <f t="shared" si="1319"/>
        <v>0</v>
      </c>
      <c r="BX136" s="152">
        <f t="shared" si="687"/>
        <v>0</v>
      </c>
      <c r="BY136" s="152">
        <f t="shared" si="688"/>
        <v>0</v>
      </c>
      <c r="BZ136" s="152">
        <f t="shared" si="689"/>
        <v>0</v>
      </c>
      <c r="CA136" s="587">
        <f t="shared" si="690"/>
        <v>0</v>
      </c>
    </row>
    <row r="137" spans="1:79" ht="14.1" customHeight="1" x14ac:dyDescent="0.2">
      <c r="A137" s="526" t="s">
        <v>649</v>
      </c>
      <c r="B137" s="523" t="s">
        <v>650</v>
      </c>
      <c r="C137" s="523"/>
      <c r="D137" s="523"/>
      <c r="E137" s="528"/>
      <c r="F137" s="525"/>
      <c r="G137" s="530">
        <f>G138</f>
        <v>0</v>
      </c>
      <c r="H137" s="530">
        <f t="shared" ref="H137:I137" si="1320">H138</f>
        <v>68000</v>
      </c>
      <c r="I137" s="530">
        <f t="shared" si="1320"/>
        <v>0</v>
      </c>
      <c r="J137" s="530">
        <f t="shared" ref="J137:BS137" si="1321">J138</f>
        <v>68000</v>
      </c>
      <c r="K137" s="530">
        <f>K138</f>
        <v>0</v>
      </c>
      <c r="L137" s="530">
        <f t="shared" ref="L137" si="1322">L138</f>
        <v>0</v>
      </c>
      <c r="M137" s="530">
        <f t="shared" ref="M137" si="1323">M138</f>
        <v>0</v>
      </c>
      <c r="N137" s="530">
        <f t="shared" ref="N137" si="1324">N138</f>
        <v>0</v>
      </c>
      <c r="O137" s="530">
        <f>O138</f>
        <v>0</v>
      </c>
      <c r="P137" s="530">
        <f t="shared" ref="P137" si="1325">P138</f>
        <v>0</v>
      </c>
      <c r="Q137" s="530">
        <f t="shared" ref="Q137" si="1326">Q138</f>
        <v>0</v>
      </c>
      <c r="R137" s="530">
        <f t="shared" ref="R137" si="1327">R138</f>
        <v>0</v>
      </c>
      <c r="S137" s="530">
        <f>S138</f>
        <v>0</v>
      </c>
      <c r="T137" s="530">
        <f t="shared" ref="T137" si="1328">T138</f>
        <v>0</v>
      </c>
      <c r="U137" s="530">
        <f t="shared" ref="U137" si="1329">U138</f>
        <v>0</v>
      </c>
      <c r="V137" s="530">
        <f t="shared" ref="V137" si="1330">V138</f>
        <v>0</v>
      </c>
      <c r="W137" s="530">
        <f t="shared" si="1321"/>
        <v>0</v>
      </c>
      <c r="X137" s="530">
        <f t="shared" si="1321"/>
        <v>68000</v>
      </c>
      <c r="Y137" s="530">
        <f t="shared" si="1321"/>
        <v>0</v>
      </c>
      <c r="Z137" s="531">
        <f t="shared" si="1321"/>
        <v>68000</v>
      </c>
      <c r="AA137" s="530">
        <f t="shared" si="1321"/>
        <v>0</v>
      </c>
      <c r="AB137" s="530">
        <f t="shared" si="1321"/>
        <v>0</v>
      </c>
      <c r="AC137" s="530">
        <f t="shared" si="1321"/>
        <v>0</v>
      </c>
      <c r="AD137" s="530">
        <f t="shared" si="1321"/>
        <v>0</v>
      </c>
      <c r="AE137" s="530">
        <f>AE138</f>
        <v>0</v>
      </c>
      <c r="AF137" s="530">
        <f t="shared" ref="AF137:AH137" si="1331">AF138</f>
        <v>2260</v>
      </c>
      <c r="AG137" s="530">
        <f t="shared" si="1331"/>
        <v>0</v>
      </c>
      <c r="AH137" s="530">
        <f t="shared" si="1331"/>
        <v>2260</v>
      </c>
      <c r="AI137" s="530">
        <f>AI138</f>
        <v>0</v>
      </c>
      <c r="AJ137" s="530">
        <f t="shared" ref="AJ137:AL137" si="1332">AJ138</f>
        <v>0</v>
      </c>
      <c r="AK137" s="530">
        <f t="shared" si="1332"/>
        <v>0</v>
      </c>
      <c r="AL137" s="530">
        <f t="shared" si="1332"/>
        <v>0</v>
      </c>
      <c r="AM137" s="530">
        <f>AM138</f>
        <v>0</v>
      </c>
      <c r="AN137" s="530">
        <f t="shared" ref="AN137:AP137" si="1333">AN138</f>
        <v>64440</v>
      </c>
      <c r="AO137" s="530">
        <f t="shared" si="1333"/>
        <v>0</v>
      </c>
      <c r="AP137" s="530">
        <f t="shared" si="1333"/>
        <v>64440</v>
      </c>
      <c r="AQ137" s="530">
        <f t="shared" si="1321"/>
        <v>0</v>
      </c>
      <c r="AR137" s="530">
        <f t="shared" si="1321"/>
        <v>66700</v>
      </c>
      <c r="AS137" s="530">
        <f t="shared" si="1321"/>
        <v>0</v>
      </c>
      <c r="AT137" s="531">
        <f t="shared" si="1321"/>
        <v>66700</v>
      </c>
      <c r="AU137" s="530">
        <f t="shared" si="1321"/>
        <v>0</v>
      </c>
      <c r="AV137" s="530">
        <f t="shared" si="1321"/>
        <v>0</v>
      </c>
      <c r="AW137" s="530">
        <f t="shared" si="1321"/>
        <v>0</v>
      </c>
      <c r="AX137" s="530">
        <f t="shared" si="1321"/>
        <v>0</v>
      </c>
      <c r="AY137" s="530">
        <f>AY138</f>
        <v>0</v>
      </c>
      <c r="AZ137" s="530">
        <f t="shared" ref="AZ137" si="1334">AZ138</f>
        <v>2260</v>
      </c>
      <c r="BA137" s="530">
        <f t="shared" ref="BA137" si="1335">BA138</f>
        <v>0</v>
      </c>
      <c r="BB137" s="530">
        <f t="shared" ref="BB137" si="1336">BB138</f>
        <v>2260</v>
      </c>
      <c r="BC137" s="530">
        <f>BC138</f>
        <v>0</v>
      </c>
      <c r="BD137" s="530">
        <f t="shared" ref="BD137" si="1337">BD138</f>
        <v>0</v>
      </c>
      <c r="BE137" s="530">
        <f t="shared" ref="BE137" si="1338">BE138</f>
        <v>0</v>
      </c>
      <c r="BF137" s="530">
        <f t="shared" ref="BF137" si="1339">BF138</f>
        <v>0</v>
      </c>
      <c r="BG137" s="530">
        <f>BG138</f>
        <v>0</v>
      </c>
      <c r="BH137" s="530">
        <f t="shared" ref="BH137" si="1340">BH138</f>
        <v>0</v>
      </c>
      <c r="BI137" s="530">
        <f t="shared" ref="BI137" si="1341">BI138</f>
        <v>0</v>
      </c>
      <c r="BJ137" s="530">
        <f t="shared" ref="BJ137" si="1342">BJ138</f>
        <v>0</v>
      </c>
      <c r="BK137" s="530">
        <f t="shared" si="1321"/>
        <v>0</v>
      </c>
      <c r="BL137" s="530">
        <f t="shared" si="1321"/>
        <v>2260</v>
      </c>
      <c r="BM137" s="530">
        <f t="shared" si="1321"/>
        <v>0</v>
      </c>
      <c r="BN137" s="530">
        <f t="shared" si="1321"/>
        <v>2260</v>
      </c>
      <c r="BO137" s="532">
        <f t="shared" si="1321"/>
        <v>0</v>
      </c>
      <c r="BP137" s="530">
        <f t="shared" si="1321"/>
        <v>0</v>
      </c>
      <c r="BQ137" s="530">
        <f t="shared" si="1321"/>
        <v>1300</v>
      </c>
      <c r="BR137" s="530">
        <f t="shared" si="1321"/>
        <v>0</v>
      </c>
      <c r="BS137" s="531">
        <f t="shared" si="1321"/>
        <v>1300</v>
      </c>
      <c r="BT137" s="530">
        <f>BT138</f>
        <v>0</v>
      </c>
      <c r="BU137" s="530">
        <f t="shared" ref="BU137" si="1343">BU138</f>
        <v>0</v>
      </c>
      <c r="BV137" s="530">
        <f t="shared" ref="BV137" si="1344">BV138</f>
        <v>0</v>
      </c>
      <c r="BW137" s="530">
        <f t="shared" ref="BW137" si="1345">BW138</f>
        <v>0</v>
      </c>
      <c r="BX137" s="530">
        <f t="shared" ref="BX137:CA137" si="1346">BX138</f>
        <v>0</v>
      </c>
      <c r="BY137" s="530">
        <f t="shared" si="1346"/>
        <v>64440</v>
      </c>
      <c r="BZ137" s="530">
        <f t="shared" si="1346"/>
        <v>0</v>
      </c>
      <c r="CA137" s="533">
        <f t="shared" si="1346"/>
        <v>64440</v>
      </c>
    </row>
    <row r="138" spans="1:79" ht="14.1" customHeight="1" x14ac:dyDescent="0.2">
      <c r="A138" s="138" t="s">
        <v>651</v>
      </c>
      <c r="B138" s="66" t="s">
        <v>126</v>
      </c>
      <c r="C138" s="64" t="s">
        <v>652</v>
      </c>
      <c r="D138" s="68"/>
      <c r="G138" s="161">
        <f>SUM(G139:G142)</f>
        <v>0</v>
      </c>
      <c r="H138" s="161">
        <f t="shared" ref="H138:I138" si="1347">SUM(H139:H142)</f>
        <v>68000</v>
      </c>
      <c r="I138" s="161">
        <f t="shared" si="1347"/>
        <v>0</v>
      </c>
      <c r="J138" s="161">
        <f t="shared" ref="J138:BS138" si="1348">SUM(J139:J142)</f>
        <v>68000</v>
      </c>
      <c r="K138" s="161">
        <f>SUM(K139:K142)</f>
        <v>0</v>
      </c>
      <c r="L138" s="161">
        <f t="shared" ref="L138" si="1349">SUM(L139:L142)</f>
        <v>0</v>
      </c>
      <c r="M138" s="161">
        <f t="shared" ref="M138" si="1350">SUM(M139:M142)</f>
        <v>0</v>
      </c>
      <c r="N138" s="161">
        <f t="shared" ref="N138" si="1351">SUM(N139:N142)</f>
        <v>0</v>
      </c>
      <c r="O138" s="161">
        <f>SUM(O139:O142)</f>
        <v>0</v>
      </c>
      <c r="P138" s="161">
        <f t="shared" ref="P138" si="1352">SUM(P139:P142)</f>
        <v>0</v>
      </c>
      <c r="Q138" s="161">
        <f t="shared" ref="Q138" si="1353">SUM(Q139:Q142)</f>
        <v>0</v>
      </c>
      <c r="R138" s="161">
        <f t="shared" ref="R138" si="1354">SUM(R139:R142)</f>
        <v>0</v>
      </c>
      <c r="S138" s="161">
        <f>SUM(S139:S142)</f>
        <v>0</v>
      </c>
      <c r="T138" s="161">
        <f t="shared" ref="T138" si="1355">SUM(T139:T142)</f>
        <v>0</v>
      </c>
      <c r="U138" s="161">
        <f t="shared" ref="U138" si="1356">SUM(U139:U142)</f>
        <v>0</v>
      </c>
      <c r="V138" s="161">
        <f t="shared" ref="V138" si="1357">SUM(V139:V142)</f>
        <v>0</v>
      </c>
      <c r="W138" s="161">
        <f t="shared" si="1348"/>
        <v>0</v>
      </c>
      <c r="X138" s="161">
        <f t="shared" si="1348"/>
        <v>68000</v>
      </c>
      <c r="Y138" s="161">
        <f t="shared" si="1348"/>
        <v>0</v>
      </c>
      <c r="Z138" s="97">
        <f t="shared" si="1348"/>
        <v>68000</v>
      </c>
      <c r="AA138" s="161">
        <f t="shared" si="1348"/>
        <v>0</v>
      </c>
      <c r="AB138" s="161">
        <f t="shared" si="1348"/>
        <v>0</v>
      </c>
      <c r="AC138" s="161">
        <f t="shared" si="1348"/>
        <v>0</v>
      </c>
      <c r="AD138" s="161">
        <f t="shared" si="1348"/>
        <v>0</v>
      </c>
      <c r="AE138" s="161">
        <f>SUM(AE139:AE142)</f>
        <v>0</v>
      </c>
      <c r="AF138" s="161">
        <f t="shared" ref="AF138:AH138" si="1358">SUM(AF139:AF142)</f>
        <v>2260</v>
      </c>
      <c r="AG138" s="161">
        <f t="shared" si="1358"/>
        <v>0</v>
      </c>
      <c r="AH138" s="161">
        <f t="shared" si="1358"/>
        <v>2260</v>
      </c>
      <c r="AI138" s="161">
        <f>SUM(AI139:AI142)</f>
        <v>0</v>
      </c>
      <c r="AJ138" s="161">
        <f t="shared" ref="AJ138:AL138" si="1359">SUM(AJ139:AJ142)</f>
        <v>0</v>
      </c>
      <c r="AK138" s="161">
        <f t="shared" si="1359"/>
        <v>0</v>
      </c>
      <c r="AL138" s="161">
        <f t="shared" si="1359"/>
        <v>0</v>
      </c>
      <c r="AM138" s="161">
        <f>SUM(AM139:AM142)</f>
        <v>0</v>
      </c>
      <c r="AN138" s="161">
        <f t="shared" ref="AN138:AP138" si="1360">SUM(AN139:AN142)</f>
        <v>64440</v>
      </c>
      <c r="AO138" s="161">
        <f t="shared" si="1360"/>
        <v>0</v>
      </c>
      <c r="AP138" s="161">
        <f t="shared" si="1360"/>
        <v>64440</v>
      </c>
      <c r="AQ138" s="161">
        <f t="shared" si="1348"/>
        <v>0</v>
      </c>
      <c r="AR138" s="161">
        <f t="shared" si="1348"/>
        <v>66700</v>
      </c>
      <c r="AS138" s="161">
        <f t="shared" si="1348"/>
        <v>0</v>
      </c>
      <c r="AT138" s="97">
        <f t="shared" si="1348"/>
        <v>66700</v>
      </c>
      <c r="AU138" s="161">
        <f t="shared" si="1348"/>
        <v>0</v>
      </c>
      <c r="AV138" s="161">
        <f t="shared" si="1348"/>
        <v>0</v>
      </c>
      <c r="AW138" s="161">
        <f t="shared" si="1348"/>
        <v>0</v>
      </c>
      <c r="AX138" s="161">
        <f t="shared" si="1348"/>
        <v>0</v>
      </c>
      <c r="AY138" s="161">
        <f>SUM(AY139:AY142)</f>
        <v>0</v>
      </c>
      <c r="AZ138" s="161">
        <f t="shared" ref="AZ138" si="1361">SUM(AZ139:AZ142)</f>
        <v>2260</v>
      </c>
      <c r="BA138" s="161">
        <f t="shared" ref="BA138" si="1362">SUM(BA139:BA142)</f>
        <v>0</v>
      </c>
      <c r="BB138" s="161">
        <f t="shared" ref="BB138" si="1363">SUM(BB139:BB142)</f>
        <v>2260</v>
      </c>
      <c r="BC138" s="161">
        <f>SUM(BC139:BC142)</f>
        <v>0</v>
      </c>
      <c r="BD138" s="161">
        <f t="shared" ref="BD138" si="1364">SUM(BD139:BD142)</f>
        <v>0</v>
      </c>
      <c r="BE138" s="161">
        <f t="shared" ref="BE138" si="1365">SUM(BE139:BE142)</f>
        <v>0</v>
      </c>
      <c r="BF138" s="161">
        <f t="shared" ref="BF138" si="1366">SUM(BF139:BF142)</f>
        <v>0</v>
      </c>
      <c r="BG138" s="161">
        <f>SUM(BG139:BG142)</f>
        <v>0</v>
      </c>
      <c r="BH138" s="161">
        <f t="shared" ref="BH138" si="1367">SUM(BH139:BH142)</f>
        <v>0</v>
      </c>
      <c r="BI138" s="161">
        <f t="shared" ref="BI138" si="1368">SUM(BI139:BI142)</f>
        <v>0</v>
      </c>
      <c r="BJ138" s="161">
        <f t="shared" ref="BJ138" si="1369">SUM(BJ139:BJ142)</f>
        <v>0</v>
      </c>
      <c r="BK138" s="161">
        <f t="shared" si="1348"/>
        <v>0</v>
      </c>
      <c r="BL138" s="161">
        <f t="shared" si="1348"/>
        <v>2260</v>
      </c>
      <c r="BM138" s="161">
        <f t="shared" si="1348"/>
        <v>0</v>
      </c>
      <c r="BN138" s="161">
        <f t="shared" si="1348"/>
        <v>2260</v>
      </c>
      <c r="BO138" s="176">
        <f t="shared" si="1348"/>
        <v>0</v>
      </c>
      <c r="BP138" s="161">
        <f t="shared" si="1348"/>
        <v>0</v>
      </c>
      <c r="BQ138" s="161">
        <f t="shared" si="1348"/>
        <v>1300</v>
      </c>
      <c r="BR138" s="161">
        <f t="shared" si="1348"/>
        <v>0</v>
      </c>
      <c r="BS138" s="97">
        <f t="shared" si="1348"/>
        <v>1300</v>
      </c>
      <c r="BT138" s="161">
        <f>SUM(BT139:BT142)</f>
        <v>0</v>
      </c>
      <c r="BU138" s="161">
        <f t="shared" ref="BU138" si="1370">SUM(BU139:BU142)</f>
        <v>0</v>
      </c>
      <c r="BV138" s="161">
        <f t="shared" ref="BV138" si="1371">SUM(BV139:BV142)</f>
        <v>0</v>
      </c>
      <c r="BW138" s="161">
        <f t="shared" ref="BW138" si="1372">SUM(BW139:BW142)</f>
        <v>0</v>
      </c>
      <c r="BX138" s="161">
        <f t="shared" ref="BX138:CA138" si="1373">SUM(BX139:BX142)</f>
        <v>0</v>
      </c>
      <c r="BY138" s="161">
        <f t="shared" si="1373"/>
        <v>64440</v>
      </c>
      <c r="BZ138" s="161">
        <f t="shared" si="1373"/>
        <v>0</v>
      </c>
      <c r="CA138" s="139">
        <f t="shared" si="1373"/>
        <v>64440</v>
      </c>
    </row>
    <row r="139" spans="1:79" ht="14.1" customHeight="1" x14ac:dyDescent="0.2">
      <c r="A139" s="125" t="s">
        <v>653</v>
      </c>
      <c r="B139" s="568"/>
      <c r="C139" s="81">
        <v>1</v>
      </c>
      <c r="D139" s="69" t="s">
        <v>654</v>
      </c>
      <c r="E139" s="83"/>
      <c r="G139" s="152"/>
      <c r="H139" s="152">
        <v>58000</v>
      </c>
      <c r="I139" s="152"/>
      <c r="J139" s="152">
        <f t="shared" si="691"/>
        <v>58000</v>
      </c>
      <c r="K139" s="152"/>
      <c r="L139" s="152"/>
      <c r="M139" s="152"/>
      <c r="N139" s="152">
        <f t="shared" ref="N139:N142" si="1374">SUM(K139:M139)</f>
        <v>0</v>
      </c>
      <c r="O139" s="152"/>
      <c r="P139" s="152"/>
      <c r="Q139" s="152"/>
      <c r="R139" s="152">
        <f t="shared" ref="R139:R142" si="1375">SUM(O139:Q139)</f>
        <v>0</v>
      </c>
      <c r="S139" s="152"/>
      <c r="T139" s="152"/>
      <c r="U139" s="152"/>
      <c r="V139" s="152">
        <f t="shared" ref="V139:V142" si="1376">SUM(S139:U139)</f>
        <v>0</v>
      </c>
      <c r="W139" s="152">
        <f>G139-O139+S139+K139</f>
        <v>0</v>
      </c>
      <c r="X139" s="152">
        <f t="shared" ref="X139:Y140" si="1377">H139-P139+T139+L139</f>
        <v>58000</v>
      </c>
      <c r="Y139" s="152">
        <f t="shared" si="1377"/>
        <v>0</v>
      </c>
      <c r="Z139" s="168">
        <f>SUM(W139:Y139)</f>
        <v>58000</v>
      </c>
      <c r="AA139" s="152"/>
      <c r="AB139" s="152"/>
      <c r="AC139" s="152"/>
      <c r="AD139" s="152">
        <f t="shared" ref="AD139:AD142" si="1378">SUM(AA139:AC139)</f>
        <v>0</v>
      </c>
      <c r="AE139" s="152"/>
      <c r="AF139" s="152">
        <v>2260</v>
      </c>
      <c r="AG139" s="152"/>
      <c r="AH139" s="152">
        <f t="shared" ref="AH139:AH142" si="1379">SUM(AE139:AG139)</f>
        <v>2260</v>
      </c>
      <c r="AI139" s="152"/>
      <c r="AJ139" s="152"/>
      <c r="AK139" s="152"/>
      <c r="AL139" s="152">
        <f t="shared" ref="AL139:AL142" si="1380">SUM(AI139:AK139)</f>
        <v>0</v>
      </c>
      <c r="AM139" s="152"/>
      <c r="AN139" s="152">
        <f>32340+22100</f>
        <v>54440</v>
      </c>
      <c r="AO139" s="152"/>
      <c r="AP139" s="152">
        <f t="shared" ref="AP139:AP142" si="1381">SUM(AM139:AO139)</f>
        <v>54440</v>
      </c>
      <c r="AQ139" s="152">
        <f t="shared" ref="AQ139:AS140" si="1382">AA139+AE139+AI139+AM139</f>
        <v>0</v>
      </c>
      <c r="AR139" s="152">
        <f t="shared" si="1382"/>
        <v>56700</v>
      </c>
      <c r="AS139" s="152">
        <f t="shared" si="1382"/>
        <v>0</v>
      </c>
      <c r="AT139" s="168">
        <f>SUM(AQ139:AS139)</f>
        <v>56700</v>
      </c>
      <c r="AU139" s="152"/>
      <c r="AV139" s="152"/>
      <c r="AW139" s="152"/>
      <c r="AX139" s="152">
        <f t="shared" ref="AX139:AX142" si="1383">SUM(AU139:AW139)</f>
        <v>0</v>
      </c>
      <c r="AY139" s="152"/>
      <c r="AZ139" s="152">
        <v>2260</v>
      </c>
      <c r="BA139" s="152"/>
      <c r="BB139" s="152">
        <f t="shared" ref="BB139:BB142" si="1384">SUM(AY139:BA139)</f>
        <v>2260</v>
      </c>
      <c r="BC139" s="152"/>
      <c r="BD139" s="152"/>
      <c r="BE139" s="152"/>
      <c r="BF139" s="152">
        <f t="shared" ref="BF139:BF142" si="1385">SUM(BC139:BE139)</f>
        <v>0</v>
      </c>
      <c r="BG139" s="152"/>
      <c r="BH139" s="152"/>
      <c r="BI139" s="152"/>
      <c r="BJ139" s="152">
        <f t="shared" ref="BJ139:BJ142" si="1386">SUM(BG139:BI139)</f>
        <v>0</v>
      </c>
      <c r="BK139" s="152">
        <f t="shared" ref="BK139:BM140" si="1387">AU139+AY139+BC139+BG139</f>
        <v>0</v>
      </c>
      <c r="BL139" s="152">
        <f t="shared" si="1387"/>
        <v>2260</v>
      </c>
      <c r="BM139" s="152">
        <f t="shared" si="1387"/>
        <v>0</v>
      </c>
      <c r="BN139" s="152">
        <f>SUM(BK139:BM139)</f>
        <v>2260</v>
      </c>
      <c r="BO139" s="168"/>
      <c r="BP139" s="152">
        <f t="shared" ref="BP139:BR140" si="1388">W139-AQ139</f>
        <v>0</v>
      </c>
      <c r="BQ139" s="152">
        <f t="shared" si="1388"/>
        <v>1300</v>
      </c>
      <c r="BR139" s="152">
        <f t="shared" si="1388"/>
        <v>0</v>
      </c>
      <c r="BS139" s="168">
        <f>SUM(BP139:BR139)</f>
        <v>1300</v>
      </c>
      <c r="BT139" s="152"/>
      <c r="BU139" s="152"/>
      <c r="BV139" s="152"/>
      <c r="BW139" s="152">
        <f t="shared" ref="BW139:BW142" si="1389">SUM(BT139:BV139)</f>
        <v>0</v>
      </c>
      <c r="BX139" s="152">
        <f t="shared" si="687"/>
        <v>0</v>
      </c>
      <c r="BY139" s="152">
        <f t="shared" si="688"/>
        <v>54440</v>
      </c>
      <c r="BZ139" s="152">
        <f t="shared" si="689"/>
        <v>0</v>
      </c>
      <c r="CA139" s="587">
        <f t="shared" si="690"/>
        <v>54440</v>
      </c>
    </row>
    <row r="140" spans="1:79" ht="14.1" customHeight="1" x14ac:dyDescent="0.2">
      <c r="A140" s="125" t="s">
        <v>655</v>
      </c>
      <c r="B140" s="568"/>
      <c r="C140" s="81" t="s">
        <v>656</v>
      </c>
      <c r="D140" s="69" t="s">
        <v>207</v>
      </c>
      <c r="E140" s="83"/>
      <c r="G140" s="152"/>
      <c r="H140" s="152">
        <v>10000</v>
      </c>
      <c r="I140" s="152"/>
      <c r="J140" s="152">
        <f t="shared" si="691"/>
        <v>10000</v>
      </c>
      <c r="K140" s="152"/>
      <c r="L140" s="152"/>
      <c r="M140" s="152"/>
      <c r="N140" s="152">
        <f t="shared" si="1374"/>
        <v>0</v>
      </c>
      <c r="O140" s="152"/>
      <c r="P140" s="152"/>
      <c r="Q140" s="152"/>
      <c r="R140" s="152">
        <f t="shared" si="1375"/>
        <v>0</v>
      </c>
      <c r="S140" s="152"/>
      <c r="T140" s="152"/>
      <c r="U140" s="152"/>
      <c r="V140" s="152">
        <f t="shared" si="1376"/>
        <v>0</v>
      </c>
      <c r="W140" s="152">
        <f>G140-O140+S140+K140</f>
        <v>0</v>
      </c>
      <c r="X140" s="152">
        <f t="shared" si="1377"/>
        <v>10000</v>
      </c>
      <c r="Y140" s="152">
        <f t="shared" si="1377"/>
        <v>0</v>
      </c>
      <c r="Z140" s="168">
        <f>SUM(W140:Y140)</f>
        <v>10000</v>
      </c>
      <c r="AA140" s="152"/>
      <c r="AB140" s="152"/>
      <c r="AC140" s="152"/>
      <c r="AD140" s="152">
        <f t="shared" si="1378"/>
        <v>0</v>
      </c>
      <c r="AE140" s="152"/>
      <c r="AF140" s="152"/>
      <c r="AG140" s="152"/>
      <c r="AH140" s="152">
        <f t="shared" si="1379"/>
        <v>0</v>
      </c>
      <c r="AI140" s="152"/>
      <c r="AJ140" s="152"/>
      <c r="AK140" s="152"/>
      <c r="AL140" s="152">
        <f t="shared" si="1380"/>
        <v>0</v>
      </c>
      <c r="AM140" s="152"/>
      <c r="AN140" s="152">
        <f>7200+2800</f>
        <v>10000</v>
      </c>
      <c r="AO140" s="152"/>
      <c r="AP140" s="152">
        <f t="shared" si="1381"/>
        <v>10000</v>
      </c>
      <c r="AQ140" s="152">
        <f t="shared" si="1382"/>
        <v>0</v>
      </c>
      <c r="AR140" s="152">
        <f t="shared" si="1382"/>
        <v>10000</v>
      </c>
      <c r="AS140" s="152">
        <f t="shared" si="1382"/>
        <v>0</v>
      </c>
      <c r="AT140" s="168">
        <f>SUM(AQ140:AS140)</f>
        <v>10000</v>
      </c>
      <c r="AU140" s="152"/>
      <c r="AV140" s="152"/>
      <c r="AW140" s="152"/>
      <c r="AX140" s="152">
        <f t="shared" si="1383"/>
        <v>0</v>
      </c>
      <c r="AY140" s="152"/>
      <c r="AZ140" s="152"/>
      <c r="BA140" s="152"/>
      <c r="BB140" s="152">
        <f t="shared" si="1384"/>
        <v>0</v>
      </c>
      <c r="BC140" s="152"/>
      <c r="BD140" s="152"/>
      <c r="BE140" s="152"/>
      <c r="BF140" s="152">
        <f t="shared" si="1385"/>
        <v>0</v>
      </c>
      <c r="BG140" s="152"/>
      <c r="BH140" s="152"/>
      <c r="BI140" s="152"/>
      <c r="BJ140" s="152">
        <f t="shared" si="1386"/>
        <v>0</v>
      </c>
      <c r="BK140" s="152">
        <f t="shared" si="1387"/>
        <v>0</v>
      </c>
      <c r="BL140" s="152">
        <f t="shared" si="1387"/>
        <v>0</v>
      </c>
      <c r="BM140" s="152">
        <f t="shared" si="1387"/>
        <v>0</v>
      </c>
      <c r="BN140" s="152">
        <f>SUM(BK140:BM140)</f>
        <v>0</v>
      </c>
      <c r="BO140" s="168"/>
      <c r="BP140" s="152">
        <f t="shared" si="1388"/>
        <v>0</v>
      </c>
      <c r="BQ140" s="152">
        <f t="shared" si="1388"/>
        <v>0</v>
      </c>
      <c r="BR140" s="152">
        <f t="shared" si="1388"/>
        <v>0</v>
      </c>
      <c r="BS140" s="168">
        <f>SUM(BP140:BR140)</f>
        <v>0</v>
      </c>
      <c r="BT140" s="152"/>
      <c r="BU140" s="152"/>
      <c r="BV140" s="152"/>
      <c r="BW140" s="152">
        <f t="shared" si="1389"/>
        <v>0</v>
      </c>
      <c r="BX140" s="152">
        <f t="shared" si="687"/>
        <v>0</v>
      </c>
      <c r="BY140" s="152">
        <f t="shared" si="688"/>
        <v>10000</v>
      </c>
      <c r="BZ140" s="152">
        <f t="shared" si="689"/>
        <v>0</v>
      </c>
      <c r="CA140" s="587">
        <f t="shared" si="690"/>
        <v>10000</v>
      </c>
    </row>
    <row r="141" spans="1:79" ht="14.1" customHeight="1" x14ac:dyDescent="0.2">
      <c r="A141" s="125"/>
      <c r="B141" s="568"/>
      <c r="C141" s="78" t="s">
        <v>657</v>
      </c>
      <c r="D141" s="69" t="s">
        <v>658</v>
      </c>
      <c r="E141" s="566"/>
      <c r="G141" s="152"/>
      <c r="H141" s="152"/>
      <c r="I141" s="152"/>
      <c r="J141" s="152">
        <f t="shared" si="691"/>
        <v>0</v>
      </c>
      <c r="K141" s="152"/>
      <c r="L141" s="152"/>
      <c r="M141" s="152"/>
      <c r="N141" s="152">
        <f t="shared" si="1374"/>
        <v>0</v>
      </c>
      <c r="O141" s="152"/>
      <c r="P141" s="152"/>
      <c r="Q141" s="152"/>
      <c r="R141" s="152">
        <f t="shared" si="1375"/>
        <v>0</v>
      </c>
      <c r="S141" s="152"/>
      <c r="T141" s="152"/>
      <c r="U141" s="152"/>
      <c r="V141" s="152">
        <f t="shared" si="1376"/>
        <v>0</v>
      </c>
      <c r="W141" s="152"/>
      <c r="X141" s="152"/>
      <c r="Y141" s="152"/>
      <c r="AA141" s="152"/>
      <c r="AB141" s="152"/>
      <c r="AC141" s="152"/>
      <c r="AD141" s="152">
        <f t="shared" si="1378"/>
        <v>0</v>
      </c>
      <c r="AE141" s="152"/>
      <c r="AF141" s="152"/>
      <c r="AG141" s="152"/>
      <c r="AH141" s="152">
        <f t="shared" si="1379"/>
        <v>0</v>
      </c>
      <c r="AI141" s="152"/>
      <c r="AJ141" s="152"/>
      <c r="AK141" s="152"/>
      <c r="AL141" s="152">
        <f t="shared" si="1380"/>
        <v>0</v>
      </c>
      <c r="AM141" s="152"/>
      <c r="AN141" s="152"/>
      <c r="AO141" s="152"/>
      <c r="AP141" s="152">
        <f t="shared" si="1381"/>
        <v>0</v>
      </c>
      <c r="AQ141" s="152"/>
      <c r="AR141" s="152"/>
      <c r="AS141" s="152"/>
      <c r="AU141" s="152"/>
      <c r="AV141" s="152"/>
      <c r="AW141" s="152"/>
      <c r="AX141" s="152">
        <f t="shared" si="1383"/>
        <v>0</v>
      </c>
      <c r="AY141" s="152"/>
      <c r="AZ141" s="152"/>
      <c r="BA141" s="152"/>
      <c r="BB141" s="152">
        <f t="shared" si="1384"/>
        <v>0</v>
      </c>
      <c r="BC141" s="152"/>
      <c r="BD141" s="152"/>
      <c r="BE141" s="152"/>
      <c r="BF141" s="152">
        <f t="shared" si="1385"/>
        <v>0</v>
      </c>
      <c r="BG141" s="152"/>
      <c r="BH141" s="152"/>
      <c r="BI141" s="152"/>
      <c r="BJ141" s="152">
        <f t="shared" si="1386"/>
        <v>0</v>
      </c>
      <c r="BK141" s="152"/>
      <c r="BL141" s="152"/>
      <c r="BM141" s="152"/>
      <c r="BN141" s="152"/>
      <c r="BO141" s="168"/>
      <c r="BP141" s="152"/>
      <c r="BQ141" s="152"/>
      <c r="BR141" s="152"/>
      <c r="BT141" s="152"/>
      <c r="BU141" s="152"/>
      <c r="BV141" s="152"/>
      <c r="BW141" s="152">
        <f t="shared" si="1389"/>
        <v>0</v>
      </c>
      <c r="BX141" s="152">
        <f t="shared" si="687"/>
        <v>0</v>
      </c>
      <c r="BY141" s="152">
        <f t="shared" si="688"/>
        <v>0</v>
      </c>
      <c r="BZ141" s="152">
        <f t="shared" si="689"/>
        <v>0</v>
      </c>
      <c r="CA141" s="587">
        <f t="shared" si="690"/>
        <v>0</v>
      </c>
    </row>
    <row r="142" spans="1:79" ht="14.1" customHeight="1" x14ac:dyDescent="0.2">
      <c r="A142" s="125" t="s">
        <v>659</v>
      </c>
      <c r="B142" s="568"/>
      <c r="C142" s="81">
        <v>3</v>
      </c>
      <c r="D142" s="69" t="s">
        <v>660</v>
      </c>
      <c r="E142" s="83"/>
      <c r="G142" s="152"/>
      <c r="H142" s="152"/>
      <c r="I142" s="152"/>
      <c r="J142" s="152">
        <f t="shared" si="691"/>
        <v>0</v>
      </c>
      <c r="K142" s="152"/>
      <c r="L142" s="152"/>
      <c r="M142" s="152"/>
      <c r="N142" s="152">
        <f t="shared" si="1374"/>
        <v>0</v>
      </c>
      <c r="O142" s="152"/>
      <c r="P142" s="152"/>
      <c r="Q142" s="152"/>
      <c r="R142" s="152">
        <f t="shared" si="1375"/>
        <v>0</v>
      </c>
      <c r="S142" s="152"/>
      <c r="T142" s="152"/>
      <c r="U142" s="152"/>
      <c r="V142" s="152">
        <f t="shared" si="1376"/>
        <v>0</v>
      </c>
      <c r="W142" s="152">
        <f>G142-O142+S142+K142</f>
        <v>0</v>
      </c>
      <c r="X142" s="152">
        <f t="shared" ref="X142:Y142" si="1390">H142-P142+T142+L142</f>
        <v>0</v>
      </c>
      <c r="Y142" s="152">
        <f t="shared" si="1390"/>
        <v>0</v>
      </c>
      <c r="Z142" s="168">
        <f>SUM(W142:Y142)</f>
        <v>0</v>
      </c>
      <c r="AA142" s="152"/>
      <c r="AB142" s="152"/>
      <c r="AC142" s="152"/>
      <c r="AD142" s="152">
        <f t="shared" si="1378"/>
        <v>0</v>
      </c>
      <c r="AE142" s="152"/>
      <c r="AF142" s="152"/>
      <c r="AG142" s="152"/>
      <c r="AH142" s="152">
        <f t="shared" si="1379"/>
        <v>0</v>
      </c>
      <c r="AI142" s="152"/>
      <c r="AJ142" s="152"/>
      <c r="AK142" s="152"/>
      <c r="AL142" s="152">
        <f t="shared" si="1380"/>
        <v>0</v>
      </c>
      <c r="AM142" s="152"/>
      <c r="AN142" s="152"/>
      <c r="AO142" s="152"/>
      <c r="AP142" s="152">
        <f t="shared" si="1381"/>
        <v>0</v>
      </c>
      <c r="AQ142" s="152">
        <f t="shared" ref="AQ142:AS142" si="1391">AA142+AE142+AI142+AM142</f>
        <v>0</v>
      </c>
      <c r="AR142" s="152">
        <f t="shared" si="1391"/>
        <v>0</v>
      </c>
      <c r="AS142" s="152">
        <f t="shared" si="1391"/>
        <v>0</v>
      </c>
      <c r="AT142" s="168">
        <f>SUM(AQ142:AS142)</f>
        <v>0</v>
      </c>
      <c r="AU142" s="152"/>
      <c r="AV142" s="152"/>
      <c r="AW142" s="152"/>
      <c r="AX142" s="152">
        <f t="shared" si="1383"/>
        <v>0</v>
      </c>
      <c r="AY142" s="152"/>
      <c r="AZ142" s="152"/>
      <c r="BA142" s="152"/>
      <c r="BB142" s="152">
        <f t="shared" si="1384"/>
        <v>0</v>
      </c>
      <c r="BC142" s="152"/>
      <c r="BD142" s="152"/>
      <c r="BE142" s="152"/>
      <c r="BF142" s="152">
        <f t="shared" si="1385"/>
        <v>0</v>
      </c>
      <c r="BG142" s="152"/>
      <c r="BH142" s="152"/>
      <c r="BI142" s="152"/>
      <c r="BJ142" s="152">
        <f t="shared" si="1386"/>
        <v>0</v>
      </c>
      <c r="BK142" s="152">
        <f t="shared" ref="BK142:BM142" si="1392">AU142+AY142+BC142+BG142</f>
        <v>0</v>
      </c>
      <c r="BL142" s="152">
        <f t="shared" si="1392"/>
        <v>0</v>
      </c>
      <c r="BM142" s="152">
        <f t="shared" si="1392"/>
        <v>0</v>
      </c>
      <c r="BN142" s="152">
        <f>SUM(BK142:BM142)</f>
        <v>0</v>
      </c>
      <c r="BO142" s="168"/>
      <c r="BP142" s="152">
        <f t="shared" ref="BP142:BR142" si="1393">W142-AQ142</f>
        <v>0</v>
      </c>
      <c r="BQ142" s="152">
        <f t="shared" si="1393"/>
        <v>0</v>
      </c>
      <c r="BR142" s="152">
        <f t="shared" si="1393"/>
        <v>0</v>
      </c>
      <c r="BS142" s="168">
        <f>SUM(BP142:BR142)</f>
        <v>0</v>
      </c>
      <c r="BT142" s="152"/>
      <c r="BU142" s="152"/>
      <c r="BV142" s="152"/>
      <c r="BW142" s="152">
        <f t="shared" si="1389"/>
        <v>0</v>
      </c>
      <c r="BX142" s="152">
        <f t="shared" si="687"/>
        <v>0</v>
      </c>
      <c r="BY142" s="152">
        <f t="shared" si="688"/>
        <v>0</v>
      </c>
      <c r="BZ142" s="152">
        <f t="shared" si="689"/>
        <v>0</v>
      </c>
      <c r="CA142" s="587">
        <f t="shared" si="690"/>
        <v>0</v>
      </c>
    </row>
    <row r="143" spans="1:79" ht="14.1" customHeight="1" x14ac:dyDescent="0.2">
      <c r="A143" s="526" t="s">
        <v>661</v>
      </c>
      <c r="B143" s="523" t="s">
        <v>662</v>
      </c>
      <c r="C143" s="523"/>
      <c r="D143" s="523"/>
      <c r="E143" s="528"/>
      <c r="F143" s="525"/>
      <c r="G143" s="530">
        <f>G144</f>
        <v>0</v>
      </c>
      <c r="H143" s="530">
        <f t="shared" ref="H143:I143" si="1394">H144</f>
        <v>0</v>
      </c>
      <c r="I143" s="530">
        <f t="shared" si="1394"/>
        <v>0</v>
      </c>
      <c r="J143" s="530">
        <f t="shared" ref="J143:BS143" si="1395">J144</f>
        <v>0</v>
      </c>
      <c r="K143" s="530">
        <f>K144</f>
        <v>0</v>
      </c>
      <c r="L143" s="530">
        <f t="shared" ref="L143" si="1396">L144</f>
        <v>0</v>
      </c>
      <c r="M143" s="530">
        <f t="shared" ref="M143" si="1397">M144</f>
        <v>0</v>
      </c>
      <c r="N143" s="530">
        <f t="shared" ref="N143" si="1398">N144</f>
        <v>0</v>
      </c>
      <c r="O143" s="530">
        <f>O144</f>
        <v>0</v>
      </c>
      <c r="P143" s="530">
        <f t="shared" ref="P143" si="1399">P144</f>
        <v>0</v>
      </c>
      <c r="Q143" s="530">
        <f t="shared" ref="Q143" si="1400">Q144</f>
        <v>0</v>
      </c>
      <c r="R143" s="530">
        <f t="shared" ref="R143" si="1401">R144</f>
        <v>0</v>
      </c>
      <c r="S143" s="530">
        <f>S144</f>
        <v>0</v>
      </c>
      <c r="T143" s="530">
        <f t="shared" ref="T143" si="1402">T144</f>
        <v>0</v>
      </c>
      <c r="U143" s="530">
        <f t="shared" ref="U143" si="1403">U144</f>
        <v>0</v>
      </c>
      <c r="V143" s="530">
        <f t="shared" ref="V143" si="1404">V144</f>
        <v>0</v>
      </c>
      <c r="W143" s="530">
        <f t="shared" si="1395"/>
        <v>0</v>
      </c>
      <c r="X143" s="530">
        <f t="shared" si="1395"/>
        <v>0</v>
      </c>
      <c r="Y143" s="530">
        <f t="shared" si="1395"/>
        <v>0</v>
      </c>
      <c r="Z143" s="531">
        <f t="shared" si="1395"/>
        <v>0</v>
      </c>
      <c r="AA143" s="530">
        <f t="shared" si="1395"/>
        <v>0</v>
      </c>
      <c r="AB143" s="530">
        <f t="shared" si="1395"/>
        <v>0</v>
      </c>
      <c r="AC143" s="530">
        <f t="shared" si="1395"/>
        <v>0</v>
      </c>
      <c r="AD143" s="530">
        <f t="shared" si="1395"/>
        <v>0</v>
      </c>
      <c r="AE143" s="530">
        <f>AE144</f>
        <v>0</v>
      </c>
      <c r="AF143" s="530">
        <f t="shared" ref="AF143:AH143" si="1405">AF144</f>
        <v>0</v>
      </c>
      <c r="AG143" s="530">
        <f t="shared" si="1405"/>
        <v>0</v>
      </c>
      <c r="AH143" s="530">
        <f t="shared" si="1405"/>
        <v>0</v>
      </c>
      <c r="AI143" s="530">
        <f>AI144</f>
        <v>0</v>
      </c>
      <c r="AJ143" s="530">
        <f t="shared" ref="AJ143:AL143" si="1406">AJ144</f>
        <v>0</v>
      </c>
      <c r="AK143" s="530">
        <f t="shared" si="1406"/>
        <v>0</v>
      </c>
      <c r="AL143" s="530">
        <f t="shared" si="1406"/>
        <v>0</v>
      </c>
      <c r="AM143" s="530">
        <f>AM144</f>
        <v>0</v>
      </c>
      <c r="AN143" s="530">
        <f t="shared" ref="AN143:AP143" si="1407">AN144</f>
        <v>0</v>
      </c>
      <c r="AO143" s="530">
        <f t="shared" si="1407"/>
        <v>0</v>
      </c>
      <c r="AP143" s="530">
        <f t="shared" si="1407"/>
        <v>0</v>
      </c>
      <c r="AQ143" s="530">
        <f t="shared" si="1395"/>
        <v>0</v>
      </c>
      <c r="AR143" s="530">
        <f t="shared" si="1395"/>
        <v>0</v>
      </c>
      <c r="AS143" s="530">
        <f t="shared" si="1395"/>
        <v>0</v>
      </c>
      <c r="AT143" s="531">
        <f t="shared" si="1395"/>
        <v>0</v>
      </c>
      <c r="AU143" s="530">
        <f t="shared" si="1395"/>
        <v>0</v>
      </c>
      <c r="AV143" s="530">
        <f t="shared" si="1395"/>
        <v>0</v>
      </c>
      <c r="AW143" s="530">
        <f t="shared" si="1395"/>
        <v>0</v>
      </c>
      <c r="AX143" s="530">
        <f t="shared" si="1395"/>
        <v>0</v>
      </c>
      <c r="AY143" s="530">
        <f>AY144</f>
        <v>0</v>
      </c>
      <c r="AZ143" s="530">
        <f t="shared" ref="AZ143" si="1408">AZ144</f>
        <v>0</v>
      </c>
      <c r="BA143" s="530">
        <f t="shared" ref="BA143" si="1409">BA144</f>
        <v>0</v>
      </c>
      <c r="BB143" s="530">
        <f t="shared" ref="BB143" si="1410">BB144</f>
        <v>0</v>
      </c>
      <c r="BC143" s="530">
        <f>BC144</f>
        <v>0</v>
      </c>
      <c r="BD143" s="530">
        <f t="shared" ref="BD143" si="1411">BD144</f>
        <v>0</v>
      </c>
      <c r="BE143" s="530">
        <f t="shared" ref="BE143" si="1412">BE144</f>
        <v>0</v>
      </c>
      <c r="BF143" s="530">
        <f t="shared" ref="BF143" si="1413">BF144</f>
        <v>0</v>
      </c>
      <c r="BG143" s="530">
        <f>BG144</f>
        <v>0</v>
      </c>
      <c r="BH143" s="530">
        <f t="shared" ref="BH143" si="1414">BH144</f>
        <v>0</v>
      </c>
      <c r="BI143" s="530">
        <f t="shared" ref="BI143" si="1415">BI144</f>
        <v>0</v>
      </c>
      <c r="BJ143" s="530">
        <f t="shared" ref="BJ143" si="1416">BJ144</f>
        <v>0</v>
      </c>
      <c r="BK143" s="530">
        <f t="shared" si="1395"/>
        <v>0</v>
      </c>
      <c r="BL143" s="530">
        <f t="shared" si="1395"/>
        <v>0</v>
      </c>
      <c r="BM143" s="530">
        <f t="shared" si="1395"/>
        <v>0</v>
      </c>
      <c r="BN143" s="530">
        <f t="shared" si="1395"/>
        <v>0</v>
      </c>
      <c r="BO143" s="532">
        <f t="shared" si="1395"/>
        <v>0</v>
      </c>
      <c r="BP143" s="530">
        <f t="shared" si="1395"/>
        <v>0</v>
      </c>
      <c r="BQ143" s="530">
        <f t="shared" si="1395"/>
        <v>0</v>
      </c>
      <c r="BR143" s="530">
        <f t="shared" si="1395"/>
        <v>0</v>
      </c>
      <c r="BS143" s="531">
        <f t="shared" si="1395"/>
        <v>0</v>
      </c>
      <c r="BT143" s="530">
        <f>BT144</f>
        <v>0</v>
      </c>
      <c r="BU143" s="530">
        <f t="shared" ref="BU143" si="1417">BU144</f>
        <v>0</v>
      </c>
      <c r="BV143" s="530">
        <f t="shared" ref="BV143" si="1418">BV144</f>
        <v>0</v>
      </c>
      <c r="BW143" s="530">
        <f t="shared" ref="BW143" si="1419">BW144</f>
        <v>0</v>
      </c>
      <c r="BX143" s="530">
        <f t="shared" ref="BX143:CA143" si="1420">BX144</f>
        <v>0</v>
      </c>
      <c r="BY143" s="530">
        <f t="shared" si="1420"/>
        <v>0</v>
      </c>
      <c r="BZ143" s="530">
        <f t="shared" si="1420"/>
        <v>0</v>
      </c>
      <c r="CA143" s="533">
        <f t="shared" si="1420"/>
        <v>0</v>
      </c>
    </row>
    <row r="144" spans="1:79" ht="14.1" customHeight="1" x14ac:dyDescent="0.2">
      <c r="A144" s="125" t="s">
        <v>663</v>
      </c>
      <c r="B144" s="78" t="s">
        <v>524</v>
      </c>
      <c r="C144" s="69" t="s">
        <v>664</v>
      </c>
      <c r="D144" s="83"/>
      <c r="E144" s="83"/>
      <c r="G144" s="152"/>
      <c r="H144" s="152"/>
      <c r="I144" s="152"/>
      <c r="J144" s="152">
        <f>SUM(G144:I144)</f>
        <v>0</v>
      </c>
      <c r="K144" s="152"/>
      <c r="L144" s="152"/>
      <c r="M144" s="152"/>
      <c r="N144" s="152">
        <f>SUM(K144:M144)</f>
        <v>0</v>
      </c>
      <c r="O144" s="152"/>
      <c r="P144" s="152"/>
      <c r="Q144" s="152"/>
      <c r="R144" s="152">
        <f>SUM(O144:Q144)</f>
        <v>0</v>
      </c>
      <c r="S144" s="152"/>
      <c r="T144" s="152"/>
      <c r="U144" s="152"/>
      <c r="V144" s="152">
        <f>SUM(S144:U144)</f>
        <v>0</v>
      </c>
      <c r="W144" s="152">
        <f>G144-O144+S144+K144</f>
        <v>0</v>
      </c>
      <c r="X144" s="152">
        <f t="shared" ref="X144:Y144" si="1421">H144-P144+T144+L144</f>
        <v>0</v>
      </c>
      <c r="Y144" s="152">
        <f t="shared" si="1421"/>
        <v>0</v>
      </c>
      <c r="Z144" s="168">
        <f>SUM(W144:Y144)</f>
        <v>0</v>
      </c>
      <c r="AA144" s="152"/>
      <c r="AB144" s="152"/>
      <c r="AC144" s="152"/>
      <c r="AD144" s="152">
        <f>SUM(AA144:AC144)</f>
        <v>0</v>
      </c>
      <c r="AE144" s="152"/>
      <c r="AF144" s="152"/>
      <c r="AG144" s="152"/>
      <c r="AH144" s="152">
        <f>SUM(AE144:AG144)</f>
        <v>0</v>
      </c>
      <c r="AI144" s="152"/>
      <c r="AJ144" s="152"/>
      <c r="AK144" s="152"/>
      <c r="AL144" s="152">
        <f>SUM(AI144:AK144)</f>
        <v>0</v>
      </c>
      <c r="AM144" s="152"/>
      <c r="AN144" s="152"/>
      <c r="AO144" s="152"/>
      <c r="AP144" s="152">
        <f>SUM(AM144:AO144)</f>
        <v>0</v>
      </c>
      <c r="AQ144" s="152">
        <f t="shared" ref="AQ144:AS144" si="1422">AA144+AE144+AI144+AM144</f>
        <v>0</v>
      </c>
      <c r="AR144" s="152">
        <f t="shared" si="1422"/>
        <v>0</v>
      </c>
      <c r="AS144" s="152">
        <f t="shared" si="1422"/>
        <v>0</v>
      </c>
      <c r="AT144" s="168">
        <f>SUM(AQ144:AS144)</f>
        <v>0</v>
      </c>
      <c r="AU144" s="152"/>
      <c r="AV144" s="152"/>
      <c r="AW144" s="152"/>
      <c r="AX144" s="152">
        <f>SUM(AU144:AW144)</f>
        <v>0</v>
      </c>
      <c r="AY144" s="152"/>
      <c r="AZ144" s="152"/>
      <c r="BA144" s="152"/>
      <c r="BB144" s="152">
        <f>SUM(AY144:BA144)</f>
        <v>0</v>
      </c>
      <c r="BC144" s="152"/>
      <c r="BD144" s="152"/>
      <c r="BE144" s="152"/>
      <c r="BF144" s="152">
        <f>SUM(BC144:BE144)</f>
        <v>0</v>
      </c>
      <c r="BG144" s="152"/>
      <c r="BH144" s="152"/>
      <c r="BI144" s="152"/>
      <c r="BJ144" s="152">
        <f>SUM(BG144:BI144)</f>
        <v>0</v>
      </c>
      <c r="BK144" s="152">
        <f t="shared" ref="BK144:BM144" si="1423">AU144+AY144+BC144+BG144</f>
        <v>0</v>
      </c>
      <c r="BL144" s="152">
        <f t="shared" si="1423"/>
        <v>0</v>
      </c>
      <c r="BM144" s="152">
        <f t="shared" si="1423"/>
        <v>0</v>
      </c>
      <c r="BN144" s="152">
        <f>SUM(BK144:BM144)</f>
        <v>0</v>
      </c>
      <c r="BO144" s="168"/>
      <c r="BP144" s="152">
        <f t="shared" ref="BP144:BR144" si="1424">W144-AQ144</f>
        <v>0</v>
      </c>
      <c r="BQ144" s="152">
        <f t="shared" si="1424"/>
        <v>0</v>
      </c>
      <c r="BR144" s="152">
        <f t="shared" si="1424"/>
        <v>0</v>
      </c>
      <c r="BS144" s="168">
        <f>SUM(BP144:BR144)</f>
        <v>0</v>
      </c>
      <c r="BT144" s="152"/>
      <c r="BU144" s="152"/>
      <c r="BV144" s="152"/>
      <c r="BW144" s="152">
        <f>SUM(BT144:BV144)</f>
        <v>0</v>
      </c>
      <c r="BX144" s="152">
        <f>AQ144-BK144-BT144</f>
        <v>0</v>
      </c>
      <c r="BY144" s="152">
        <f t="shared" ref="BY144:BZ144" si="1425">AR144-BL144-BU144</f>
        <v>0</v>
      </c>
      <c r="BZ144" s="152">
        <f t="shared" si="1425"/>
        <v>0</v>
      </c>
      <c r="CA144" s="587">
        <f>SUM(BX144:BZ144)</f>
        <v>0</v>
      </c>
    </row>
    <row r="145" spans="1:91" ht="14.1" customHeight="1" x14ac:dyDescent="0.2">
      <c r="A145" s="106" t="s">
        <v>28</v>
      </c>
      <c r="B145" s="102"/>
      <c r="C145" s="103"/>
      <c r="D145" s="104"/>
      <c r="E145" s="103"/>
      <c r="F145" s="103"/>
      <c r="G145" s="162">
        <f>G146+G150</f>
        <v>458300</v>
      </c>
      <c r="H145" s="162">
        <f t="shared" ref="H145:I145" si="1426">H146+H150</f>
        <v>0</v>
      </c>
      <c r="I145" s="162">
        <f t="shared" si="1426"/>
        <v>0</v>
      </c>
      <c r="J145" s="162">
        <f t="shared" ref="J145:BS145" si="1427">J146+J150</f>
        <v>458300</v>
      </c>
      <c r="K145" s="162">
        <f t="shared" si="1427"/>
        <v>0</v>
      </c>
      <c r="L145" s="162">
        <f t="shared" si="1427"/>
        <v>0</v>
      </c>
      <c r="M145" s="162">
        <f t="shared" si="1427"/>
        <v>0</v>
      </c>
      <c r="N145" s="162">
        <f t="shared" si="1427"/>
        <v>0</v>
      </c>
      <c r="O145" s="162">
        <f t="shared" si="1427"/>
        <v>0</v>
      </c>
      <c r="P145" s="162">
        <f t="shared" si="1427"/>
        <v>0</v>
      </c>
      <c r="Q145" s="162">
        <f t="shared" si="1427"/>
        <v>0</v>
      </c>
      <c r="R145" s="162">
        <f t="shared" si="1427"/>
        <v>0</v>
      </c>
      <c r="S145" s="162">
        <f t="shared" si="1427"/>
        <v>2244428</v>
      </c>
      <c r="T145" s="162">
        <f t="shared" si="1427"/>
        <v>0</v>
      </c>
      <c r="U145" s="162">
        <f t="shared" si="1427"/>
        <v>0</v>
      </c>
      <c r="V145" s="162">
        <f t="shared" si="1427"/>
        <v>2244428</v>
      </c>
      <c r="W145" s="162">
        <f t="shared" si="1427"/>
        <v>2702728</v>
      </c>
      <c r="X145" s="162">
        <f t="shared" si="1427"/>
        <v>0</v>
      </c>
      <c r="Y145" s="162">
        <f t="shared" si="1427"/>
        <v>0</v>
      </c>
      <c r="Z145" s="162">
        <f t="shared" si="1427"/>
        <v>2702728</v>
      </c>
      <c r="AA145" s="162">
        <f t="shared" si="1427"/>
        <v>0</v>
      </c>
      <c r="AB145" s="162">
        <f t="shared" si="1427"/>
        <v>0</v>
      </c>
      <c r="AC145" s="162">
        <f t="shared" si="1427"/>
        <v>0</v>
      </c>
      <c r="AD145" s="162">
        <f t="shared" si="1427"/>
        <v>0</v>
      </c>
      <c r="AE145" s="162">
        <f t="shared" si="1427"/>
        <v>0</v>
      </c>
      <c r="AF145" s="162">
        <f t="shared" si="1427"/>
        <v>0</v>
      </c>
      <c r="AG145" s="162">
        <f t="shared" si="1427"/>
        <v>0</v>
      </c>
      <c r="AH145" s="162">
        <f t="shared" si="1427"/>
        <v>0</v>
      </c>
      <c r="AI145" s="162">
        <f t="shared" si="1427"/>
        <v>993000</v>
      </c>
      <c r="AJ145" s="162">
        <f t="shared" si="1427"/>
        <v>0</v>
      </c>
      <c r="AK145" s="162">
        <f t="shared" si="1427"/>
        <v>0</v>
      </c>
      <c r="AL145" s="162">
        <f t="shared" si="1427"/>
        <v>993000</v>
      </c>
      <c r="AM145" s="162">
        <f t="shared" si="1427"/>
        <v>1686481.3</v>
      </c>
      <c r="AN145" s="162">
        <f t="shared" si="1427"/>
        <v>0</v>
      </c>
      <c r="AO145" s="162">
        <f t="shared" si="1427"/>
        <v>0</v>
      </c>
      <c r="AP145" s="162">
        <f t="shared" si="1427"/>
        <v>1686481.3</v>
      </c>
      <c r="AQ145" s="162">
        <f t="shared" si="1427"/>
        <v>2679481.2999999998</v>
      </c>
      <c r="AR145" s="162">
        <f t="shared" si="1427"/>
        <v>0</v>
      </c>
      <c r="AS145" s="162">
        <f t="shared" si="1427"/>
        <v>0</v>
      </c>
      <c r="AT145" s="162">
        <f t="shared" si="1427"/>
        <v>2679481.2999999998</v>
      </c>
      <c r="AU145" s="162">
        <f t="shared" si="1427"/>
        <v>0</v>
      </c>
      <c r="AV145" s="162">
        <f t="shared" si="1427"/>
        <v>0</v>
      </c>
      <c r="AW145" s="162">
        <f t="shared" si="1427"/>
        <v>0</v>
      </c>
      <c r="AX145" s="162">
        <f t="shared" si="1427"/>
        <v>0</v>
      </c>
      <c r="AY145" s="162">
        <f t="shared" si="1427"/>
        <v>0</v>
      </c>
      <c r="AZ145" s="162">
        <f t="shared" si="1427"/>
        <v>0</v>
      </c>
      <c r="BA145" s="162">
        <f t="shared" si="1427"/>
        <v>0</v>
      </c>
      <c r="BB145" s="162">
        <f t="shared" si="1427"/>
        <v>0</v>
      </c>
      <c r="BC145" s="162">
        <f t="shared" si="1427"/>
        <v>222262.14</v>
      </c>
      <c r="BD145" s="162">
        <f t="shared" si="1427"/>
        <v>0</v>
      </c>
      <c r="BE145" s="162">
        <f t="shared" si="1427"/>
        <v>0</v>
      </c>
      <c r="BF145" s="162">
        <f t="shared" si="1427"/>
        <v>222262.14</v>
      </c>
      <c r="BG145" s="162">
        <f t="shared" si="1427"/>
        <v>2457219.16</v>
      </c>
      <c r="BH145" s="162">
        <f t="shared" si="1427"/>
        <v>0</v>
      </c>
      <c r="BI145" s="162">
        <f t="shared" si="1427"/>
        <v>0</v>
      </c>
      <c r="BJ145" s="162">
        <f t="shared" si="1427"/>
        <v>2457219.16</v>
      </c>
      <c r="BK145" s="162">
        <f t="shared" si="1427"/>
        <v>2679481.3000000003</v>
      </c>
      <c r="BL145" s="162">
        <f t="shared" si="1427"/>
        <v>0</v>
      </c>
      <c r="BM145" s="162">
        <f t="shared" si="1427"/>
        <v>0</v>
      </c>
      <c r="BN145" s="162">
        <f t="shared" si="1427"/>
        <v>2679481.3000000003</v>
      </c>
      <c r="BO145" s="162">
        <f t="shared" si="1427"/>
        <v>0</v>
      </c>
      <c r="BP145" s="162">
        <f t="shared" si="1427"/>
        <v>23246.700000000186</v>
      </c>
      <c r="BQ145" s="162">
        <f t="shared" si="1427"/>
        <v>0</v>
      </c>
      <c r="BR145" s="162">
        <f t="shared" si="1427"/>
        <v>0</v>
      </c>
      <c r="BS145" s="162">
        <f t="shared" si="1427"/>
        <v>23246.700000000186</v>
      </c>
      <c r="BT145" s="162">
        <f t="shared" ref="BT145:CA145" si="1428">BT146+BT150</f>
        <v>0</v>
      </c>
      <c r="BU145" s="162">
        <f t="shared" si="1428"/>
        <v>0</v>
      </c>
      <c r="BV145" s="162">
        <f t="shared" si="1428"/>
        <v>0</v>
      </c>
      <c r="BW145" s="162">
        <f t="shared" si="1428"/>
        <v>0</v>
      </c>
      <c r="BX145" s="162">
        <f t="shared" si="1428"/>
        <v>-4.6566128730773926E-10</v>
      </c>
      <c r="BY145" s="162">
        <f t="shared" si="1428"/>
        <v>0</v>
      </c>
      <c r="BZ145" s="162">
        <f t="shared" si="1428"/>
        <v>0</v>
      </c>
      <c r="CA145" s="162">
        <f t="shared" si="1428"/>
        <v>-4.6566128730773926E-10</v>
      </c>
    </row>
    <row r="146" spans="1:91" s="87" customFormat="1" ht="14.1" customHeight="1" x14ac:dyDescent="0.2">
      <c r="A146" s="550"/>
      <c r="B146" s="535" t="s">
        <v>269</v>
      </c>
      <c r="C146" s="549"/>
      <c r="D146" s="551"/>
      <c r="E146" s="551"/>
      <c r="F146" s="552"/>
      <c r="G146" s="538">
        <f>SUM(G147:G149)</f>
        <v>458300</v>
      </c>
      <c r="H146" s="538">
        <f t="shared" ref="H146:I146" si="1429">SUM(H147:H149)</f>
        <v>0</v>
      </c>
      <c r="I146" s="538">
        <f t="shared" si="1429"/>
        <v>0</v>
      </c>
      <c r="J146" s="538">
        <f t="shared" ref="J146:BS146" si="1430">SUM(J147:J149)</f>
        <v>458300</v>
      </c>
      <c r="K146" s="538">
        <f t="shared" si="1430"/>
        <v>0</v>
      </c>
      <c r="L146" s="538">
        <f t="shared" si="1430"/>
        <v>0</v>
      </c>
      <c r="M146" s="538">
        <f t="shared" si="1430"/>
        <v>0</v>
      </c>
      <c r="N146" s="538">
        <f t="shared" si="1430"/>
        <v>0</v>
      </c>
      <c r="O146" s="538">
        <f t="shared" si="1430"/>
        <v>0</v>
      </c>
      <c r="P146" s="538">
        <f t="shared" si="1430"/>
        <v>0</v>
      </c>
      <c r="Q146" s="538">
        <f t="shared" si="1430"/>
        <v>0</v>
      </c>
      <c r="R146" s="538">
        <f t="shared" si="1430"/>
        <v>0</v>
      </c>
      <c r="S146" s="538">
        <f t="shared" si="1430"/>
        <v>2244428</v>
      </c>
      <c r="T146" s="538">
        <f t="shared" si="1430"/>
        <v>0</v>
      </c>
      <c r="U146" s="538">
        <f t="shared" si="1430"/>
        <v>0</v>
      </c>
      <c r="V146" s="538">
        <f t="shared" si="1430"/>
        <v>2244428</v>
      </c>
      <c r="W146" s="538">
        <f t="shared" si="1430"/>
        <v>2702728</v>
      </c>
      <c r="X146" s="538">
        <f t="shared" si="1430"/>
        <v>0</v>
      </c>
      <c r="Y146" s="538">
        <f t="shared" si="1430"/>
        <v>0</v>
      </c>
      <c r="Z146" s="538">
        <f t="shared" si="1430"/>
        <v>2702728</v>
      </c>
      <c r="AA146" s="538">
        <f t="shared" si="1430"/>
        <v>0</v>
      </c>
      <c r="AB146" s="538">
        <f t="shared" si="1430"/>
        <v>0</v>
      </c>
      <c r="AC146" s="538">
        <f t="shared" si="1430"/>
        <v>0</v>
      </c>
      <c r="AD146" s="538">
        <f t="shared" si="1430"/>
        <v>0</v>
      </c>
      <c r="AE146" s="538">
        <f t="shared" si="1430"/>
        <v>0</v>
      </c>
      <c r="AF146" s="538">
        <f t="shared" si="1430"/>
        <v>0</v>
      </c>
      <c r="AG146" s="538">
        <f t="shared" si="1430"/>
        <v>0</v>
      </c>
      <c r="AH146" s="538">
        <f t="shared" si="1430"/>
        <v>0</v>
      </c>
      <c r="AI146" s="538">
        <f t="shared" si="1430"/>
        <v>993000</v>
      </c>
      <c r="AJ146" s="538">
        <f t="shared" si="1430"/>
        <v>0</v>
      </c>
      <c r="AK146" s="538">
        <f t="shared" si="1430"/>
        <v>0</v>
      </c>
      <c r="AL146" s="538">
        <f t="shared" si="1430"/>
        <v>993000</v>
      </c>
      <c r="AM146" s="538">
        <f t="shared" si="1430"/>
        <v>1686481.3</v>
      </c>
      <c r="AN146" s="538">
        <f t="shared" si="1430"/>
        <v>0</v>
      </c>
      <c r="AO146" s="538">
        <f t="shared" si="1430"/>
        <v>0</v>
      </c>
      <c r="AP146" s="538">
        <f t="shared" si="1430"/>
        <v>1686481.3</v>
      </c>
      <c r="AQ146" s="538">
        <f t="shared" si="1430"/>
        <v>2679481.2999999998</v>
      </c>
      <c r="AR146" s="538">
        <f t="shared" si="1430"/>
        <v>0</v>
      </c>
      <c r="AS146" s="538">
        <f t="shared" si="1430"/>
        <v>0</v>
      </c>
      <c r="AT146" s="538">
        <f t="shared" si="1430"/>
        <v>2679481.2999999998</v>
      </c>
      <c r="AU146" s="538">
        <f t="shared" si="1430"/>
        <v>0</v>
      </c>
      <c r="AV146" s="538">
        <f t="shared" si="1430"/>
        <v>0</v>
      </c>
      <c r="AW146" s="538">
        <f t="shared" si="1430"/>
        <v>0</v>
      </c>
      <c r="AX146" s="538">
        <f t="shared" si="1430"/>
        <v>0</v>
      </c>
      <c r="AY146" s="538">
        <f t="shared" si="1430"/>
        <v>0</v>
      </c>
      <c r="AZ146" s="538">
        <f t="shared" si="1430"/>
        <v>0</v>
      </c>
      <c r="BA146" s="538">
        <f t="shared" si="1430"/>
        <v>0</v>
      </c>
      <c r="BB146" s="538">
        <f t="shared" si="1430"/>
        <v>0</v>
      </c>
      <c r="BC146" s="538">
        <f t="shared" si="1430"/>
        <v>222262.14</v>
      </c>
      <c r="BD146" s="538">
        <f t="shared" si="1430"/>
        <v>0</v>
      </c>
      <c r="BE146" s="538">
        <f t="shared" si="1430"/>
        <v>0</v>
      </c>
      <c r="BF146" s="538">
        <f t="shared" si="1430"/>
        <v>222262.14</v>
      </c>
      <c r="BG146" s="538">
        <f t="shared" si="1430"/>
        <v>2457219.16</v>
      </c>
      <c r="BH146" s="538">
        <f t="shared" si="1430"/>
        <v>0</v>
      </c>
      <c r="BI146" s="538">
        <f t="shared" si="1430"/>
        <v>0</v>
      </c>
      <c r="BJ146" s="538">
        <f t="shared" si="1430"/>
        <v>2457219.16</v>
      </c>
      <c r="BK146" s="538">
        <f t="shared" si="1430"/>
        <v>2679481.3000000003</v>
      </c>
      <c r="BL146" s="538">
        <f t="shared" si="1430"/>
        <v>0</v>
      </c>
      <c r="BM146" s="538">
        <f t="shared" si="1430"/>
        <v>0</v>
      </c>
      <c r="BN146" s="538">
        <f t="shared" si="1430"/>
        <v>2679481.3000000003</v>
      </c>
      <c r="BO146" s="538">
        <f t="shared" si="1430"/>
        <v>0</v>
      </c>
      <c r="BP146" s="538">
        <f t="shared" si="1430"/>
        <v>23246.700000000186</v>
      </c>
      <c r="BQ146" s="538">
        <f t="shared" si="1430"/>
        <v>0</v>
      </c>
      <c r="BR146" s="538">
        <f t="shared" si="1430"/>
        <v>0</v>
      </c>
      <c r="BS146" s="538">
        <f t="shared" si="1430"/>
        <v>23246.700000000186</v>
      </c>
      <c r="BT146" s="538">
        <f t="shared" ref="BT146:CA146" si="1431">SUM(BT147:BT149)</f>
        <v>0</v>
      </c>
      <c r="BU146" s="538">
        <f t="shared" si="1431"/>
        <v>0</v>
      </c>
      <c r="BV146" s="538">
        <f t="shared" si="1431"/>
        <v>0</v>
      </c>
      <c r="BW146" s="538">
        <f t="shared" si="1431"/>
        <v>0</v>
      </c>
      <c r="BX146" s="538">
        <f t="shared" si="1431"/>
        <v>-4.6566128730773926E-10</v>
      </c>
      <c r="BY146" s="538">
        <f t="shared" si="1431"/>
        <v>0</v>
      </c>
      <c r="BZ146" s="538">
        <f t="shared" si="1431"/>
        <v>0</v>
      </c>
      <c r="CA146" s="538">
        <f t="shared" si="1431"/>
        <v>-4.6566128730773926E-10</v>
      </c>
      <c r="CB146" s="95"/>
      <c r="CC146" s="95"/>
      <c r="CD146" s="95"/>
      <c r="CE146" s="95"/>
      <c r="CF146" s="95"/>
      <c r="CG146" s="95"/>
      <c r="CH146" s="95"/>
      <c r="CI146" s="95"/>
      <c r="CJ146" s="95"/>
      <c r="CK146" s="95"/>
      <c r="CL146" s="95"/>
      <c r="CM146" s="95"/>
    </row>
    <row r="147" spans="1:91" ht="14.1" customHeight="1" x14ac:dyDescent="0.2">
      <c r="A147" s="140"/>
      <c r="B147" s="59"/>
      <c r="C147" s="568" t="s">
        <v>708</v>
      </c>
      <c r="D147" s="109"/>
      <c r="E147" s="109"/>
      <c r="G147" s="152"/>
      <c r="H147" s="152"/>
      <c r="I147" s="152"/>
      <c r="J147" s="152">
        <f t="shared" ref="J147:J149" si="1432">SUM(G147:I147)</f>
        <v>0</v>
      </c>
      <c r="K147" s="152"/>
      <c r="L147" s="152"/>
      <c r="M147" s="152"/>
      <c r="N147" s="152">
        <f t="shared" ref="N147:N149" si="1433">SUM(K147:M147)</f>
        <v>0</v>
      </c>
      <c r="O147" s="152"/>
      <c r="P147" s="152"/>
      <c r="Q147" s="152"/>
      <c r="R147" s="152">
        <f t="shared" ref="R147:R149" si="1434">SUM(O147:Q147)</f>
        <v>0</v>
      </c>
      <c r="S147" s="152">
        <v>2244428</v>
      </c>
      <c r="T147" s="152"/>
      <c r="U147" s="152"/>
      <c r="V147" s="152">
        <f t="shared" ref="V147:V149" si="1435">SUM(S147:U147)</f>
        <v>2244428</v>
      </c>
      <c r="W147" s="152">
        <f t="shared" ref="W147:W149" si="1436">G147-O147+S147+K147</f>
        <v>2244428</v>
      </c>
      <c r="X147" s="152">
        <f t="shared" ref="X147:X149" si="1437">H147-P147+T147+L147</f>
        <v>0</v>
      </c>
      <c r="Y147" s="152">
        <f t="shared" ref="Y147:Y149" si="1438">I147-Q147+U147+M147</f>
        <v>0</v>
      </c>
      <c r="Z147" s="168">
        <f t="shared" ref="Z147:Z149" si="1439">SUM(W147:Y147)</f>
        <v>2244428</v>
      </c>
      <c r="AA147" s="152"/>
      <c r="AB147" s="152"/>
      <c r="AC147" s="152"/>
      <c r="AD147" s="152">
        <f t="shared" ref="AD147:AD149" si="1440">SUM(AA147:AC147)</f>
        <v>0</v>
      </c>
      <c r="AE147" s="152"/>
      <c r="AF147" s="152"/>
      <c r="AG147" s="152"/>
      <c r="AH147" s="152">
        <f t="shared" ref="AH147:AH149" si="1441">SUM(AE147:AG147)</f>
        <v>0</v>
      </c>
      <c r="AI147" s="152">
        <v>993000</v>
      </c>
      <c r="AJ147" s="152"/>
      <c r="AK147" s="152"/>
      <c r="AL147" s="152">
        <f t="shared" ref="AL147:AL149" si="1442">SUM(AI147:AK147)</f>
        <v>993000</v>
      </c>
      <c r="AM147" s="152">
        <f>1124186+8695.3+15000+81000</f>
        <v>1228881.3</v>
      </c>
      <c r="AN147" s="152"/>
      <c r="AO147" s="152"/>
      <c r="AP147" s="152">
        <f t="shared" ref="AP147:AP149" si="1443">SUM(AM147:AO147)</f>
        <v>1228881.3</v>
      </c>
      <c r="AQ147" s="152">
        <f t="shared" ref="AQ147:AS149" si="1444">AA147+AE147+AI147+AM147</f>
        <v>2221881.2999999998</v>
      </c>
      <c r="AR147" s="152">
        <f t="shared" si="1444"/>
        <v>0</v>
      </c>
      <c r="AS147" s="152">
        <f t="shared" si="1444"/>
        <v>0</v>
      </c>
      <c r="AT147" s="168">
        <f t="shared" ref="AT147:AT149" si="1445">SUM(AQ147:AS147)</f>
        <v>2221881.2999999998</v>
      </c>
      <c r="AU147" s="152"/>
      <c r="AV147" s="152"/>
      <c r="AW147" s="152"/>
      <c r="AX147" s="152">
        <f t="shared" ref="AX147:AX149" si="1446">SUM(AU147:AW147)</f>
        <v>0</v>
      </c>
      <c r="AY147" s="152"/>
      <c r="AZ147" s="152"/>
      <c r="BA147" s="152"/>
      <c r="BB147" s="152">
        <f t="shared" ref="BB147:BB149" si="1447">SUM(AY147:BA147)</f>
        <v>0</v>
      </c>
      <c r="BC147" s="152">
        <v>222262.14</v>
      </c>
      <c r="BD147" s="152"/>
      <c r="BE147" s="152"/>
      <c r="BF147" s="152">
        <f t="shared" ref="BF147:BF149" si="1448">SUM(BC147:BE147)</f>
        <v>222262.14</v>
      </c>
      <c r="BG147" s="152">
        <f>1894923.86+81000+8695.3+15000</f>
        <v>1999619.1600000001</v>
      </c>
      <c r="BH147" s="152"/>
      <c r="BI147" s="152"/>
      <c r="BJ147" s="152">
        <f t="shared" ref="BJ147:BJ149" si="1449">SUM(BG147:BI147)</f>
        <v>1999619.1600000001</v>
      </c>
      <c r="BK147" s="152">
        <f t="shared" ref="BK147:BK149" si="1450">AU147+AY147+BC147+BG147</f>
        <v>2221881.3000000003</v>
      </c>
      <c r="BL147" s="152">
        <f t="shared" ref="BL147:BL149" si="1451">AV147+AZ147+BD147+BH147</f>
        <v>0</v>
      </c>
      <c r="BM147" s="152">
        <f t="shared" ref="BM147:BM149" si="1452">AW147+BA147+BE147+BI147</f>
        <v>0</v>
      </c>
      <c r="BN147" s="152">
        <f t="shared" ref="BN147:BN149" si="1453">SUM(BK147:BM147)</f>
        <v>2221881.3000000003</v>
      </c>
      <c r="BO147" s="168"/>
      <c r="BP147" s="152">
        <f t="shared" ref="BP147:BP149" si="1454">W147-AQ147</f>
        <v>22546.700000000186</v>
      </c>
      <c r="BQ147" s="152">
        <f t="shared" ref="BQ147:BQ149" si="1455">X147-AR147</f>
        <v>0</v>
      </c>
      <c r="BR147" s="152">
        <f t="shared" ref="BR147:BR149" si="1456">Y147-AS147</f>
        <v>0</v>
      </c>
      <c r="BS147" s="168">
        <f t="shared" ref="BS147:BS149" si="1457">SUM(BP147:BR147)</f>
        <v>22546.700000000186</v>
      </c>
      <c r="BT147" s="152"/>
      <c r="BU147" s="152"/>
      <c r="BV147" s="152"/>
      <c r="BW147" s="152">
        <f t="shared" ref="BW147:BW149" si="1458">SUM(BT147:BV147)</f>
        <v>0</v>
      </c>
      <c r="BX147" s="152">
        <f t="shared" ref="BX147:BX149" si="1459">AQ147-BK147-BT147</f>
        <v>-4.6566128730773926E-10</v>
      </c>
      <c r="BY147" s="152">
        <f t="shared" ref="BY147:BY149" si="1460">AR147-BL147-BU147</f>
        <v>0</v>
      </c>
      <c r="BZ147" s="152">
        <f t="shared" ref="BZ147:BZ149" si="1461">AS147-BM147-BV147</f>
        <v>0</v>
      </c>
      <c r="CA147" s="587">
        <f t="shared" ref="CA147:CA149" si="1462">SUM(BX147:BZ147)</f>
        <v>-4.6566128730773926E-10</v>
      </c>
    </row>
    <row r="148" spans="1:91" ht="14.1" customHeight="1" x14ac:dyDescent="0.2">
      <c r="A148" s="140"/>
      <c r="B148" s="59"/>
      <c r="C148" s="568" t="s">
        <v>706</v>
      </c>
      <c r="D148" s="109"/>
      <c r="E148" s="109"/>
      <c r="G148" s="152"/>
      <c r="H148" s="152"/>
      <c r="I148" s="152"/>
      <c r="J148" s="152">
        <f t="shared" si="1432"/>
        <v>0</v>
      </c>
      <c r="K148" s="152"/>
      <c r="L148" s="152"/>
      <c r="M148" s="152"/>
      <c r="N148" s="152">
        <f t="shared" si="1433"/>
        <v>0</v>
      </c>
      <c r="O148" s="152"/>
      <c r="P148" s="152"/>
      <c r="Q148" s="152"/>
      <c r="R148" s="152">
        <f t="shared" si="1434"/>
        <v>0</v>
      </c>
      <c r="S148" s="152"/>
      <c r="T148" s="152"/>
      <c r="U148" s="152"/>
      <c r="V148" s="152">
        <f t="shared" si="1435"/>
        <v>0</v>
      </c>
      <c r="W148" s="152">
        <f t="shared" si="1436"/>
        <v>0</v>
      </c>
      <c r="X148" s="152">
        <f t="shared" si="1437"/>
        <v>0</v>
      </c>
      <c r="Y148" s="152">
        <f t="shared" si="1438"/>
        <v>0</v>
      </c>
      <c r="Z148" s="168">
        <f t="shared" si="1439"/>
        <v>0</v>
      </c>
      <c r="AA148" s="152"/>
      <c r="AB148" s="152"/>
      <c r="AC148" s="152"/>
      <c r="AD148" s="152">
        <f t="shared" si="1440"/>
        <v>0</v>
      </c>
      <c r="AE148" s="152"/>
      <c r="AF148" s="152"/>
      <c r="AG148" s="152"/>
      <c r="AH148" s="152">
        <f t="shared" si="1441"/>
        <v>0</v>
      </c>
      <c r="AI148" s="152"/>
      <c r="AJ148" s="152"/>
      <c r="AK148" s="152"/>
      <c r="AL148" s="152">
        <f t="shared" si="1442"/>
        <v>0</v>
      </c>
      <c r="AM148" s="152"/>
      <c r="AN148" s="152"/>
      <c r="AO148" s="152"/>
      <c r="AP148" s="152">
        <f t="shared" si="1443"/>
        <v>0</v>
      </c>
      <c r="AQ148" s="152">
        <f t="shared" si="1444"/>
        <v>0</v>
      </c>
      <c r="AR148" s="152">
        <f t="shared" si="1444"/>
        <v>0</v>
      </c>
      <c r="AS148" s="152">
        <f t="shared" si="1444"/>
        <v>0</v>
      </c>
      <c r="AT148" s="168">
        <f t="shared" si="1445"/>
        <v>0</v>
      </c>
      <c r="AU148" s="152"/>
      <c r="AV148" s="152"/>
      <c r="AW148" s="152"/>
      <c r="AX148" s="152">
        <f t="shared" si="1446"/>
        <v>0</v>
      </c>
      <c r="AY148" s="152"/>
      <c r="AZ148" s="152"/>
      <c r="BA148" s="152"/>
      <c r="BB148" s="152">
        <f t="shared" si="1447"/>
        <v>0</v>
      </c>
      <c r="BC148" s="152"/>
      <c r="BD148" s="152"/>
      <c r="BE148" s="152"/>
      <c r="BF148" s="152">
        <f t="shared" si="1448"/>
        <v>0</v>
      </c>
      <c r="BG148" s="152"/>
      <c r="BH148" s="152"/>
      <c r="BI148" s="152"/>
      <c r="BJ148" s="152">
        <f t="shared" si="1449"/>
        <v>0</v>
      </c>
      <c r="BK148" s="152">
        <f t="shared" si="1450"/>
        <v>0</v>
      </c>
      <c r="BL148" s="152">
        <f t="shared" si="1451"/>
        <v>0</v>
      </c>
      <c r="BM148" s="152">
        <f t="shared" si="1452"/>
        <v>0</v>
      </c>
      <c r="BN148" s="152">
        <f t="shared" si="1453"/>
        <v>0</v>
      </c>
      <c r="BO148" s="168"/>
      <c r="BP148" s="152">
        <f t="shared" si="1454"/>
        <v>0</v>
      </c>
      <c r="BQ148" s="152">
        <f t="shared" si="1455"/>
        <v>0</v>
      </c>
      <c r="BR148" s="152">
        <f t="shared" si="1456"/>
        <v>0</v>
      </c>
      <c r="BS148" s="168">
        <f t="shared" si="1457"/>
        <v>0</v>
      </c>
      <c r="BT148" s="152"/>
      <c r="BU148" s="152"/>
      <c r="BV148" s="152"/>
      <c r="BW148" s="152">
        <f t="shared" si="1458"/>
        <v>0</v>
      </c>
      <c r="BX148" s="152">
        <f t="shared" si="1459"/>
        <v>0</v>
      </c>
      <c r="BY148" s="152">
        <f t="shared" si="1460"/>
        <v>0</v>
      </c>
      <c r="BZ148" s="152">
        <f t="shared" si="1461"/>
        <v>0</v>
      </c>
      <c r="CA148" s="587">
        <f t="shared" si="1462"/>
        <v>0</v>
      </c>
    </row>
    <row r="149" spans="1:91" ht="14.1" customHeight="1" x14ac:dyDescent="0.2">
      <c r="A149" s="140"/>
      <c r="B149" s="59"/>
      <c r="C149" s="568" t="s">
        <v>707</v>
      </c>
      <c r="D149" s="109"/>
      <c r="E149" s="109"/>
      <c r="G149" s="152">
        <v>458300</v>
      </c>
      <c r="H149" s="152"/>
      <c r="I149" s="152"/>
      <c r="J149" s="152">
        <f t="shared" si="1432"/>
        <v>458300</v>
      </c>
      <c r="K149" s="152"/>
      <c r="L149" s="152"/>
      <c r="M149" s="152"/>
      <c r="N149" s="152">
        <f t="shared" si="1433"/>
        <v>0</v>
      </c>
      <c r="O149" s="152"/>
      <c r="P149" s="152"/>
      <c r="Q149" s="152"/>
      <c r="R149" s="152">
        <f t="shared" si="1434"/>
        <v>0</v>
      </c>
      <c r="S149" s="152"/>
      <c r="T149" s="152"/>
      <c r="U149" s="152"/>
      <c r="V149" s="152">
        <f t="shared" si="1435"/>
        <v>0</v>
      </c>
      <c r="W149" s="152">
        <f t="shared" si="1436"/>
        <v>458300</v>
      </c>
      <c r="X149" s="152">
        <f t="shared" si="1437"/>
        <v>0</v>
      </c>
      <c r="Y149" s="152">
        <f t="shared" si="1438"/>
        <v>0</v>
      </c>
      <c r="Z149" s="168">
        <f t="shared" si="1439"/>
        <v>458300</v>
      </c>
      <c r="AA149" s="152"/>
      <c r="AB149" s="152"/>
      <c r="AC149" s="152"/>
      <c r="AD149" s="152">
        <f t="shared" si="1440"/>
        <v>0</v>
      </c>
      <c r="AE149" s="152"/>
      <c r="AF149" s="152"/>
      <c r="AG149" s="152"/>
      <c r="AH149" s="152">
        <f t="shared" si="1441"/>
        <v>0</v>
      </c>
      <c r="AI149" s="152"/>
      <c r="AJ149" s="152"/>
      <c r="AK149" s="152"/>
      <c r="AL149" s="152">
        <f t="shared" si="1442"/>
        <v>0</v>
      </c>
      <c r="AM149" s="152">
        <v>457600</v>
      </c>
      <c r="AN149" s="152"/>
      <c r="AO149" s="152"/>
      <c r="AP149" s="152">
        <f t="shared" si="1443"/>
        <v>457600</v>
      </c>
      <c r="AQ149" s="152">
        <f t="shared" si="1444"/>
        <v>457600</v>
      </c>
      <c r="AR149" s="152">
        <f t="shared" si="1444"/>
        <v>0</v>
      </c>
      <c r="AS149" s="152">
        <f t="shared" si="1444"/>
        <v>0</v>
      </c>
      <c r="AT149" s="168">
        <f t="shared" si="1445"/>
        <v>457600</v>
      </c>
      <c r="AU149" s="152"/>
      <c r="AV149" s="152"/>
      <c r="AW149" s="152"/>
      <c r="AX149" s="152">
        <f t="shared" si="1446"/>
        <v>0</v>
      </c>
      <c r="AY149" s="152"/>
      <c r="AZ149" s="152"/>
      <c r="BA149" s="152"/>
      <c r="BB149" s="152">
        <f t="shared" si="1447"/>
        <v>0</v>
      </c>
      <c r="BC149" s="152"/>
      <c r="BD149" s="152"/>
      <c r="BE149" s="152"/>
      <c r="BF149" s="152">
        <f t="shared" si="1448"/>
        <v>0</v>
      </c>
      <c r="BG149" s="152">
        <v>457600</v>
      </c>
      <c r="BH149" s="152"/>
      <c r="BI149" s="152"/>
      <c r="BJ149" s="152">
        <f t="shared" si="1449"/>
        <v>457600</v>
      </c>
      <c r="BK149" s="152">
        <f t="shared" si="1450"/>
        <v>457600</v>
      </c>
      <c r="BL149" s="152">
        <f t="shared" si="1451"/>
        <v>0</v>
      </c>
      <c r="BM149" s="152">
        <f t="shared" si="1452"/>
        <v>0</v>
      </c>
      <c r="BN149" s="152">
        <f t="shared" si="1453"/>
        <v>457600</v>
      </c>
      <c r="BO149" s="168"/>
      <c r="BP149" s="152">
        <f t="shared" si="1454"/>
        <v>700</v>
      </c>
      <c r="BQ149" s="152">
        <f t="shared" si="1455"/>
        <v>0</v>
      </c>
      <c r="BR149" s="152">
        <f t="shared" si="1456"/>
        <v>0</v>
      </c>
      <c r="BS149" s="168">
        <f t="shared" si="1457"/>
        <v>700</v>
      </c>
      <c r="BT149" s="152"/>
      <c r="BU149" s="152"/>
      <c r="BV149" s="152"/>
      <c r="BW149" s="152">
        <f t="shared" si="1458"/>
        <v>0</v>
      </c>
      <c r="BX149" s="152">
        <f t="shared" si="1459"/>
        <v>0</v>
      </c>
      <c r="BY149" s="152">
        <f t="shared" si="1460"/>
        <v>0</v>
      </c>
      <c r="BZ149" s="152">
        <f t="shared" si="1461"/>
        <v>0</v>
      </c>
      <c r="CA149" s="587">
        <f t="shared" si="1462"/>
        <v>0</v>
      </c>
    </row>
    <row r="150" spans="1:91" ht="14.1" customHeight="1" x14ac:dyDescent="0.2">
      <c r="A150" s="550"/>
      <c r="B150" s="535" t="s">
        <v>272</v>
      </c>
      <c r="C150" s="549"/>
      <c r="D150" s="551"/>
      <c r="E150" s="551"/>
      <c r="F150" s="552"/>
      <c r="G150" s="538">
        <f>SUM(G151:G152)</f>
        <v>0</v>
      </c>
      <c r="H150" s="538">
        <f t="shared" ref="H150:I150" si="1463">SUM(H151:H152)</f>
        <v>0</v>
      </c>
      <c r="I150" s="538">
        <f t="shared" si="1463"/>
        <v>0</v>
      </c>
      <c r="J150" s="538">
        <f t="shared" ref="J150:BS150" si="1464">SUM(J151:J152)</f>
        <v>0</v>
      </c>
      <c r="K150" s="538">
        <f t="shared" si="1464"/>
        <v>0</v>
      </c>
      <c r="L150" s="538">
        <f t="shared" si="1464"/>
        <v>0</v>
      </c>
      <c r="M150" s="538">
        <f t="shared" si="1464"/>
        <v>0</v>
      </c>
      <c r="N150" s="538">
        <f t="shared" si="1464"/>
        <v>0</v>
      </c>
      <c r="O150" s="538">
        <f t="shared" si="1464"/>
        <v>0</v>
      </c>
      <c r="P150" s="538">
        <f t="shared" si="1464"/>
        <v>0</v>
      </c>
      <c r="Q150" s="538">
        <f t="shared" si="1464"/>
        <v>0</v>
      </c>
      <c r="R150" s="538">
        <f t="shared" si="1464"/>
        <v>0</v>
      </c>
      <c r="S150" s="538">
        <f t="shared" si="1464"/>
        <v>0</v>
      </c>
      <c r="T150" s="538">
        <f t="shared" si="1464"/>
        <v>0</v>
      </c>
      <c r="U150" s="538">
        <f t="shared" si="1464"/>
        <v>0</v>
      </c>
      <c r="V150" s="538">
        <f t="shared" si="1464"/>
        <v>0</v>
      </c>
      <c r="W150" s="538">
        <f t="shared" si="1464"/>
        <v>0</v>
      </c>
      <c r="X150" s="538">
        <f t="shared" si="1464"/>
        <v>0</v>
      </c>
      <c r="Y150" s="538">
        <f t="shared" si="1464"/>
        <v>0</v>
      </c>
      <c r="Z150" s="538">
        <f t="shared" si="1464"/>
        <v>0</v>
      </c>
      <c r="AA150" s="538">
        <f t="shared" si="1464"/>
        <v>0</v>
      </c>
      <c r="AB150" s="538">
        <f t="shared" si="1464"/>
        <v>0</v>
      </c>
      <c r="AC150" s="538">
        <f t="shared" si="1464"/>
        <v>0</v>
      </c>
      <c r="AD150" s="538">
        <f t="shared" si="1464"/>
        <v>0</v>
      </c>
      <c r="AE150" s="538">
        <f t="shared" si="1464"/>
        <v>0</v>
      </c>
      <c r="AF150" s="538">
        <f t="shared" si="1464"/>
        <v>0</v>
      </c>
      <c r="AG150" s="538">
        <f t="shared" si="1464"/>
        <v>0</v>
      </c>
      <c r="AH150" s="538">
        <f t="shared" si="1464"/>
        <v>0</v>
      </c>
      <c r="AI150" s="538">
        <f t="shared" si="1464"/>
        <v>0</v>
      </c>
      <c r="AJ150" s="538">
        <f t="shared" si="1464"/>
        <v>0</v>
      </c>
      <c r="AK150" s="538">
        <f t="shared" si="1464"/>
        <v>0</v>
      </c>
      <c r="AL150" s="538">
        <f t="shared" si="1464"/>
        <v>0</v>
      </c>
      <c r="AM150" s="538">
        <f t="shared" si="1464"/>
        <v>0</v>
      </c>
      <c r="AN150" s="538">
        <f t="shared" si="1464"/>
        <v>0</v>
      </c>
      <c r="AO150" s="538">
        <f t="shared" si="1464"/>
        <v>0</v>
      </c>
      <c r="AP150" s="538">
        <f t="shared" si="1464"/>
        <v>0</v>
      </c>
      <c r="AQ150" s="538">
        <f t="shared" si="1464"/>
        <v>0</v>
      </c>
      <c r="AR150" s="538">
        <f t="shared" si="1464"/>
        <v>0</v>
      </c>
      <c r="AS150" s="538">
        <f t="shared" si="1464"/>
        <v>0</v>
      </c>
      <c r="AT150" s="538">
        <f t="shared" si="1464"/>
        <v>0</v>
      </c>
      <c r="AU150" s="538">
        <f t="shared" si="1464"/>
        <v>0</v>
      </c>
      <c r="AV150" s="538">
        <f t="shared" si="1464"/>
        <v>0</v>
      </c>
      <c r="AW150" s="538">
        <f t="shared" si="1464"/>
        <v>0</v>
      </c>
      <c r="AX150" s="538">
        <f t="shared" si="1464"/>
        <v>0</v>
      </c>
      <c r="AY150" s="538">
        <f t="shared" si="1464"/>
        <v>0</v>
      </c>
      <c r="AZ150" s="538">
        <f t="shared" si="1464"/>
        <v>0</v>
      </c>
      <c r="BA150" s="538">
        <f t="shared" si="1464"/>
        <v>0</v>
      </c>
      <c r="BB150" s="538">
        <f t="shared" si="1464"/>
        <v>0</v>
      </c>
      <c r="BC150" s="538">
        <f t="shared" si="1464"/>
        <v>0</v>
      </c>
      <c r="BD150" s="538">
        <f t="shared" si="1464"/>
        <v>0</v>
      </c>
      <c r="BE150" s="538">
        <f t="shared" si="1464"/>
        <v>0</v>
      </c>
      <c r="BF150" s="538">
        <f t="shared" si="1464"/>
        <v>0</v>
      </c>
      <c r="BG150" s="538">
        <f t="shared" si="1464"/>
        <v>0</v>
      </c>
      <c r="BH150" s="538">
        <f t="shared" si="1464"/>
        <v>0</v>
      </c>
      <c r="BI150" s="538">
        <f t="shared" si="1464"/>
        <v>0</v>
      </c>
      <c r="BJ150" s="538">
        <f t="shared" si="1464"/>
        <v>0</v>
      </c>
      <c r="BK150" s="538">
        <f t="shared" si="1464"/>
        <v>0</v>
      </c>
      <c r="BL150" s="538">
        <f t="shared" si="1464"/>
        <v>0</v>
      </c>
      <c r="BM150" s="538">
        <f t="shared" si="1464"/>
        <v>0</v>
      </c>
      <c r="BN150" s="538">
        <f t="shared" si="1464"/>
        <v>0</v>
      </c>
      <c r="BO150" s="538">
        <f t="shared" si="1464"/>
        <v>0</v>
      </c>
      <c r="BP150" s="538">
        <f t="shared" si="1464"/>
        <v>0</v>
      </c>
      <c r="BQ150" s="538">
        <f t="shared" si="1464"/>
        <v>0</v>
      </c>
      <c r="BR150" s="538">
        <f t="shared" si="1464"/>
        <v>0</v>
      </c>
      <c r="BS150" s="538">
        <f t="shared" si="1464"/>
        <v>0</v>
      </c>
      <c r="BT150" s="538">
        <f t="shared" ref="BT150:CA150" si="1465">SUM(BT151:BT152)</f>
        <v>0</v>
      </c>
      <c r="BU150" s="538">
        <f t="shared" si="1465"/>
        <v>0</v>
      </c>
      <c r="BV150" s="538">
        <f t="shared" si="1465"/>
        <v>0</v>
      </c>
      <c r="BW150" s="538">
        <f t="shared" si="1465"/>
        <v>0</v>
      </c>
      <c r="BX150" s="538">
        <f t="shared" si="1465"/>
        <v>0</v>
      </c>
      <c r="BY150" s="538">
        <f t="shared" si="1465"/>
        <v>0</v>
      </c>
      <c r="BZ150" s="538">
        <f t="shared" si="1465"/>
        <v>0</v>
      </c>
      <c r="CA150" s="538">
        <f t="shared" si="1465"/>
        <v>0</v>
      </c>
    </row>
    <row r="151" spans="1:91" ht="14.1" customHeight="1" x14ac:dyDescent="0.2">
      <c r="A151" s="140"/>
      <c r="B151" s="568"/>
      <c r="C151" s="69" t="s">
        <v>273</v>
      </c>
      <c r="D151" s="109"/>
      <c r="E151" s="109"/>
      <c r="G151" s="152"/>
      <c r="H151" s="152"/>
      <c r="I151" s="152"/>
      <c r="J151" s="152">
        <f t="shared" ref="J151:J152" si="1466">SUM(G151:I151)</f>
        <v>0</v>
      </c>
      <c r="K151" s="152"/>
      <c r="L151" s="152"/>
      <c r="M151" s="152"/>
      <c r="N151" s="152">
        <f t="shared" ref="N151:N152" si="1467">SUM(K151:M151)</f>
        <v>0</v>
      </c>
      <c r="O151" s="152"/>
      <c r="P151" s="152"/>
      <c r="Q151" s="152"/>
      <c r="R151" s="152">
        <f t="shared" ref="R151:R152" si="1468">SUM(O151:Q151)</f>
        <v>0</v>
      </c>
      <c r="S151" s="152"/>
      <c r="T151" s="152"/>
      <c r="U151" s="152"/>
      <c r="V151" s="152">
        <f t="shared" ref="V151:V152" si="1469">SUM(S151:U151)</f>
        <v>0</v>
      </c>
      <c r="W151" s="152">
        <f t="shared" ref="W151:W152" si="1470">G151-O151+S151+K151</f>
        <v>0</v>
      </c>
      <c r="X151" s="152">
        <f t="shared" ref="X151:X152" si="1471">H151-P151+T151+L151</f>
        <v>0</v>
      </c>
      <c r="Y151" s="152">
        <f t="shared" ref="Y151:Y152" si="1472">I151-Q151+U151+M151</f>
        <v>0</v>
      </c>
      <c r="Z151" s="168">
        <f t="shared" ref="Z151:Z152" si="1473">SUM(W151:Y151)</f>
        <v>0</v>
      </c>
      <c r="AA151" s="152"/>
      <c r="AB151" s="152"/>
      <c r="AC151" s="152"/>
      <c r="AD151" s="152">
        <f t="shared" ref="AD151:AD152" si="1474">SUM(AA151:AC151)</f>
        <v>0</v>
      </c>
      <c r="AE151" s="152"/>
      <c r="AF151" s="152"/>
      <c r="AG151" s="152"/>
      <c r="AH151" s="152">
        <f t="shared" ref="AH151:AH152" si="1475">SUM(AE151:AG151)</f>
        <v>0</v>
      </c>
      <c r="AI151" s="152"/>
      <c r="AJ151" s="152"/>
      <c r="AK151" s="152"/>
      <c r="AL151" s="152">
        <f t="shared" ref="AL151:AL152" si="1476">SUM(AI151:AK151)</f>
        <v>0</v>
      </c>
      <c r="AM151" s="152"/>
      <c r="AN151" s="152"/>
      <c r="AO151" s="152"/>
      <c r="AP151" s="152">
        <f t="shared" ref="AP151:AP152" si="1477">SUM(AM151:AO151)</f>
        <v>0</v>
      </c>
      <c r="AQ151" s="152">
        <f t="shared" ref="AQ151:AS152" si="1478">AA151+AE151+AI151+AM151</f>
        <v>0</v>
      </c>
      <c r="AR151" s="152">
        <f t="shared" si="1478"/>
        <v>0</v>
      </c>
      <c r="AS151" s="152">
        <f t="shared" si="1478"/>
        <v>0</v>
      </c>
      <c r="AT151" s="168">
        <f t="shared" ref="AT151:AT152" si="1479">SUM(AQ151:AS151)</f>
        <v>0</v>
      </c>
      <c r="AU151" s="152"/>
      <c r="AV151" s="152"/>
      <c r="AW151" s="152"/>
      <c r="AX151" s="152">
        <f t="shared" ref="AX151:AX152" si="1480">SUM(AU151:AW151)</f>
        <v>0</v>
      </c>
      <c r="AY151" s="152"/>
      <c r="AZ151" s="152"/>
      <c r="BA151" s="152"/>
      <c r="BB151" s="152">
        <f t="shared" ref="BB151:BB152" si="1481">SUM(AY151:BA151)</f>
        <v>0</v>
      </c>
      <c r="BC151" s="152"/>
      <c r="BD151" s="152"/>
      <c r="BE151" s="152"/>
      <c r="BF151" s="152">
        <f t="shared" ref="BF151:BF152" si="1482">SUM(BC151:BE151)</f>
        <v>0</v>
      </c>
      <c r="BG151" s="152"/>
      <c r="BH151" s="152"/>
      <c r="BI151" s="152"/>
      <c r="BJ151" s="152">
        <f t="shared" ref="BJ151:BJ152" si="1483">SUM(BG151:BI151)</f>
        <v>0</v>
      </c>
      <c r="BK151" s="152">
        <f t="shared" ref="BK151:BK152" si="1484">AU151+AY151+BC151+BG151</f>
        <v>0</v>
      </c>
      <c r="BL151" s="152">
        <f t="shared" ref="BL151:BL152" si="1485">AV151+AZ151+BD151+BH151</f>
        <v>0</v>
      </c>
      <c r="BM151" s="152">
        <f t="shared" ref="BM151:BM152" si="1486">AW151+BA151+BE151+BI151</f>
        <v>0</v>
      </c>
      <c r="BN151" s="152">
        <f t="shared" ref="BN151:BN152" si="1487">SUM(BK151:BM151)</f>
        <v>0</v>
      </c>
      <c r="BO151" s="168"/>
      <c r="BP151" s="152">
        <f t="shared" ref="BP151:BP152" si="1488">W151-AQ151</f>
        <v>0</v>
      </c>
      <c r="BQ151" s="152">
        <f t="shared" ref="BQ151:BQ152" si="1489">X151-AR151</f>
        <v>0</v>
      </c>
      <c r="BR151" s="152">
        <f t="shared" ref="BR151:BR152" si="1490">Y151-AS151</f>
        <v>0</v>
      </c>
      <c r="BS151" s="168">
        <f t="shared" ref="BS151:BS152" si="1491">SUM(BP151:BR151)</f>
        <v>0</v>
      </c>
      <c r="BT151" s="152"/>
      <c r="BU151" s="152"/>
      <c r="BV151" s="152"/>
      <c r="BW151" s="152">
        <f t="shared" ref="BW151:BW152" si="1492">SUM(BT151:BV151)</f>
        <v>0</v>
      </c>
      <c r="BX151" s="152">
        <f t="shared" ref="BX151:BX152" si="1493">AQ151-BK151-BT151</f>
        <v>0</v>
      </c>
      <c r="BY151" s="152">
        <f t="shared" ref="BY151:BY152" si="1494">AR151-BL151-BU151</f>
        <v>0</v>
      </c>
      <c r="BZ151" s="152">
        <f t="shared" ref="BZ151:BZ152" si="1495">AS151-BM151-BV151</f>
        <v>0</v>
      </c>
      <c r="CA151" s="587">
        <f t="shared" ref="CA151:CA152" si="1496">SUM(BX151:BZ151)</f>
        <v>0</v>
      </c>
    </row>
    <row r="152" spans="1:91" ht="14.1" customHeight="1" x14ac:dyDescent="0.2">
      <c r="A152" s="140"/>
      <c r="B152" s="568"/>
      <c r="C152" s="69" t="s">
        <v>688</v>
      </c>
      <c r="D152" s="109"/>
      <c r="E152" s="109"/>
      <c r="G152" s="747"/>
      <c r="H152" s="152"/>
      <c r="I152" s="152"/>
      <c r="J152" s="152">
        <f t="shared" si="1466"/>
        <v>0</v>
      </c>
      <c r="K152" s="152"/>
      <c r="L152" s="152"/>
      <c r="M152" s="152"/>
      <c r="N152" s="152">
        <f t="shared" si="1467"/>
        <v>0</v>
      </c>
      <c r="O152" s="152"/>
      <c r="P152" s="152"/>
      <c r="Q152" s="152"/>
      <c r="R152" s="152">
        <f t="shared" si="1468"/>
        <v>0</v>
      </c>
      <c r="S152" s="152"/>
      <c r="T152" s="152"/>
      <c r="U152" s="152"/>
      <c r="V152" s="152">
        <f t="shared" si="1469"/>
        <v>0</v>
      </c>
      <c r="W152" s="152">
        <f t="shared" si="1470"/>
        <v>0</v>
      </c>
      <c r="X152" s="152">
        <f t="shared" si="1471"/>
        <v>0</v>
      </c>
      <c r="Y152" s="152">
        <f t="shared" si="1472"/>
        <v>0</v>
      </c>
      <c r="Z152" s="168">
        <f t="shared" si="1473"/>
        <v>0</v>
      </c>
      <c r="AA152" s="152"/>
      <c r="AB152" s="152"/>
      <c r="AC152" s="152"/>
      <c r="AD152" s="152">
        <f t="shared" si="1474"/>
        <v>0</v>
      </c>
      <c r="AE152" s="152"/>
      <c r="AF152" s="152"/>
      <c r="AG152" s="152"/>
      <c r="AH152" s="152">
        <f t="shared" si="1475"/>
        <v>0</v>
      </c>
      <c r="AI152" s="152"/>
      <c r="AJ152" s="152"/>
      <c r="AK152" s="152"/>
      <c r="AL152" s="152">
        <f t="shared" si="1476"/>
        <v>0</v>
      </c>
      <c r="AM152" s="152"/>
      <c r="AN152" s="152"/>
      <c r="AO152" s="152"/>
      <c r="AP152" s="152">
        <f t="shared" si="1477"/>
        <v>0</v>
      </c>
      <c r="AQ152" s="152">
        <f t="shared" si="1478"/>
        <v>0</v>
      </c>
      <c r="AR152" s="152">
        <f t="shared" si="1478"/>
        <v>0</v>
      </c>
      <c r="AS152" s="152">
        <f t="shared" si="1478"/>
        <v>0</v>
      </c>
      <c r="AT152" s="168">
        <f t="shared" si="1479"/>
        <v>0</v>
      </c>
      <c r="AU152" s="152"/>
      <c r="AV152" s="152"/>
      <c r="AW152" s="152"/>
      <c r="AX152" s="152">
        <f t="shared" si="1480"/>
        <v>0</v>
      </c>
      <c r="AY152" s="152"/>
      <c r="AZ152" s="152"/>
      <c r="BA152" s="152"/>
      <c r="BB152" s="152">
        <f t="shared" si="1481"/>
        <v>0</v>
      </c>
      <c r="BC152" s="152"/>
      <c r="BD152" s="152"/>
      <c r="BE152" s="152"/>
      <c r="BF152" s="152">
        <f t="shared" si="1482"/>
        <v>0</v>
      </c>
      <c r="BG152" s="152"/>
      <c r="BH152" s="152"/>
      <c r="BI152" s="152"/>
      <c r="BJ152" s="152">
        <f t="shared" si="1483"/>
        <v>0</v>
      </c>
      <c r="BK152" s="152">
        <f t="shared" si="1484"/>
        <v>0</v>
      </c>
      <c r="BL152" s="152">
        <f t="shared" si="1485"/>
        <v>0</v>
      </c>
      <c r="BM152" s="152">
        <f t="shared" si="1486"/>
        <v>0</v>
      </c>
      <c r="BN152" s="152">
        <f t="shared" si="1487"/>
        <v>0</v>
      </c>
      <c r="BO152" s="168"/>
      <c r="BP152" s="152">
        <f t="shared" si="1488"/>
        <v>0</v>
      </c>
      <c r="BQ152" s="152">
        <f t="shared" si="1489"/>
        <v>0</v>
      </c>
      <c r="BR152" s="152">
        <f t="shared" si="1490"/>
        <v>0</v>
      </c>
      <c r="BS152" s="168">
        <f t="shared" si="1491"/>
        <v>0</v>
      </c>
      <c r="BT152" s="152"/>
      <c r="BU152" s="152"/>
      <c r="BV152" s="152"/>
      <c r="BW152" s="152">
        <f t="shared" si="1492"/>
        <v>0</v>
      </c>
      <c r="BX152" s="152">
        <f t="shared" si="1493"/>
        <v>0</v>
      </c>
      <c r="BY152" s="152">
        <f t="shared" si="1494"/>
        <v>0</v>
      </c>
      <c r="BZ152" s="152">
        <f t="shared" si="1495"/>
        <v>0</v>
      </c>
      <c r="CA152" s="587">
        <f t="shared" si="1496"/>
        <v>0</v>
      </c>
    </row>
    <row r="153" spans="1:91" ht="14.1" customHeight="1" x14ac:dyDescent="0.2">
      <c r="A153" s="106" t="s">
        <v>29</v>
      </c>
      <c r="B153" s="102"/>
      <c r="C153" s="103"/>
      <c r="D153" s="104"/>
      <c r="E153" s="103"/>
      <c r="F153" s="103"/>
      <c r="G153" s="151">
        <f>G154+G166</f>
        <v>1659000</v>
      </c>
      <c r="H153" s="151">
        <f t="shared" ref="H153:I153" si="1497">H154+H166</f>
        <v>0</v>
      </c>
      <c r="I153" s="151">
        <f t="shared" si="1497"/>
        <v>0</v>
      </c>
      <c r="J153" s="151">
        <f t="shared" ref="J153:BS153" si="1498">J154+J166</f>
        <v>1659000</v>
      </c>
      <c r="K153" s="151">
        <f t="shared" si="1498"/>
        <v>0</v>
      </c>
      <c r="L153" s="151">
        <f t="shared" si="1498"/>
        <v>0</v>
      </c>
      <c r="M153" s="151">
        <f t="shared" si="1498"/>
        <v>0</v>
      </c>
      <c r="N153" s="151">
        <f t="shared" si="1498"/>
        <v>0</v>
      </c>
      <c r="O153" s="151">
        <f t="shared" si="1498"/>
        <v>0</v>
      </c>
      <c r="P153" s="151">
        <f t="shared" si="1498"/>
        <v>0</v>
      </c>
      <c r="Q153" s="151">
        <f t="shared" si="1498"/>
        <v>0</v>
      </c>
      <c r="R153" s="151">
        <f t="shared" si="1498"/>
        <v>0</v>
      </c>
      <c r="S153" s="151">
        <f t="shared" si="1498"/>
        <v>119000</v>
      </c>
      <c r="T153" s="151">
        <f t="shared" si="1498"/>
        <v>248000</v>
      </c>
      <c r="U153" s="151">
        <f t="shared" si="1498"/>
        <v>0</v>
      </c>
      <c r="V153" s="151">
        <f t="shared" si="1498"/>
        <v>367000</v>
      </c>
      <c r="W153" s="151">
        <f t="shared" si="1498"/>
        <v>1778000</v>
      </c>
      <c r="X153" s="151">
        <f t="shared" si="1498"/>
        <v>248000</v>
      </c>
      <c r="Y153" s="151">
        <f t="shared" si="1498"/>
        <v>0</v>
      </c>
      <c r="Z153" s="151">
        <f t="shared" si="1498"/>
        <v>2026000</v>
      </c>
      <c r="AA153" s="151">
        <f t="shared" si="1498"/>
        <v>537358.32000000007</v>
      </c>
      <c r="AB153" s="151">
        <f t="shared" si="1498"/>
        <v>0</v>
      </c>
      <c r="AC153" s="151">
        <f t="shared" si="1498"/>
        <v>0</v>
      </c>
      <c r="AD153" s="151">
        <f t="shared" si="1498"/>
        <v>537358.32000000007</v>
      </c>
      <c r="AE153" s="151">
        <f t="shared" si="1498"/>
        <v>404773.9</v>
      </c>
      <c r="AF153" s="151">
        <f t="shared" si="1498"/>
        <v>0</v>
      </c>
      <c r="AG153" s="151">
        <f t="shared" si="1498"/>
        <v>0</v>
      </c>
      <c r="AH153" s="151">
        <f t="shared" si="1498"/>
        <v>404773.9</v>
      </c>
      <c r="AI153" s="151">
        <f t="shared" si="1498"/>
        <v>404706.95999999996</v>
      </c>
      <c r="AJ153" s="151">
        <f t="shared" si="1498"/>
        <v>51000</v>
      </c>
      <c r="AK153" s="151">
        <f t="shared" si="1498"/>
        <v>0</v>
      </c>
      <c r="AL153" s="151">
        <f t="shared" si="1498"/>
        <v>455706.95999999996</v>
      </c>
      <c r="AM153" s="151">
        <f t="shared" si="1498"/>
        <v>269994.68</v>
      </c>
      <c r="AN153" s="151">
        <f t="shared" si="1498"/>
        <v>28393.47</v>
      </c>
      <c r="AO153" s="151">
        <f t="shared" si="1498"/>
        <v>0</v>
      </c>
      <c r="AP153" s="151">
        <f t="shared" si="1498"/>
        <v>298388.15000000002</v>
      </c>
      <c r="AQ153" s="151">
        <f t="shared" si="1498"/>
        <v>1616833.86</v>
      </c>
      <c r="AR153" s="151">
        <f t="shared" si="1498"/>
        <v>79393.47</v>
      </c>
      <c r="AS153" s="151">
        <f t="shared" si="1498"/>
        <v>0</v>
      </c>
      <c r="AT153" s="151">
        <f t="shared" si="1498"/>
        <v>1696227.33</v>
      </c>
      <c r="AU153" s="151">
        <f t="shared" si="1498"/>
        <v>402512.64000000001</v>
      </c>
      <c r="AV153" s="151">
        <f t="shared" si="1498"/>
        <v>0</v>
      </c>
      <c r="AW153" s="151">
        <f t="shared" si="1498"/>
        <v>0</v>
      </c>
      <c r="AX153" s="151">
        <f t="shared" si="1498"/>
        <v>402512.64000000001</v>
      </c>
      <c r="AY153" s="151">
        <f t="shared" si="1498"/>
        <v>539439.35999999999</v>
      </c>
      <c r="AZ153" s="151">
        <f t="shared" si="1498"/>
        <v>0</v>
      </c>
      <c r="BA153" s="151">
        <f t="shared" si="1498"/>
        <v>0</v>
      </c>
      <c r="BB153" s="151">
        <f t="shared" si="1498"/>
        <v>539439.35999999999</v>
      </c>
      <c r="BC153" s="151">
        <f t="shared" si="1498"/>
        <v>404887.18000000005</v>
      </c>
      <c r="BD153" s="151">
        <f t="shared" si="1498"/>
        <v>51000</v>
      </c>
      <c r="BE153" s="151">
        <f t="shared" si="1498"/>
        <v>0</v>
      </c>
      <c r="BF153" s="151">
        <f t="shared" si="1498"/>
        <v>455887.18000000005</v>
      </c>
      <c r="BG153" s="151">
        <f t="shared" si="1498"/>
        <v>269993.68000000005</v>
      </c>
      <c r="BH153" s="151">
        <f t="shared" si="1498"/>
        <v>28393.47</v>
      </c>
      <c r="BI153" s="151">
        <f t="shared" si="1498"/>
        <v>0</v>
      </c>
      <c r="BJ153" s="151">
        <f t="shared" si="1498"/>
        <v>298387.15000000002</v>
      </c>
      <c r="BK153" s="151">
        <f t="shared" si="1498"/>
        <v>1616832.8599999999</v>
      </c>
      <c r="BL153" s="151">
        <f t="shared" si="1498"/>
        <v>79393.47</v>
      </c>
      <c r="BM153" s="151">
        <f t="shared" si="1498"/>
        <v>0</v>
      </c>
      <c r="BN153" s="151">
        <f t="shared" si="1498"/>
        <v>1696226.3299999998</v>
      </c>
      <c r="BO153" s="151">
        <f t="shared" si="1498"/>
        <v>0</v>
      </c>
      <c r="BP153" s="151">
        <f t="shared" si="1498"/>
        <v>161166.14000000001</v>
      </c>
      <c r="BQ153" s="151">
        <f t="shared" si="1498"/>
        <v>168606.53</v>
      </c>
      <c r="BR153" s="151">
        <f t="shared" si="1498"/>
        <v>0</v>
      </c>
      <c r="BS153" s="151">
        <f t="shared" si="1498"/>
        <v>329772.67000000004</v>
      </c>
      <c r="BT153" s="151">
        <f t="shared" ref="BT153:CA153" si="1499">BT154+BT166</f>
        <v>1</v>
      </c>
      <c r="BU153" s="151">
        <f t="shared" si="1499"/>
        <v>0</v>
      </c>
      <c r="BV153" s="151">
        <f t="shared" si="1499"/>
        <v>0</v>
      </c>
      <c r="BW153" s="151">
        <f t="shared" si="1499"/>
        <v>1</v>
      </c>
      <c r="BX153" s="151">
        <f t="shared" si="1499"/>
        <v>1.1641532182693481E-10</v>
      </c>
      <c r="BY153" s="151">
        <f t="shared" si="1499"/>
        <v>0</v>
      </c>
      <c r="BZ153" s="151">
        <f t="shared" si="1499"/>
        <v>0</v>
      </c>
      <c r="CA153" s="151">
        <f t="shared" si="1499"/>
        <v>1.1641532182693481E-10</v>
      </c>
    </row>
    <row r="154" spans="1:91" s="87" customFormat="1" ht="14.1" customHeight="1" x14ac:dyDescent="0.2">
      <c r="A154" s="553"/>
      <c r="B154" s="554" t="s">
        <v>266</v>
      </c>
      <c r="C154" s="552"/>
      <c r="D154" s="554"/>
      <c r="E154" s="552"/>
      <c r="F154" s="552"/>
      <c r="G154" s="538">
        <f>G155+G158+G162</f>
        <v>1659000</v>
      </c>
      <c r="H154" s="538">
        <f t="shared" ref="H154:I154" si="1500">H155+H158+H162</f>
        <v>0</v>
      </c>
      <c r="I154" s="538">
        <f t="shared" si="1500"/>
        <v>0</v>
      </c>
      <c r="J154" s="538">
        <f t="shared" ref="J154:BS154" si="1501">J155+J158+J162</f>
        <v>1659000</v>
      </c>
      <c r="K154" s="538">
        <f t="shared" si="1501"/>
        <v>0</v>
      </c>
      <c r="L154" s="538">
        <f t="shared" si="1501"/>
        <v>0</v>
      </c>
      <c r="M154" s="538">
        <f t="shared" si="1501"/>
        <v>0</v>
      </c>
      <c r="N154" s="538">
        <f t="shared" si="1501"/>
        <v>0</v>
      </c>
      <c r="O154" s="538">
        <f t="shared" si="1501"/>
        <v>0</v>
      </c>
      <c r="P154" s="538">
        <f t="shared" si="1501"/>
        <v>0</v>
      </c>
      <c r="Q154" s="538">
        <f t="shared" si="1501"/>
        <v>0</v>
      </c>
      <c r="R154" s="538">
        <f t="shared" si="1501"/>
        <v>0</v>
      </c>
      <c r="S154" s="538">
        <f t="shared" si="1501"/>
        <v>119000</v>
      </c>
      <c r="T154" s="538">
        <f t="shared" si="1501"/>
        <v>0</v>
      </c>
      <c r="U154" s="538">
        <f t="shared" si="1501"/>
        <v>0</v>
      </c>
      <c r="V154" s="538">
        <f t="shared" si="1501"/>
        <v>119000</v>
      </c>
      <c r="W154" s="538">
        <f t="shared" si="1501"/>
        <v>1778000</v>
      </c>
      <c r="X154" s="538">
        <f t="shared" si="1501"/>
        <v>0</v>
      </c>
      <c r="Y154" s="538">
        <f t="shared" si="1501"/>
        <v>0</v>
      </c>
      <c r="Z154" s="538">
        <f t="shared" si="1501"/>
        <v>1778000</v>
      </c>
      <c r="AA154" s="538">
        <f t="shared" si="1501"/>
        <v>537358.32000000007</v>
      </c>
      <c r="AB154" s="538">
        <f t="shared" si="1501"/>
        <v>0</v>
      </c>
      <c r="AC154" s="538">
        <f t="shared" si="1501"/>
        <v>0</v>
      </c>
      <c r="AD154" s="538">
        <f t="shared" si="1501"/>
        <v>537358.32000000007</v>
      </c>
      <c r="AE154" s="538">
        <f t="shared" si="1501"/>
        <v>404773.9</v>
      </c>
      <c r="AF154" s="538">
        <f t="shared" si="1501"/>
        <v>0</v>
      </c>
      <c r="AG154" s="538">
        <f t="shared" si="1501"/>
        <v>0</v>
      </c>
      <c r="AH154" s="538">
        <f t="shared" si="1501"/>
        <v>404773.9</v>
      </c>
      <c r="AI154" s="538">
        <f t="shared" si="1501"/>
        <v>404706.95999999996</v>
      </c>
      <c r="AJ154" s="538">
        <f t="shared" si="1501"/>
        <v>0</v>
      </c>
      <c r="AK154" s="538">
        <f t="shared" si="1501"/>
        <v>0</v>
      </c>
      <c r="AL154" s="538">
        <f t="shared" si="1501"/>
        <v>404706.95999999996</v>
      </c>
      <c r="AM154" s="538">
        <f t="shared" si="1501"/>
        <v>269994.68</v>
      </c>
      <c r="AN154" s="538">
        <f t="shared" si="1501"/>
        <v>0</v>
      </c>
      <c r="AO154" s="538">
        <f t="shared" si="1501"/>
        <v>0</v>
      </c>
      <c r="AP154" s="538">
        <f t="shared" si="1501"/>
        <v>269994.68</v>
      </c>
      <c r="AQ154" s="538">
        <f t="shared" si="1501"/>
        <v>1616833.86</v>
      </c>
      <c r="AR154" s="538">
        <f t="shared" si="1501"/>
        <v>0</v>
      </c>
      <c r="AS154" s="538">
        <f t="shared" si="1501"/>
        <v>0</v>
      </c>
      <c r="AT154" s="538">
        <f t="shared" si="1501"/>
        <v>1616833.86</v>
      </c>
      <c r="AU154" s="538">
        <f t="shared" si="1501"/>
        <v>402512.64000000001</v>
      </c>
      <c r="AV154" s="538">
        <f t="shared" si="1501"/>
        <v>0</v>
      </c>
      <c r="AW154" s="538">
        <f t="shared" si="1501"/>
        <v>0</v>
      </c>
      <c r="AX154" s="538">
        <f t="shared" si="1501"/>
        <v>402512.64000000001</v>
      </c>
      <c r="AY154" s="538">
        <f t="shared" si="1501"/>
        <v>539439.35999999999</v>
      </c>
      <c r="AZ154" s="538">
        <f t="shared" si="1501"/>
        <v>0</v>
      </c>
      <c r="BA154" s="538">
        <f t="shared" si="1501"/>
        <v>0</v>
      </c>
      <c r="BB154" s="538">
        <f t="shared" si="1501"/>
        <v>539439.35999999999</v>
      </c>
      <c r="BC154" s="538">
        <f t="shared" si="1501"/>
        <v>404887.18000000005</v>
      </c>
      <c r="BD154" s="538">
        <f t="shared" si="1501"/>
        <v>0</v>
      </c>
      <c r="BE154" s="538">
        <f t="shared" si="1501"/>
        <v>0</v>
      </c>
      <c r="BF154" s="538">
        <f t="shared" si="1501"/>
        <v>404887.18000000005</v>
      </c>
      <c r="BG154" s="538">
        <f t="shared" si="1501"/>
        <v>269993.68000000005</v>
      </c>
      <c r="BH154" s="538">
        <f t="shared" si="1501"/>
        <v>0</v>
      </c>
      <c r="BI154" s="538">
        <f t="shared" si="1501"/>
        <v>0</v>
      </c>
      <c r="BJ154" s="538">
        <f t="shared" si="1501"/>
        <v>269993.68000000005</v>
      </c>
      <c r="BK154" s="538">
        <f t="shared" si="1501"/>
        <v>1616832.8599999999</v>
      </c>
      <c r="BL154" s="538">
        <f t="shared" si="1501"/>
        <v>0</v>
      </c>
      <c r="BM154" s="538">
        <f t="shared" si="1501"/>
        <v>0</v>
      </c>
      <c r="BN154" s="538">
        <f t="shared" si="1501"/>
        <v>1616832.8599999999</v>
      </c>
      <c r="BO154" s="538">
        <f t="shared" si="1501"/>
        <v>0</v>
      </c>
      <c r="BP154" s="538">
        <f t="shared" si="1501"/>
        <v>161166.14000000001</v>
      </c>
      <c r="BQ154" s="538">
        <f t="shared" si="1501"/>
        <v>0</v>
      </c>
      <c r="BR154" s="538">
        <f t="shared" si="1501"/>
        <v>0</v>
      </c>
      <c r="BS154" s="538">
        <f t="shared" si="1501"/>
        <v>161166.14000000001</v>
      </c>
      <c r="BT154" s="538">
        <f t="shared" ref="BT154:CA154" si="1502">BT155+BT158+BT162</f>
        <v>1</v>
      </c>
      <c r="BU154" s="538">
        <f t="shared" si="1502"/>
        <v>0</v>
      </c>
      <c r="BV154" s="538">
        <f t="shared" si="1502"/>
        <v>0</v>
      </c>
      <c r="BW154" s="538">
        <f t="shared" si="1502"/>
        <v>1</v>
      </c>
      <c r="BX154" s="538">
        <f t="shared" si="1502"/>
        <v>1.1641532182693481E-10</v>
      </c>
      <c r="BY154" s="538">
        <f t="shared" si="1502"/>
        <v>0</v>
      </c>
      <c r="BZ154" s="538">
        <f t="shared" si="1502"/>
        <v>0</v>
      </c>
      <c r="CA154" s="538">
        <f t="shared" si="1502"/>
        <v>1.1641532182693481E-10</v>
      </c>
      <c r="CB154" s="95"/>
      <c r="CC154" s="95"/>
      <c r="CD154" s="95"/>
      <c r="CE154" s="95"/>
      <c r="CF154" s="95"/>
      <c r="CG154" s="95"/>
      <c r="CH154" s="95"/>
      <c r="CI154" s="95"/>
      <c r="CJ154" s="95"/>
      <c r="CK154" s="95"/>
      <c r="CL154" s="95"/>
      <c r="CM154" s="95"/>
    </row>
    <row r="155" spans="1:91" ht="14.1" customHeight="1" x14ac:dyDescent="0.2">
      <c r="A155" s="140"/>
      <c r="B155" s="568"/>
      <c r="C155" s="69" t="s">
        <v>101</v>
      </c>
      <c r="D155" s="109" t="s">
        <v>102</v>
      </c>
      <c r="E155" s="109"/>
      <c r="G155" s="152">
        <f>SUM(G156:G157)</f>
        <v>658000</v>
      </c>
      <c r="H155" s="152">
        <f t="shared" ref="H155:I155" si="1503">SUM(H156:H157)</f>
        <v>0</v>
      </c>
      <c r="I155" s="152">
        <f t="shared" si="1503"/>
        <v>0</v>
      </c>
      <c r="J155" s="152">
        <f t="shared" ref="J155:BS155" si="1504">SUM(J156:J157)</f>
        <v>658000</v>
      </c>
      <c r="K155" s="152">
        <f t="shared" si="1504"/>
        <v>0</v>
      </c>
      <c r="L155" s="152">
        <f t="shared" si="1504"/>
        <v>0</v>
      </c>
      <c r="M155" s="152">
        <f t="shared" si="1504"/>
        <v>0</v>
      </c>
      <c r="N155" s="152">
        <f t="shared" si="1504"/>
        <v>0</v>
      </c>
      <c r="O155" s="152">
        <f t="shared" si="1504"/>
        <v>0</v>
      </c>
      <c r="P155" s="152">
        <f t="shared" si="1504"/>
        <v>0</v>
      </c>
      <c r="Q155" s="152">
        <f t="shared" si="1504"/>
        <v>0</v>
      </c>
      <c r="R155" s="152">
        <f t="shared" si="1504"/>
        <v>0</v>
      </c>
      <c r="S155" s="152">
        <f t="shared" si="1504"/>
        <v>119000</v>
      </c>
      <c r="T155" s="152">
        <f t="shared" si="1504"/>
        <v>0</v>
      </c>
      <c r="U155" s="152">
        <f t="shared" si="1504"/>
        <v>0</v>
      </c>
      <c r="V155" s="152">
        <f t="shared" si="1504"/>
        <v>119000</v>
      </c>
      <c r="W155" s="152">
        <f t="shared" si="1504"/>
        <v>777000</v>
      </c>
      <c r="X155" s="152">
        <f t="shared" si="1504"/>
        <v>0</v>
      </c>
      <c r="Y155" s="152">
        <f t="shared" si="1504"/>
        <v>0</v>
      </c>
      <c r="Z155" s="152">
        <f t="shared" si="1504"/>
        <v>777000</v>
      </c>
      <c r="AA155" s="152">
        <f t="shared" si="1504"/>
        <v>117657.12</v>
      </c>
      <c r="AB155" s="152">
        <f t="shared" si="1504"/>
        <v>0</v>
      </c>
      <c r="AC155" s="152">
        <f t="shared" si="1504"/>
        <v>0</v>
      </c>
      <c r="AD155" s="152">
        <f t="shared" si="1504"/>
        <v>117657.12</v>
      </c>
      <c r="AE155" s="152">
        <f t="shared" si="1504"/>
        <v>88242.84</v>
      </c>
      <c r="AF155" s="152">
        <f t="shared" si="1504"/>
        <v>0</v>
      </c>
      <c r="AG155" s="152">
        <f t="shared" si="1504"/>
        <v>0</v>
      </c>
      <c r="AH155" s="152">
        <f t="shared" si="1504"/>
        <v>88242.84</v>
      </c>
      <c r="AI155" s="152">
        <f t="shared" si="1504"/>
        <v>88242.84</v>
      </c>
      <c r="AJ155" s="152">
        <f t="shared" si="1504"/>
        <v>0</v>
      </c>
      <c r="AK155" s="152">
        <f t="shared" si="1504"/>
        <v>0</v>
      </c>
      <c r="AL155" s="152">
        <f t="shared" si="1504"/>
        <v>88242.84</v>
      </c>
      <c r="AM155" s="152">
        <f t="shared" si="1504"/>
        <v>321691.06</v>
      </c>
      <c r="AN155" s="152">
        <f t="shared" si="1504"/>
        <v>0</v>
      </c>
      <c r="AO155" s="152">
        <f t="shared" si="1504"/>
        <v>0</v>
      </c>
      <c r="AP155" s="152">
        <f t="shared" si="1504"/>
        <v>321691.06</v>
      </c>
      <c r="AQ155" s="152">
        <f t="shared" si="1504"/>
        <v>615833.86</v>
      </c>
      <c r="AR155" s="152">
        <f t="shared" si="1504"/>
        <v>0</v>
      </c>
      <c r="AS155" s="152">
        <f t="shared" si="1504"/>
        <v>0</v>
      </c>
      <c r="AT155" s="152">
        <f t="shared" si="1504"/>
        <v>615833.86</v>
      </c>
      <c r="AU155" s="152">
        <f t="shared" si="1504"/>
        <v>88242.84</v>
      </c>
      <c r="AV155" s="152">
        <f t="shared" si="1504"/>
        <v>0</v>
      </c>
      <c r="AW155" s="152">
        <f t="shared" si="1504"/>
        <v>0</v>
      </c>
      <c r="AX155" s="152">
        <f t="shared" si="1504"/>
        <v>88242.84</v>
      </c>
      <c r="AY155" s="152">
        <f t="shared" si="1504"/>
        <v>117657.12</v>
      </c>
      <c r="AZ155" s="152">
        <f t="shared" si="1504"/>
        <v>0</v>
      </c>
      <c r="BA155" s="152">
        <f t="shared" si="1504"/>
        <v>0</v>
      </c>
      <c r="BB155" s="152">
        <f t="shared" si="1504"/>
        <v>117657.12</v>
      </c>
      <c r="BC155" s="152">
        <f t="shared" si="1504"/>
        <v>88242.84</v>
      </c>
      <c r="BD155" s="152">
        <f t="shared" si="1504"/>
        <v>0</v>
      </c>
      <c r="BE155" s="152">
        <f t="shared" si="1504"/>
        <v>0</v>
      </c>
      <c r="BF155" s="152">
        <f t="shared" si="1504"/>
        <v>88242.84</v>
      </c>
      <c r="BG155" s="152">
        <f t="shared" si="1504"/>
        <v>321690.06</v>
      </c>
      <c r="BH155" s="152">
        <f t="shared" si="1504"/>
        <v>0</v>
      </c>
      <c r="BI155" s="152">
        <f t="shared" si="1504"/>
        <v>0</v>
      </c>
      <c r="BJ155" s="152">
        <f t="shared" si="1504"/>
        <v>321690.06</v>
      </c>
      <c r="BK155" s="152">
        <f t="shared" si="1504"/>
        <v>615832.86</v>
      </c>
      <c r="BL155" s="152">
        <f t="shared" si="1504"/>
        <v>0</v>
      </c>
      <c r="BM155" s="152">
        <f t="shared" si="1504"/>
        <v>0</v>
      </c>
      <c r="BN155" s="152">
        <f t="shared" si="1504"/>
        <v>615832.86</v>
      </c>
      <c r="BO155" s="152">
        <f t="shared" si="1504"/>
        <v>0</v>
      </c>
      <c r="BP155" s="152">
        <f t="shared" si="1504"/>
        <v>161166.14000000001</v>
      </c>
      <c r="BQ155" s="152">
        <f t="shared" si="1504"/>
        <v>0</v>
      </c>
      <c r="BR155" s="152">
        <f t="shared" si="1504"/>
        <v>0</v>
      </c>
      <c r="BS155" s="152">
        <f t="shared" si="1504"/>
        <v>161166.14000000001</v>
      </c>
      <c r="BT155" s="152">
        <f t="shared" ref="BT155:CA155" si="1505">SUM(BT156:BT157)</f>
        <v>1</v>
      </c>
      <c r="BU155" s="152">
        <f t="shared" si="1505"/>
        <v>0</v>
      </c>
      <c r="BV155" s="152">
        <f t="shared" si="1505"/>
        <v>0</v>
      </c>
      <c r="BW155" s="152">
        <f t="shared" si="1505"/>
        <v>1</v>
      </c>
      <c r="BX155" s="152">
        <f t="shared" si="1505"/>
        <v>0</v>
      </c>
      <c r="BY155" s="152">
        <f t="shared" si="1505"/>
        <v>0</v>
      </c>
      <c r="BZ155" s="152">
        <f t="shared" si="1505"/>
        <v>0</v>
      </c>
      <c r="CA155" s="152">
        <f t="shared" si="1505"/>
        <v>0</v>
      </c>
    </row>
    <row r="156" spans="1:91" ht="14.1" customHeight="1" x14ac:dyDescent="0.2">
      <c r="A156" s="140"/>
      <c r="B156" s="78"/>
      <c r="C156" s="69"/>
      <c r="D156" s="109" t="s">
        <v>103</v>
      </c>
      <c r="E156" s="109" t="s">
        <v>104</v>
      </c>
      <c r="G156" s="152">
        <f>658000</f>
        <v>658000</v>
      </c>
      <c r="H156" s="152"/>
      <c r="I156" s="152"/>
      <c r="J156" s="152">
        <f t="shared" ref="J156:J157" si="1506">SUM(G156:I156)</f>
        <v>658000</v>
      </c>
      <c r="K156" s="152"/>
      <c r="L156" s="152"/>
      <c r="M156" s="152"/>
      <c r="N156" s="152">
        <f t="shared" ref="N156:N157" si="1507">SUM(K156:M156)</f>
        <v>0</v>
      </c>
      <c r="O156" s="152"/>
      <c r="P156" s="152"/>
      <c r="Q156" s="152"/>
      <c r="R156" s="152">
        <f t="shared" ref="R156:R157" si="1508">SUM(O156:Q156)</f>
        <v>0</v>
      </c>
      <c r="S156" s="152">
        <v>119000</v>
      </c>
      <c r="T156" s="152"/>
      <c r="U156" s="152"/>
      <c r="V156" s="152">
        <f t="shared" ref="V156:V157" si="1509">SUM(S156:U156)</f>
        <v>119000</v>
      </c>
      <c r="W156" s="152">
        <f t="shared" ref="W156:W157" si="1510">G156-O156+S156+K156</f>
        <v>777000</v>
      </c>
      <c r="X156" s="152">
        <f t="shared" ref="X156:X157" si="1511">H156-P156+T156+L156</f>
        <v>0</v>
      </c>
      <c r="Y156" s="152">
        <f t="shared" ref="Y156:Y157" si="1512">I156-Q156+U156+M156</f>
        <v>0</v>
      </c>
      <c r="Z156" s="168">
        <f t="shared" ref="Z156:Z157" si="1513">SUM(W156:Y156)</f>
        <v>777000</v>
      </c>
      <c r="AA156" s="152">
        <f>27471+27471+29414.28+3886.56+29414.28</f>
        <v>117657.12</v>
      </c>
      <c r="AB156" s="152"/>
      <c r="AC156" s="152"/>
      <c r="AD156" s="152">
        <f t="shared" ref="AD156:AD157" si="1514">SUM(AA156:AC156)</f>
        <v>117657.12</v>
      </c>
      <c r="AE156" s="152">
        <f>29414.28+29414.28+29414.28</f>
        <v>88242.84</v>
      </c>
      <c r="AF156" s="152"/>
      <c r="AG156" s="152"/>
      <c r="AH156" s="152">
        <f t="shared" ref="AH156:AH157" si="1515">SUM(AE156:AG156)</f>
        <v>88242.84</v>
      </c>
      <c r="AI156" s="152">
        <f>29414.28+29414.28+29414.28</f>
        <v>88242.84</v>
      </c>
      <c r="AJ156" s="152"/>
      <c r="AK156" s="152"/>
      <c r="AL156" s="152">
        <f t="shared" ref="AL156:AL157" si="1516">SUM(AI156:AK156)</f>
        <v>88242.84</v>
      </c>
      <c r="AM156" s="152">
        <f>58866.8+262824.26</f>
        <v>321691.06</v>
      </c>
      <c r="AN156" s="152"/>
      <c r="AO156" s="152"/>
      <c r="AP156" s="152">
        <f t="shared" ref="AP156:AP157" si="1517">SUM(AM156:AO156)</f>
        <v>321691.06</v>
      </c>
      <c r="AQ156" s="152">
        <f t="shared" ref="AQ156:AS157" si="1518">AA156+AE156+AI156+AM156</f>
        <v>615833.86</v>
      </c>
      <c r="AR156" s="152">
        <f t="shared" si="1518"/>
        <v>0</v>
      </c>
      <c r="AS156" s="152">
        <f t="shared" si="1518"/>
        <v>0</v>
      </c>
      <c r="AT156" s="168">
        <f t="shared" ref="AT156:AT157" si="1519">SUM(AQ156:AS156)</f>
        <v>615833.86</v>
      </c>
      <c r="AU156" s="152">
        <f>27471+27471+3886.56+29414.28</f>
        <v>88242.84</v>
      </c>
      <c r="AV156" s="152"/>
      <c r="AW156" s="152"/>
      <c r="AX156" s="152">
        <f t="shared" ref="AX156:AX157" si="1520">SUM(AU156:AW156)</f>
        <v>88242.84</v>
      </c>
      <c r="AY156" s="152">
        <f>29414.28+29414.28+29414.28+29414.28</f>
        <v>117657.12</v>
      </c>
      <c r="AZ156" s="152"/>
      <c r="BA156" s="152"/>
      <c r="BB156" s="152">
        <f t="shared" ref="BB156:BB157" si="1521">SUM(AY156:BA156)</f>
        <v>117657.12</v>
      </c>
      <c r="BC156" s="152">
        <f>29414.28+29414.28+29414.28</f>
        <v>88242.84</v>
      </c>
      <c r="BD156" s="152"/>
      <c r="BE156" s="152"/>
      <c r="BF156" s="152">
        <f t="shared" ref="BF156:BF157" si="1522">SUM(BC156:BE156)</f>
        <v>88242.84</v>
      </c>
      <c r="BG156" s="152">
        <f>29414.28+37.24+29414.28+262824.26</f>
        <v>321690.06</v>
      </c>
      <c r="BH156" s="152"/>
      <c r="BI156" s="152"/>
      <c r="BJ156" s="152">
        <f t="shared" ref="BJ156:BJ157" si="1523">SUM(BG156:BI156)</f>
        <v>321690.06</v>
      </c>
      <c r="BK156" s="152">
        <f t="shared" ref="BK156:BK157" si="1524">AU156+AY156+BC156+BG156</f>
        <v>615832.86</v>
      </c>
      <c r="BL156" s="152">
        <f t="shared" ref="BL156:BL157" si="1525">AV156+AZ156+BD156+BH156</f>
        <v>0</v>
      </c>
      <c r="BM156" s="152">
        <f t="shared" ref="BM156:BM157" si="1526">AW156+BA156+BE156+BI156</f>
        <v>0</v>
      </c>
      <c r="BN156" s="152">
        <f t="shared" ref="BN156:BN157" si="1527">SUM(BK156:BM156)</f>
        <v>615832.86</v>
      </c>
      <c r="BO156" s="168"/>
      <c r="BP156" s="152">
        <f t="shared" ref="BP156:BP157" si="1528">W156-AQ156</f>
        <v>161166.14000000001</v>
      </c>
      <c r="BQ156" s="152">
        <f t="shared" ref="BQ156:BQ157" si="1529">X156-AR156</f>
        <v>0</v>
      </c>
      <c r="BR156" s="152">
        <f t="shared" ref="BR156:BR157" si="1530">Y156-AS156</f>
        <v>0</v>
      </c>
      <c r="BS156" s="168">
        <f t="shared" ref="BS156:BS157" si="1531">SUM(BP156:BR156)</f>
        <v>161166.14000000001</v>
      </c>
      <c r="BT156" s="152">
        <v>1</v>
      </c>
      <c r="BU156" s="152"/>
      <c r="BV156" s="152"/>
      <c r="BW156" s="152">
        <f t="shared" ref="BW156:BW157" si="1532">SUM(BT156:BV156)</f>
        <v>1</v>
      </c>
      <c r="BX156" s="152">
        <f>AQ156-BK156-BT156</f>
        <v>0</v>
      </c>
      <c r="BY156" s="152">
        <f t="shared" ref="BY156:BY157" si="1533">AR156-BL156-BU156</f>
        <v>0</v>
      </c>
      <c r="BZ156" s="152">
        <f t="shared" ref="BZ156:BZ157" si="1534">AS156-BM156-BV156</f>
        <v>0</v>
      </c>
      <c r="CA156" s="587">
        <f t="shared" ref="CA156:CA157" si="1535">SUM(BX156:BZ156)</f>
        <v>0</v>
      </c>
    </row>
    <row r="157" spans="1:91" ht="14.1" customHeight="1" x14ac:dyDescent="0.2">
      <c r="A157" s="140"/>
      <c r="B157" s="78"/>
      <c r="C157" s="69"/>
      <c r="D157" s="109" t="s">
        <v>110</v>
      </c>
      <c r="E157" s="109" t="s">
        <v>531</v>
      </c>
      <c r="G157" s="152"/>
      <c r="H157" s="152"/>
      <c r="I157" s="152"/>
      <c r="J157" s="152">
        <f t="shared" si="1506"/>
        <v>0</v>
      </c>
      <c r="K157" s="152"/>
      <c r="L157" s="152"/>
      <c r="M157" s="152"/>
      <c r="N157" s="152">
        <f t="shared" si="1507"/>
        <v>0</v>
      </c>
      <c r="O157" s="152"/>
      <c r="P157" s="152"/>
      <c r="Q157" s="152"/>
      <c r="R157" s="152">
        <f t="shared" si="1508"/>
        <v>0</v>
      </c>
      <c r="S157" s="152"/>
      <c r="T157" s="152"/>
      <c r="U157" s="152"/>
      <c r="V157" s="152">
        <f t="shared" si="1509"/>
        <v>0</v>
      </c>
      <c r="W157" s="152">
        <f t="shared" si="1510"/>
        <v>0</v>
      </c>
      <c r="X157" s="152">
        <f t="shared" si="1511"/>
        <v>0</v>
      </c>
      <c r="Y157" s="152">
        <f t="shared" si="1512"/>
        <v>0</v>
      </c>
      <c r="Z157" s="168">
        <f t="shared" si="1513"/>
        <v>0</v>
      </c>
      <c r="AA157" s="152"/>
      <c r="AB157" s="152"/>
      <c r="AC157" s="152"/>
      <c r="AD157" s="152">
        <f t="shared" si="1514"/>
        <v>0</v>
      </c>
      <c r="AE157" s="152"/>
      <c r="AF157" s="152"/>
      <c r="AG157" s="152"/>
      <c r="AH157" s="152">
        <f t="shared" si="1515"/>
        <v>0</v>
      </c>
      <c r="AI157" s="152"/>
      <c r="AJ157" s="152"/>
      <c r="AK157" s="152"/>
      <c r="AL157" s="152">
        <f t="shared" si="1516"/>
        <v>0</v>
      </c>
      <c r="AM157" s="152"/>
      <c r="AN157" s="152"/>
      <c r="AO157" s="152"/>
      <c r="AP157" s="152">
        <f t="shared" si="1517"/>
        <v>0</v>
      </c>
      <c r="AQ157" s="152">
        <f t="shared" si="1518"/>
        <v>0</v>
      </c>
      <c r="AR157" s="152">
        <f t="shared" si="1518"/>
        <v>0</v>
      </c>
      <c r="AS157" s="152">
        <f t="shared" si="1518"/>
        <v>0</v>
      </c>
      <c r="AT157" s="168">
        <f t="shared" si="1519"/>
        <v>0</v>
      </c>
      <c r="AU157" s="152"/>
      <c r="AV157" s="152"/>
      <c r="AW157" s="152"/>
      <c r="AX157" s="152">
        <f t="shared" si="1520"/>
        <v>0</v>
      </c>
      <c r="AY157" s="152"/>
      <c r="AZ157" s="152"/>
      <c r="BA157" s="152"/>
      <c r="BB157" s="152">
        <f t="shared" si="1521"/>
        <v>0</v>
      </c>
      <c r="BC157" s="152"/>
      <c r="BD157" s="152"/>
      <c r="BE157" s="152"/>
      <c r="BF157" s="152">
        <f t="shared" si="1522"/>
        <v>0</v>
      </c>
      <c r="BG157" s="152"/>
      <c r="BH157" s="152"/>
      <c r="BI157" s="152"/>
      <c r="BJ157" s="152">
        <f t="shared" si="1523"/>
        <v>0</v>
      </c>
      <c r="BK157" s="152">
        <f t="shared" si="1524"/>
        <v>0</v>
      </c>
      <c r="BL157" s="152">
        <f t="shared" si="1525"/>
        <v>0</v>
      </c>
      <c r="BM157" s="152">
        <f t="shared" si="1526"/>
        <v>0</v>
      </c>
      <c r="BN157" s="152">
        <f t="shared" si="1527"/>
        <v>0</v>
      </c>
      <c r="BO157" s="168"/>
      <c r="BP157" s="152">
        <f t="shared" si="1528"/>
        <v>0</v>
      </c>
      <c r="BQ157" s="152">
        <f t="shared" si="1529"/>
        <v>0</v>
      </c>
      <c r="BR157" s="152">
        <f t="shared" si="1530"/>
        <v>0</v>
      </c>
      <c r="BS157" s="168">
        <f t="shared" si="1531"/>
        <v>0</v>
      </c>
      <c r="BT157" s="152"/>
      <c r="BU157" s="152"/>
      <c r="BV157" s="152"/>
      <c r="BW157" s="152">
        <f t="shared" si="1532"/>
        <v>0</v>
      </c>
      <c r="BX157" s="152">
        <f t="shared" ref="BX157" si="1536">AQ157-BK157-BT157</f>
        <v>0</v>
      </c>
      <c r="BY157" s="152">
        <f t="shared" si="1533"/>
        <v>0</v>
      </c>
      <c r="BZ157" s="152">
        <f t="shared" si="1534"/>
        <v>0</v>
      </c>
      <c r="CA157" s="587">
        <f t="shared" si="1535"/>
        <v>0</v>
      </c>
    </row>
    <row r="158" spans="1:91" ht="14.1" customHeight="1" x14ac:dyDescent="0.2">
      <c r="A158" s="140"/>
      <c r="B158" s="78"/>
      <c r="C158" s="69" t="s">
        <v>112</v>
      </c>
      <c r="D158" s="109" t="s">
        <v>532</v>
      </c>
      <c r="E158" s="109"/>
      <c r="G158" s="154">
        <f>SUM(G159:G161)</f>
        <v>0</v>
      </c>
      <c r="H158" s="154">
        <f t="shared" ref="H158:I158" si="1537">SUM(H159:H161)</f>
        <v>0</v>
      </c>
      <c r="I158" s="154">
        <f t="shared" si="1537"/>
        <v>0</v>
      </c>
      <c r="J158" s="154">
        <f t="shared" ref="J158:BS158" si="1538">SUM(J159:J161)</f>
        <v>0</v>
      </c>
      <c r="K158" s="154">
        <f>SUM(K159:K161)</f>
        <v>0</v>
      </c>
      <c r="L158" s="154">
        <f t="shared" ref="L158" si="1539">SUM(L159:L161)</f>
        <v>0</v>
      </c>
      <c r="M158" s="154">
        <f t="shared" ref="M158" si="1540">SUM(M159:M161)</f>
        <v>0</v>
      </c>
      <c r="N158" s="154">
        <f t="shared" ref="N158" si="1541">SUM(N159:N161)</f>
        <v>0</v>
      </c>
      <c r="O158" s="154">
        <f>SUM(O159:O161)</f>
        <v>0</v>
      </c>
      <c r="P158" s="154">
        <f t="shared" ref="P158" si="1542">SUM(P159:P161)</f>
        <v>0</v>
      </c>
      <c r="Q158" s="154">
        <f t="shared" ref="Q158" si="1543">SUM(Q159:Q161)</f>
        <v>0</v>
      </c>
      <c r="R158" s="154">
        <f t="shared" ref="R158" si="1544">SUM(R159:R161)</f>
        <v>0</v>
      </c>
      <c r="S158" s="154">
        <f>SUM(S159:S161)</f>
        <v>0</v>
      </c>
      <c r="T158" s="154">
        <f t="shared" ref="T158" si="1545">SUM(T159:T161)</f>
        <v>0</v>
      </c>
      <c r="U158" s="154">
        <f t="shared" ref="U158" si="1546">SUM(U159:U161)</f>
        <v>0</v>
      </c>
      <c r="V158" s="154">
        <f t="shared" ref="V158" si="1547">SUM(V159:V161)</f>
        <v>0</v>
      </c>
      <c r="W158" s="154">
        <f t="shared" si="1538"/>
        <v>0</v>
      </c>
      <c r="X158" s="154">
        <f t="shared" si="1538"/>
        <v>0</v>
      </c>
      <c r="Y158" s="154">
        <f t="shared" si="1538"/>
        <v>0</v>
      </c>
      <c r="Z158" s="84">
        <f t="shared" si="1538"/>
        <v>0</v>
      </c>
      <c r="AA158" s="154">
        <f t="shared" si="1538"/>
        <v>0</v>
      </c>
      <c r="AB158" s="154">
        <f t="shared" si="1538"/>
        <v>0</v>
      </c>
      <c r="AC158" s="154">
        <f t="shared" si="1538"/>
        <v>0</v>
      </c>
      <c r="AD158" s="154">
        <f t="shared" si="1538"/>
        <v>0</v>
      </c>
      <c r="AE158" s="154">
        <f>SUM(AE159:AE161)</f>
        <v>0</v>
      </c>
      <c r="AF158" s="154">
        <f t="shared" ref="AF158:AH158" si="1548">SUM(AF159:AF161)</f>
        <v>0</v>
      </c>
      <c r="AG158" s="154">
        <f t="shared" si="1548"/>
        <v>0</v>
      </c>
      <c r="AH158" s="154">
        <f t="shared" si="1548"/>
        <v>0</v>
      </c>
      <c r="AI158" s="154">
        <f>SUM(AI159:AI161)</f>
        <v>0</v>
      </c>
      <c r="AJ158" s="154">
        <f t="shared" ref="AJ158:AL158" si="1549">SUM(AJ159:AJ161)</f>
        <v>0</v>
      </c>
      <c r="AK158" s="154">
        <f t="shared" si="1549"/>
        <v>0</v>
      </c>
      <c r="AL158" s="154">
        <f t="shared" si="1549"/>
        <v>0</v>
      </c>
      <c r="AM158" s="154">
        <f>SUM(AM159:AM161)</f>
        <v>0</v>
      </c>
      <c r="AN158" s="154">
        <f t="shared" ref="AN158:AP158" si="1550">SUM(AN159:AN161)</f>
        <v>0</v>
      </c>
      <c r="AO158" s="154">
        <f t="shared" si="1550"/>
        <v>0</v>
      </c>
      <c r="AP158" s="154">
        <f t="shared" si="1550"/>
        <v>0</v>
      </c>
      <c r="AQ158" s="154">
        <f t="shared" si="1538"/>
        <v>0</v>
      </c>
      <c r="AR158" s="154">
        <f t="shared" si="1538"/>
        <v>0</v>
      </c>
      <c r="AS158" s="154">
        <f t="shared" si="1538"/>
        <v>0</v>
      </c>
      <c r="AT158" s="84">
        <f t="shared" si="1538"/>
        <v>0</v>
      </c>
      <c r="AU158" s="154">
        <f t="shared" si="1538"/>
        <v>0</v>
      </c>
      <c r="AV158" s="154">
        <f t="shared" si="1538"/>
        <v>0</v>
      </c>
      <c r="AW158" s="154">
        <f t="shared" si="1538"/>
        <v>0</v>
      </c>
      <c r="AX158" s="154">
        <f t="shared" si="1538"/>
        <v>0</v>
      </c>
      <c r="AY158" s="154">
        <f>SUM(AY159:AY161)</f>
        <v>0</v>
      </c>
      <c r="AZ158" s="154">
        <f t="shared" ref="AZ158" si="1551">SUM(AZ159:AZ161)</f>
        <v>0</v>
      </c>
      <c r="BA158" s="154">
        <f t="shared" ref="BA158" si="1552">SUM(BA159:BA161)</f>
        <v>0</v>
      </c>
      <c r="BB158" s="154">
        <f t="shared" ref="BB158" si="1553">SUM(BB159:BB161)</f>
        <v>0</v>
      </c>
      <c r="BC158" s="154">
        <f>SUM(BC159:BC161)</f>
        <v>0</v>
      </c>
      <c r="BD158" s="154">
        <f t="shared" ref="BD158" si="1554">SUM(BD159:BD161)</f>
        <v>0</v>
      </c>
      <c r="BE158" s="154">
        <f t="shared" ref="BE158" si="1555">SUM(BE159:BE161)</f>
        <v>0</v>
      </c>
      <c r="BF158" s="154">
        <f t="shared" ref="BF158" si="1556">SUM(BF159:BF161)</f>
        <v>0</v>
      </c>
      <c r="BG158" s="154">
        <f>SUM(BG159:BG161)</f>
        <v>0</v>
      </c>
      <c r="BH158" s="154">
        <f t="shared" ref="BH158" si="1557">SUM(BH159:BH161)</f>
        <v>0</v>
      </c>
      <c r="BI158" s="154">
        <f t="shared" ref="BI158" si="1558">SUM(BI159:BI161)</f>
        <v>0</v>
      </c>
      <c r="BJ158" s="154">
        <f t="shared" ref="BJ158" si="1559">SUM(BJ159:BJ161)</f>
        <v>0</v>
      </c>
      <c r="BK158" s="154">
        <f t="shared" si="1538"/>
        <v>0</v>
      </c>
      <c r="BL158" s="154">
        <f t="shared" si="1538"/>
        <v>0</v>
      </c>
      <c r="BM158" s="154">
        <f t="shared" si="1538"/>
        <v>0</v>
      </c>
      <c r="BN158" s="154">
        <f t="shared" si="1538"/>
        <v>0</v>
      </c>
      <c r="BO158" s="170">
        <f t="shared" si="1538"/>
        <v>0</v>
      </c>
      <c r="BP158" s="154">
        <f t="shared" si="1538"/>
        <v>0</v>
      </c>
      <c r="BQ158" s="154">
        <f t="shared" si="1538"/>
        <v>0</v>
      </c>
      <c r="BR158" s="154">
        <f t="shared" si="1538"/>
        <v>0</v>
      </c>
      <c r="BS158" s="84">
        <f t="shared" si="1538"/>
        <v>0</v>
      </c>
      <c r="BT158" s="154">
        <f>SUM(BT159:BT161)</f>
        <v>0</v>
      </c>
      <c r="BU158" s="154">
        <f t="shared" ref="BU158" si="1560">SUM(BU159:BU161)</f>
        <v>0</v>
      </c>
      <c r="BV158" s="154">
        <f t="shared" ref="BV158" si="1561">SUM(BV159:BV161)</f>
        <v>0</v>
      </c>
      <c r="BW158" s="154">
        <f t="shared" ref="BW158" si="1562">SUM(BW159:BW161)</f>
        <v>0</v>
      </c>
      <c r="BX158" s="154">
        <f t="shared" ref="BX158:CA158" si="1563">SUM(BX159:BX161)</f>
        <v>0</v>
      </c>
      <c r="BY158" s="154">
        <f t="shared" si="1563"/>
        <v>0</v>
      </c>
      <c r="BZ158" s="154">
        <f t="shared" si="1563"/>
        <v>0</v>
      </c>
      <c r="CA158" s="126">
        <f t="shared" si="1563"/>
        <v>0</v>
      </c>
    </row>
    <row r="159" spans="1:91" ht="14.1" customHeight="1" x14ac:dyDescent="0.2">
      <c r="A159" s="140"/>
      <c r="B159" s="78"/>
      <c r="C159" s="69"/>
      <c r="D159" s="109" t="s">
        <v>114</v>
      </c>
      <c r="E159" s="109" t="s">
        <v>115</v>
      </c>
      <c r="G159" s="152"/>
      <c r="H159" s="152"/>
      <c r="I159" s="152"/>
      <c r="J159" s="152">
        <f t="shared" ref="J159:J161" si="1564">SUM(G159:I159)</f>
        <v>0</v>
      </c>
      <c r="K159" s="152"/>
      <c r="L159" s="152"/>
      <c r="M159" s="152"/>
      <c r="N159" s="152">
        <f t="shared" ref="N159:N161" si="1565">SUM(K159:M159)</f>
        <v>0</v>
      </c>
      <c r="O159" s="152"/>
      <c r="P159" s="152"/>
      <c r="Q159" s="152"/>
      <c r="R159" s="152">
        <f t="shared" ref="R159:R161" si="1566">SUM(O159:Q159)</f>
        <v>0</v>
      </c>
      <c r="S159" s="152"/>
      <c r="T159" s="152"/>
      <c r="U159" s="152"/>
      <c r="V159" s="152">
        <f t="shared" ref="V159:V161" si="1567">SUM(S159:U159)</f>
        <v>0</v>
      </c>
      <c r="W159" s="152">
        <f t="shared" ref="W159:W161" si="1568">G159-O159+S159+K159</f>
        <v>0</v>
      </c>
      <c r="X159" s="152">
        <f t="shared" ref="X159:X161" si="1569">H159-P159+T159+L159</f>
        <v>0</v>
      </c>
      <c r="Y159" s="152">
        <f t="shared" ref="Y159:Y161" si="1570">I159-Q159+U159+M159</f>
        <v>0</v>
      </c>
      <c r="Z159" s="168">
        <f t="shared" ref="Z159:Z161" si="1571">SUM(W159:Y159)</f>
        <v>0</v>
      </c>
      <c r="AA159" s="152"/>
      <c r="AB159" s="152"/>
      <c r="AC159" s="152"/>
      <c r="AD159" s="152">
        <f t="shared" ref="AD159:AD161" si="1572">SUM(AA159:AC159)</f>
        <v>0</v>
      </c>
      <c r="AE159" s="152"/>
      <c r="AF159" s="152"/>
      <c r="AG159" s="152"/>
      <c r="AH159" s="152">
        <f t="shared" ref="AH159:AH161" si="1573">SUM(AE159:AG159)</f>
        <v>0</v>
      </c>
      <c r="AI159" s="152"/>
      <c r="AJ159" s="152"/>
      <c r="AK159" s="152"/>
      <c r="AL159" s="152">
        <f t="shared" ref="AL159:AL161" si="1574">SUM(AI159:AK159)</f>
        <v>0</v>
      </c>
      <c r="AM159" s="152"/>
      <c r="AN159" s="152"/>
      <c r="AO159" s="152"/>
      <c r="AP159" s="152">
        <f t="shared" ref="AP159:AP161" si="1575">SUM(AM159:AO159)</f>
        <v>0</v>
      </c>
      <c r="AQ159" s="152">
        <f t="shared" ref="AQ159:AS161" si="1576">AA159+AE159+AI159+AM159</f>
        <v>0</v>
      </c>
      <c r="AR159" s="152">
        <f t="shared" si="1576"/>
        <v>0</v>
      </c>
      <c r="AS159" s="152">
        <f t="shared" si="1576"/>
        <v>0</v>
      </c>
      <c r="AT159" s="168">
        <f t="shared" ref="AT159:AT161" si="1577">SUM(AQ159:AS159)</f>
        <v>0</v>
      </c>
      <c r="AU159" s="152"/>
      <c r="AV159" s="152"/>
      <c r="AW159" s="152"/>
      <c r="AX159" s="152">
        <f t="shared" ref="AX159:AX161" si="1578">SUM(AU159:AW159)</f>
        <v>0</v>
      </c>
      <c r="AY159" s="152"/>
      <c r="AZ159" s="152"/>
      <c r="BA159" s="152"/>
      <c r="BB159" s="152">
        <f t="shared" ref="BB159:BB161" si="1579">SUM(AY159:BA159)</f>
        <v>0</v>
      </c>
      <c r="BC159" s="152"/>
      <c r="BD159" s="152"/>
      <c r="BE159" s="152"/>
      <c r="BF159" s="152">
        <f t="shared" ref="BF159:BF161" si="1580">SUM(BC159:BE159)</f>
        <v>0</v>
      </c>
      <c r="BG159" s="152"/>
      <c r="BH159" s="152"/>
      <c r="BI159" s="152"/>
      <c r="BJ159" s="152">
        <f t="shared" ref="BJ159:BJ161" si="1581">SUM(BG159:BI159)</f>
        <v>0</v>
      </c>
      <c r="BK159" s="152">
        <f t="shared" ref="BK159:BK161" si="1582">AU159+AY159+BC159+BG159</f>
        <v>0</v>
      </c>
      <c r="BL159" s="152">
        <f t="shared" ref="BL159:BL161" si="1583">AV159+AZ159+BD159+BH159</f>
        <v>0</v>
      </c>
      <c r="BM159" s="152">
        <f t="shared" ref="BM159:BM161" si="1584">AW159+BA159+BE159+BI159</f>
        <v>0</v>
      </c>
      <c r="BN159" s="152">
        <f t="shared" ref="BN159:BN161" si="1585">SUM(BK159:BM159)</f>
        <v>0</v>
      </c>
      <c r="BO159" s="168"/>
      <c r="BP159" s="152">
        <f t="shared" ref="BP159:BP161" si="1586">W159-AQ159</f>
        <v>0</v>
      </c>
      <c r="BQ159" s="152">
        <f t="shared" ref="BQ159:BQ161" si="1587">X159-AR159</f>
        <v>0</v>
      </c>
      <c r="BR159" s="152">
        <f t="shared" ref="BR159:BR161" si="1588">Y159-AS159</f>
        <v>0</v>
      </c>
      <c r="BS159" s="168">
        <f t="shared" ref="BS159:BS161" si="1589">SUM(BP159:BR159)</f>
        <v>0</v>
      </c>
      <c r="BT159" s="152"/>
      <c r="BU159" s="152"/>
      <c r="BV159" s="152"/>
      <c r="BW159" s="152">
        <f t="shared" ref="BW159:BW161" si="1590">SUM(BT159:BV159)</f>
        <v>0</v>
      </c>
      <c r="BX159" s="152">
        <f t="shared" ref="BX159:BX161" si="1591">AQ159-BK159-BT159</f>
        <v>0</v>
      </c>
      <c r="BY159" s="152">
        <f t="shared" ref="BY159:BY161" si="1592">AR159-BL159-BU159</f>
        <v>0</v>
      </c>
      <c r="BZ159" s="152">
        <f t="shared" ref="BZ159:BZ161" si="1593">AS159-BM159-BV159</f>
        <v>0</v>
      </c>
      <c r="CA159" s="587">
        <f t="shared" ref="CA159:CA161" si="1594">SUM(BX159:BZ159)</f>
        <v>0</v>
      </c>
    </row>
    <row r="160" spans="1:91" ht="14.1" customHeight="1" x14ac:dyDescent="0.2">
      <c r="A160" s="140"/>
      <c r="B160" s="78"/>
      <c r="C160" s="69"/>
      <c r="D160" s="109" t="s">
        <v>116</v>
      </c>
      <c r="E160" s="109" t="s">
        <v>252</v>
      </c>
      <c r="G160" s="152"/>
      <c r="H160" s="152"/>
      <c r="I160" s="152"/>
      <c r="J160" s="152">
        <f t="shared" si="1564"/>
        <v>0</v>
      </c>
      <c r="K160" s="152"/>
      <c r="L160" s="152"/>
      <c r="M160" s="152"/>
      <c r="N160" s="152">
        <f t="shared" si="1565"/>
        <v>0</v>
      </c>
      <c r="O160" s="152"/>
      <c r="P160" s="152"/>
      <c r="Q160" s="152"/>
      <c r="R160" s="152">
        <f t="shared" si="1566"/>
        <v>0</v>
      </c>
      <c r="S160" s="152"/>
      <c r="T160" s="152"/>
      <c r="U160" s="152"/>
      <c r="V160" s="152">
        <f t="shared" si="1567"/>
        <v>0</v>
      </c>
      <c r="W160" s="152">
        <f t="shared" si="1568"/>
        <v>0</v>
      </c>
      <c r="X160" s="152">
        <f t="shared" si="1569"/>
        <v>0</v>
      </c>
      <c r="Y160" s="152">
        <f t="shared" si="1570"/>
        <v>0</v>
      </c>
      <c r="Z160" s="168">
        <f t="shared" si="1571"/>
        <v>0</v>
      </c>
      <c r="AA160" s="152"/>
      <c r="AB160" s="152"/>
      <c r="AC160" s="152"/>
      <c r="AD160" s="152">
        <f t="shared" si="1572"/>
        <v>0</v>
      </c>
      <c r="AE160" s="152"/>
      <c r="AF160" s="152"/>
      <c r="AG160" s="152"/>
      <c r="AH160" s="152">
        <f t="shared" si="1573"/>
        <v>0</v>
      </c>
      <c r="AI160" s="152"/>
      <c r="AJ160" s="152"/>
      <c r="AK160" s="152"/>
      <c r="AL160" s="152">
        <f t="shared" si="1574"/>
        <v>0</v>
      </c>
      <c r="AM160" s="152"/>
      <c r="AN160" s="152"/>
      <c r="AO160" s="152"/>
      <c r="AP160" s="152">
        <f t="shared" si="1575"/>
        <v>0</v>
      </c>
      <c r="AQ160" s="152">
        <f t="shared" si="1576"/>
        <v>0</v>
      </c>
      <c r="AR160" s="152">
        <f t="shared" si="1576"/>
        <v>0</v>
      </c>
      <c r="AS160" s="152">
        <f t="shared" si="1576"/>
        <v>0</v>
      </c>
      <c r="AT160" s="168">
        <f t="shared" si="1577"/>
        <v>0</v>
      </c>
      <c r="AU160" s="152"/>
      <c r="AV160" s="152"/>
      <c r="AW160" s="152"/>
      <c r="AX160" s="152">
        <f t="shared" si="1578"/>
        <v>0</v>
      </c>
      <c r="AY160" s="152"/>
      <c r="AZ160" s="152"/>
      <c r="BA160" s="152"/>
      <c r="BB160" s="152">
        <f t="shared" si="1579"/>
        <v>0</v>
      </c>
      <c r="BC160" s="152"/>
      <c r="BD160" s="152"/>
      <c r="BE160" s="152"/>
      <c r="BF160" s="152">
        <f t="shared" si="1580"/>
        <v>0</v>
      </c>
      <c r="BG160" s="152"/>
      <c r="BH160" s="152"/>
      <c r="BI160" s="152"/>
      <c r="BJ160" s="152">
        <f t="shared" si="1581"/>
        <v>0</v>
      </c>
      <c r="BK160" s="152">
        <f t="shared" si="1582"/>
        <v>0</v>
      </c>
      <c r="BL160" s="152">
        <f t="shared" si="1583"/>
        <v>0</v>
      </c>
      <c r="BM160" s="152">
        <f t="shared" si="1584"/>
        <v>0</v>
      </c>
      <c r="BN160" s="152">
        <f t="shared" si="1585"/>
        <v>0</v>
      </c>
      <c r="BO160" s="168"/>
      <c r="BP160" s="152">
        <f t="shared" si="1586"/>
        <v>0</v>
      </c>
      <c r="BQ160" s="152">
        <f t="shared" si="1587"/>
        <v>0</v>
      </c>
      <c r="BR160" s="152">
        <f t="shared" si="1588"/>
        <v>0</v>
      </c>
      <c r="BS160" s="168">
        <f t="shared" si="1589"/>
        <v>0</v>
      </c>
      <c r="BT160" s="152"/>
      <c r="BU160" s="152"/>
      <c r="BV160" s="152"/>
      <c r="BW160" s="152">
        <f t="shared" si="1590"/>
        <v>0</v>
      </c>
      <c r="BX160" s="152">
        <f t="shared" si="1591"/>
        <v>0</v>
      </c>
      <c r="BY160" s="152">
        <f t="shared" si="1592"/>
        <v>0</v>
      </c>
      <c r="BZ160" s="152">
        <f t="shared" si="1593"/>
        <v>0</v>
      </c>
      <c r="CA160" s="587">
        <f t="shared" si="1594"/>
        <v>0</v>
      </c>
    </row>
    <row r="161" spans="1:79" ht="14.1" customHeight="1" x14ac:dyDescent="0.2">
      <c r="A161" s="140"/>
      <c r="B161" s="78"/>
      <c r="C161" s="69"/>
      <c r="D161" s="109" t="s">
        <v>117</v>
      </c>
      <c r="E161" s="109" t="s">
        <v>118</v>
      </c>
      <c r="G161" s="152"/>
      <c r="H161" s="152"/>
      <c r="I161" s="152"/>
      <c r="J161" s="152">
        <f t="shared" si="1564"/>
        <v>0</v>
      </c>
      <c r="K161" s="152"/>
      <c r="L161" s="152"/>
      <c r="M161" s="152"/>
      <c r="N161" s="152">
        <f t="shared" si="1565"/>
        <v>0</v>
      </c>
      <c r="O161" s="152"/>
      <c r="P161" s="152"/>
      <c r="Q161" s="152"/>
      <c r="R161" s="152">
        <f t="shared" si="1566"/>
        <v>0</v>
      </c>
      <c r="S161" s="152"/>
      <c r="T161" s="152"/>
      <c r="U161" s="152"/>
      <c r="V161" s="152">
        <f t="shared" si="1567"/>
        <v>0</v>
      </c>
      <c r="W161" s="152">
        <f t="shared" si="1568"/>
        <v>0</v>
      </c>
      <c r="X161" s="152">
        <f t="shared" si="1569"/>
        <v>0</v>
      </c>
      <c r="Y161" s="152">
        <f t="shared" si="1570"/>
        <v>0</v>
      </c>
      <c r="Z161" s="168">
        <f t="shared" si="1571"/>
        <v>0</v>
      </c>
      <c r="AA161" s="152"/>
      <c r="AB161" s="152"/>
      <c r="AC161" s="152"/>
      <c r="AD161" s="152">
        <f t="shared" si="1572"/>
        <v>0</v>
      </c>
      <c r="AE161" s="152"/>
      <c r="AF161" s="152"/>
      <c r="AG161" s="152"/>
      <c r="AH161" s="152">
        <f t="shared" si="1573"/>
        <v>0</v>
      </c>
      <c r="AI161" s="152"/>
      <c r="AJ161" s="152"/>
      <c r="AK161" s="152"/>
      <c r="AL161" s="152">
        <f t="shared" si="1574"/>
        <v>0</v>
      </c>
      <c r="AM161" s="152"/>
      <c r="AN161" s="152"/>
      <c r="AO161" s="152"/>
      <c r="AP161" s="152">
        <f t="shared" si="1575"/>
        <v>0</v>
      </c>
      <c r="AQ161" s="152">
        <f t="shared" si="1576"/>
        <v>0</v>
      </c>
      <c r="AR161" s="152">
        <f t="shared" si="1576"/>
        <v>0</v>
      </c>
      <c r="AS161" s="152">
        <f t="shared" si="1576"/>
        <v>0</v>
      </c>
      <c r="AT161" s="168">
        <f t="shared" si="1577"/>
        <v>0</v>
      </c>
      <c r="AU161" s="152"/>
      <c r="AV161" s="152"/>
      <c r="AW161" s="152"/>
      <c r="AX161" s="152">
        <f t="shared" si="1578"/>
        <v>0</v>
      </c>
      <c r="AY161" s="152"/>
      <c r="AZ161" s="152"/>
      <c r="BA161" s="152"/>
      <c r="BB161" s="152">
        <f t="shared" si="1579"/>
        <v>0</v>
      </c>
      <c r="BC161" s="152"/>
      <c r="BD161" s="152"/>
      <c r="BE161" s="152"/>
      <c r="BF161" s="152">
        <f t="shared" si="1580"/>
        <v>0</v>
      </c>
      <c r="BG161" s="152"/>
      <c r="BH161" s="152"/>
      <c r="BI161" s="152"/>
      <c r="BJ161" s="152">
        <f t="shared" si="1581"/>
        <v>0</v>
      </c>
      <c r="BK161" s="152">
        <f t="shared" si="1582"/>
        <v>0</v>
      </c>
      <c r="BL161" s="152">
        <f t="shared" si="1583"/>
        <v>0</v>
      </c>
      <c r="BM161" s="152">
        <f t="shared" si="1584"/>
        <v>0</v>
      </c>
      <c r="BN161" s="152">
        <f t="shared" si="1585"/>
        <v>0</v>
      </c>
      <c r="BO161" s="168"/>
      <c r="BP161" s="152">
        <f t="shared" si="1586"/>
        <v>0</v>
      </c>
      <c r="BQ161" s="152">
        <f t="shared" si="1587"/>
        <v>0</v>
      </c>
      <c r="BR161" s="152">
        <f t="shared" si="1588"/>
        <v>0</v>
      </c>
      <c r="BS161" s="168">
        <f t="shared" si="1589"/>
        <v>0</v>
      </c>
      <c r="BT161" s="152"/>
      <c r="BU161" s="152"/>
      <c r="BV161" s="152"/>
      <c r="BW161" s="152">
        <f t="shared" si="1590"/>
        <v>0</v>
      </c>
      <c r="BX161" s="152">
        <f t="shared" si="1591"/>
        <v>0</v>
      </c>
      <c r="BY161" s="152">
        <f t="shared" si="1592"/>
        <v>0</v>
      </c>
      <c r="BZ161" s="152">
        <f t="shared" si="1593"/>
        <v>0</v>
      </c>
      <c r="CA161" s="587">
        <f t="shared" si="1594"/>
        <v>0</v>
      </c>
    </row>
    <row r="162" spans="1:79" ht="14.1" customHeight="1" x14ac:dyDescent="0.2">
      <c r="A162" s="140"/>
      <c r="B162" s="78"/>
      <c r="C162" s="69" t="s">
        <v>119</v>
      </c>
      <c r="D162" s="109" t="s">
        <v>120</v>
      </c>
      <c r="E162" s="109"/>
      <c r="G162" s="154">
        <f>SUM(G163:G165)</f>
        <v>1001000</v>
      </c>
      <c r="H162" s="154">
        <f t="shared" ref="H162:I162" si="1595">SUM(H163:H165)</f>
        <v>0</v>
      </c>
      <c r="I162" s="154">
        <f t="shared" si="1595"/>
        <v>0</v>
      </c>
      <c r="J162" s="154">
        <f t="shared" ref="J162" si="1596">SUM(J163:J165)</f>
        <v>1001000</v>
      </c>
      <c r="K162" s="154">
        <f>SUM(K163:K165)</f>
        <v>0</v>
      </c>
      <c r="L162" s="154">
        <f t="shared" ref="L162" si="1597">SUM(L163:L165)</f>
        <v>0</v>
      </c>
      <c r="M162" s="154">
        <f t="shared" ref="M162" si="1598">SUM(M163:M165)</f>
        <v>0</v>
      </c>
      <c r="N162" s="154">
        <f t="shared" ref="N162" si="1599">SUM(N163:N165)</f>
        <v>0</v>
      </c>
      <c r="O162" s="154">
        <f>SUM(O163:O165)</f>
        <v>0</v>
      </c>
      <c r="P162" s="154">
        <f t="shared" ref="P162" si="1600">SUM(P163:P165)</f>
        <v>0</v>
      </c>
      <c r="Q162" s="154">
        <f t="shared" ref="Q162" si="1601">SUM(Q163:Q165)</f>
        <v>0</v>
      </c>
      <c r="R162" s="154">
        <f t="shared" ref="R162" si="1602">SUM(R163:R165)</f>
        <v>0</v>
      </c>
      <c r="S162" s="154">
        <f>SUM(S163:S165)</f>
        <v>0</v>
      </c>
      <c r="T162" s="154">
        <f t="shared" ref="T162" si="1603">SUM(T163:T165)</f>
        <v>0</v>
      </c>
      <c r="U162" s="154">
        <f t="shared" ref="U162" si="1604">SUM(U163:U165)</f>
        <v>0</v>
      </c>
      <c r="V162" s="154">
        <f t="shared" ref="V162" si="1605">SUM(V163:V165)</f>
        <v>0</v>
      </c>
      <c r="W162" s="154">
        <f t="shared" ref="W162" si="1606">SUM(W163:W165)</f>
        <v>1001000</v>
      </c>
      <c r="X162" s="154">
        <f t="shared" ref="X162" si="1607">SUM(X163:X165)</f>
        <v>0</v>
      </c>
      <c r="Y162" s="154">
        <f t="shared" ref="Y162" si="1608">SUM(Y163:Y165)</f>
        <v>0</v>
      </c>
      <c r="Z162" s="84">
        <f t="shared" ref="Z162:AD162" si="1609">SUM(Z163:Z165)</f>
        <v>1001000</v>
      </c>
      <c r="AA162" s="154">
        <f t="shared" si="1609"/>
        <v>419701.2</v>
      </c>
      <c r="AB162" s="154">
        <f t="shared" si="1609"/>
        <v>0</v>
      </c>
      <c r="AC162" s="154">
        <f t="shared" si="1609"/>
        <v>0</v>
      </c>
      <c r="AD162" s="154">
        <f t="shared" si="1609"/>
        <v>419701.2</v>
      </c>
      <c r="AE162" s="154">
        <f>SUM(AE163:AE165)</f>
        <v>316531.06</v>
      </c>
      <c r="AF162" s="154">
        <f t="shared" ref="AF162:AH162" si="1610">SUM(AF163:AF165)</f>
        <v>0</v>
      </c>
      <c r="AG162" s="154">
        <f t="shared" si="1610"/>
        <v>0</v>
      </c>
      <c r="AH162" s="154">
        <f t="shared" si="1610"/>
        <v>316531.06</v>
      </c>
      <c r="AI162" s="154">
        <f>SUM(AI163:AI165)</f>
        <v>316464.12</v>
      </c>
      <c r="AJ162" s="154">
        <f t="shared" ref="AJ162:AL162" si="1611">SUM(AJ163:AJ165)</f>
        <v>0</v>
      </c>
      <c r="AK162" s="154">
        <f t="shared" si="1611"/>
        <v>0</v>
      </c>
      <c r="AL162" s="154">
        <f t="shared" si="1611"/>
        <v>316464.12</v>
      </c>
      <c r="AM162" s="154">
        <f>SUM(AM163:AM165)</f>
        <v>-51696.380000000005</v>
      </c>
      <c r="AN162" s="154">
        <f t="shared" ref="AN162:AX162" si="1612">SUM(AN163:AN165)</f>
        <v>0</v>
      </c>
      <c r="AO162" s="154">
        <f t="shared" si="1612"/>
        <v>0</v>
      </c>
      <c r="AP162" s="154">
        <f t="shared" si="1612"/>
        <v>-51696.380000000005</v>
      </c>
      <c r="AQ162" s="154">
        <f t="shared" si="1612"/>
        <v>1001000.0000000001</v>
      </c>
      <c r="AR162" s="154">
        <f t="shared" si="1612"/>
        <v>0</v>
      </c>
      <c r="AS162" s="154">
        <f t="shared" si="1612"/>
        <v>0</v>
      </c>
      <c r="AT162" s="84">
        <f t="shared" si="1612"/>
        <v>1001000.0000000001</v>
      </c>
      <c r="AU162" s="154">
        <f t="shared" si="1612"/>
        <v>314269.8</v>
      </c>
      <c r="AV162" s="154">
        <f t="shared" si="1612"/>
        <v>0</v>
      </c>
      <c r="AW162" s="154">
        <f t="shared" si="1612"/>
        <v>0</v>
      </c>
      <c r="AX162" s="154">
        <f t="shared" si="1612"/>
        <v>314269.8</v>
      </c>
      <c r="AY162" s="154">
        <f>SUM(AY163:AY165)</f>
        <v>421782.24</v>
      </c>
      <c r="AZ162" s="154">
        <f t="shared" ref="AZ162" si="1613">SUM(AZ163:AZ165)</f>
        <v>0</v>
      </c>
      <c r="BA162" s="154">
        <f t="shared" ref="BA162" si="1614">SUM(BA163:BA165)</f>
        <v>0</v>
      </c>
      <c r="BB162" s="154">
        <f t="shared" ref="BB162" si="1615">SUM(BB163:BB165)</f>
        <v>421782.24</v>
      </c>
      <c r="BC162" s="154">
        <f>SUM(BC163:BC165)</f>
        <v>316644.34000000003</v>
      </c>
      <c r="BD162" s="154">
        <f t="shared" ref="BD162" si="1616">SUM(BD163:BD165)</f>
        <v>0</v>
      </c>
      <c r="BE162" s="154">
        <f t="shared" ref="BE162" si="1617">SUM(BE163:BE165)</f>
        <v>0</v>
      </c>
      <c r="BF162" s="154">
        <f t="shared" ref="BF162" si="1618">SUM(BF163:BF165)</f>
        <v>316644.34000000003</v>
      </c>
      <c r="BG162" s="154">
        <f>SUM(BG163:BG165)</f>
        <v>-51696.379999999976</v>
      </c>
      <c r="BH162" s="154">
        <f t="shared" ref="BH162" si="1619">SUM(BH163:BH165)</f>
        <v>0</v>
      </c>
      <c r="BI162" s="154">
        <f t="shared" ref="BI162" si="1620">SUM(BI163:BI165)</f>
        <v>0</v>
      </c>
      <c r="BJ162" s="154">
        <f t="shared" ref="BJ162" si="1621">SUM(BJ163:BJ165)</f>
        <v>-51696.379999999976</v>
      </c>
      <c r="BK162" s="154">
        <f t="shared" ref="BK162" si="1622">SUM(BK163:BK165)</f>
        <v>1001000</v>
      </c>
      <c r="BL162" s="154">
        <f t="shared" ref="BL162" si="1623">SUM(BL163:BL165)</f>
        <v>0</v>
      </c>
      <c r="BM162" s="154">
        <f t="shared" ref="BM162" si="1624">SUM(BM163:BM165)</f>
        <v>0</v>
      </c>
      <c r="BN162" s="154">
        <f t="shared" ref="BN162" si="1625">SUM(BN163:BN165)</f>
        <v>1001000</v>
      </c>
      <c r="BO162" s="170">
        <f t="shared" ref="BO162" si="1626">SUM(BO163:BO165)</f>
        <v>0</v>
      </c>
      <c r="BP162" s="154">
        <f t="shared" ref="BP162" si="1627">SUM(BP163:BP165)</f>
        <v>0</v>
      </c>
      <c r="BQ162" s="154">
        <f t="shared" ref="BQ162" si="1628">SUM(BQ163:BQ165)</f>
        <v>0</v>
      </c>
      <c r="BR162" s="154">
        <f t="shared" ref="BR162" si="1629">SUM(BR163:BR165)</f>
        <v>0</v>
      </c>
      <c r="BS162" s="84">
        <f t="shared" ref="BS162" si="1630">SUM(BS163:BS165)</f>
        <v>0</v>
      </c>
      <c r="BT162" s="154">
        <f>SUM(BT163:BT165)</f>
        <v>0</v>
      </c>
      <c r="BU162" s="154">
        <f t="shared" ref="BU162" si="1631">SUM(BU163:BU165)</f>
        <v>0</v>
      </c>
      <c r="BV162" s="154">
        <f t="shared" ref="BV162" si="1632">SUM(BV163:BV165)</f>
        <v>0</v>
      </c>
      <c r="BW162" s="154">
        <f t="shared" ref="BW162" si="1633">SUM(BW163:BW165)</f>
        <v>0</v>
      </c>
      <c r="BX162" s="154">
        <f t="shared" ref="BX162" si="1634">SUM(BX163:BX165)</f>
        <v>1.1641532182693481E-10</v>
      </c>
      <c r="BY162" s="154">
        <f t="shared" ref="BY162" si="1635">SUM(BY163:BY165)</f>
        <v>0</v>
      </c>
      <c r="BZ162" s="154">
        <f t="shared" ref="BZ162" si="1636">SUM(BZ163:BZ165)</f>
        <v>0</v>
      </c>
      <c r="CA162" s="126">
        <f t="shared" ref="CA162" si="1637">SUM(CA163:CA165)</f>
        <v>1.1641532182693481E-10</v>
      </c>
    </row>
    <row r="163" spans="1:79" ht="14.1" customHeight="1" x14ac:dyDescent="0.2">
      <c r="A163" s="140"/>
      <c r="B163" s="78"/>
      <c r="C163" s="69"/>
      <c r="D163" s="109" t="s">
        <v>121</v>
      </c>
      <c r="E163" s="109" t="s">
        <v>122</v>
      </c>
      <c r="G163" s="152"/>
      <c r="H163" s="152"/>
      <c r="I163" s="152"/>
      <c r="J163" s="152">
        <f t="shared" ref="J163:J165" si="1638">SUM(G163:I163)</f>
        <v>0</v>
      </c>
      <c r="K163" s="152"/>
      <c r="L163" s="152"/>
      <c r="M163" s="152"/>
      <c r="N163" s="152">
        <f t="shared" ref="N163:N165" si="1639">SUM(K163:M163)</f>
        <v>0</v>
      </c>
      <c r="O163" s="152"/>
      <c r="P163" s="152"/>
      <c r="Q163" s="152"/>
      <c r="R163" s="152">
        <f t="shared" ref="R163:R165" si="1640">SUM(O163:Q163)</f>
        <v>0</v>
      </c>
      <c r="S163" s="152"/>
      <c r="T163" s="152"/>
      <c r="U163" s="152"/>
      <c r="V163" s="152">
        <f t="shared" ref="V163:V165" si="1641">SUM(S163:U163)</f>
        <v>0</v>
      </c>
      <c r="W163" s="152">
        <f t="shared" ref="W163:W165" si="1642">G163-O163+S163+K163</f>
        <v>0</v>
      </c>
      <c r="X163" s="152">
        <f t="shared" ref="X163:X165" si="1643">H163-P163+T163+L163</f>
        <v>0</v>
      </c>
      <c r="Y163" s="152">
        <f t="shared" ref="Y163:Y165" si="1644">I163-Q163+U163+M163</f>
        <v>0</v>
      </c>
      <c r="Z163" s="168">
        <f t="shared" ref="Z163:Z165" si="1645">SUM(W163:Y163)</f>
        <v>0</v>
      </c>
      <c r="AA163" s="152"/>
      <c r="AB163" s="152"/>
      <c r="AC163" s="152"/>
      <c r="AD163" s="152">
        <f t="shared" ref="AD163:AD165" si="1646">SUM(AA163:AC163)</f>
        <v>0</v>
      </c>
      <c r="AE163" s="152"/>
      <c r="AF163" s="152"/>
      <c r="AG163" s="152"/>
      <c r="AH163" s="152">
        <f t="shared" ref="AH163:AH165" si="1647">SUM(AE163:AG163)</f>
        <v>0</v>
      </c>
      <c r="AI163" s="152"/>
      <c r="AJ163" s="152"/>
      <c r="AK163" s="152"/>
      <c r="AL163" s="152">
        <f t="shared" ref="AL163:AL165" si="1648">SUM(AI163:AK163)</f>
        <v>0</v>
      </c>
      <c r="AM163" s="152"/>
      <c r="AN163" s="152"/>
      <c r="AO163" s="152"/>
      <c r="AP163" s="152">
        <f t="shared" ref="AP163:AP165" si="1649">SUM(AM163:AO163)</f>
        <v>0</v>
      </c>
      <c r="AQ163" s="152">
        <f t="shared" ref="AQ163:AS165" si="1650">AA163+AE163+AI163+AM163</f>
        <v>0</v>
      </c>
      <c r="AR163" s="152">
        <f t="shared" si="1650"/>
        <v>0</v>
      </c>
      <c r="AS163" s="152">
        <f t="shared" si="1650"/>
        <v>0</v>
      </c>
      <c r="AT163" s="168">
        <f t="shared" ref="AT163:AT165" si="1651">SUM(AQ163:AS163)</f>
        <v>0</v>
      </c>
      <c r="AU163" s="152"/>
      <c r="AV163" s="152"/>
      <c r="AW163" s="152"/>
      <c r="AX163" s="152">
        <f t="shared" ref="AX163:AX165" si="1652">SUM(AU163:AW163)</f>
        <v>0</v>
      </c>
      <c r="AY163" s="152"/>
      <c r="AZ163" s="152"/>
      <c r="BA163" s="152"/>
      <c r="BB163" s="152">
        <f t="shared" ref="BB163:BB165" si="1653">SUM(AY163:BA163)</f>
        <v>0</v>
      </c>
      <c r="BC163" s="152"/>
      <c r="BD163" s="152"/>
      <c r="BE163" s="152"/>
      <c r="BF163" s="152">
        <f t="shared" ref="BF163:BF165" si="1654">SUM(BC163:BE163)</f>
        <v>0</v>
      </c>
      <c r="BG163" s="152"/>
      <c r="BH163" s="152"/>
      <c r="BI163" s="152"/>
      <c r="BJ163" s="152">
        <f t="shared" ref="BJ163:BJ165" si="1655">SUM(BG163:BI163)</f>
        <v>0</v>
      </c>
      <c r="BK163" s="152">
        <f t="shared" ref="BK163:BK165" si="1656">AU163+AY163+BC163+BG163</f>
        <v>0</v>
      </c>
      <c r="BL163" s="152">
        <f t="shared" ref="BL163:BL165" si="1657">AV163+AZ163+BD163+BH163</f>
        <v>0</v>
      </c>
      <c r="BM163" s="152">
        <f t="shared" ref="BM163:BM165" si="1658">AW163+BA163+BE163+BI163</f>
        <v>0</v>
      </c>
      <c r="BN163" s="152">
        <f t="shared" ref="BN163:BN165" si="1659">SUM(BK163:BM163)</f>
        <v>0</v>
      </c>
      <c r="BO163" s="168"/>
      <c r="BP163" s="152">
        <f t="shared" ref="BP163:BP165" si="1660">W163-AQ163</f>
        <v>0</v>
      </c>
      <c r="BQ163" s="152">
        <f t="shared" ref="BQ163:BQ165" si="1661">X163-AR163</f>
        <v>0</v>
      </c>
      <c r="BR163" s="152">
        <f t="shared" ref="BR163:BR165" si="1662">Y163-AS163</f>
        <v>0</v>
      </c>
      <c r="BS163" s="168">
        <f t="shared" ref="BS163:BS165" si="1663">SUM(BP163:BR163)</f>
        <v>0</v>
      </c>
      <c r="BT163" s="152"/>
      <c r="BU163" s="152"/>
      <c r="BV163" s="152"/>
      <c r="BW163" s="152">
        <f t="shared" ref="BW163:BW165" si="1664">SUM(BT163:BV163)</f>
        <v>0</v>
      </c>
      <c r="BX163" s="152">
        <f t="shared" ref="BX163:BX165" si="1665">AQ163-BK163-BT163</f>
        <v>0</v>
      </c>
      <c r="BY163" s="152">
        <f t="shared" ref="BY163:BY165" si="1666">AR163-BL163-BU163</f>
        <v>0</v>
      </c>
      <c r="BZ163" s="152">
        <f t="shared" ref="BZ163:BZ165" si="1667">AS163-BM163-BV163</f>
        <v>0</v>
      </c>
      <c r="CA163" s="587">
        <f t="shared" ref="CA163:CA165" si="1668">SUM(BX163:BZ163)</f>
        <v>0</v>
      </c>
    </row>
    <row r="164" spans="1:79" ht="14.1" customHeight="1" x14ac:dyDescent="0.2">
      <c r="A164" s="140"/>
      <c r="B164" s="78"/>
      <c r="C164" s="69"/>
      <c r="D164" s="109" t="s">
        <v>151</v>
      </c>
      <c r="E164" s="109" t="s">
        <v>152</v>
      </c>
      <c r="G164" s="152">
        <v>160000</v>
      </c>
      <c r="H164" s="152"/>
      <c r="I164" s="152"/>
      <c r="J164" s="152">
        <f t="shared" si="1638"/>
        <v>160000</v>
      </c>
      <c r="K164" s="152"/>
      <c r="L164" s="152"/>
      <c r="M164" s="152"/>
      <c r="N164" s="152">
        <f t="shared" si="1639"/>
        <v>0</v>
      </c>
      <c r="O164" s="152"/>
      <c r="P164" s="152"/>
      <c r="Q164" s="152"/>
      <c r="R164" s="152">
        <f t="shared" si="1640"/>
        <v>0</v>
      </c>
      <c r="S164" s="152"/>
      <c r="T164" s="152"/>
      <c r="U164" s="152"/>
      <c r="V164" s="152">
        <f t="shared" si="1641"/>
        <v>0</v>
      </c>
      <c r="W164" s="152">
        <f t="shared" si="1642"/>
        <v>160000</v>
      </c>
      <c r="X164" s="152">
        <f t="shared" si="1643"/>
        <v>0</v>
      </c>
      <c r="Y164" s="152">
        <f t="shared" si="1644"/>
        <v>0</v>
      </c>
      <c r="Z164" s="168">
        <f t="shared" si="1645"/>
        <v>160000</v>
      </c>
      <c r="AA164" s="152">
        <f>25517.4+27541.8+29989.44+4895.28+29989.44</f>
        <v>117933.36</v>
      </c>
      <c r="AB164" s="152"/>
      <c r="AC164" s="152"/>
      <c r="AD164" s="152">
        <f t="shared" si="1646"/>
        <v>117933.36</v>
      </c>
      <c r="AE164" s="152">
        <f>29989.44+29989.44+29989.44</f>
        <v>89968.319999999992</v>
      </c>
      <c r="AF164" s="152"/>
      <c r="AG164" s="152"/>
      <c r="AH164" s="152">
        <f t="shared" si="1647"/>
        <v>89968.319999999992</v>
      </c>
      <c r="AI164" s="152">
        <f>29989.44+29989.44+29989.44</f>
        <v>89968.319999999992</v>
      </c>
      <c r="AJ164" s="152"/>
      <c r="AK164" s="152"/>
      <c r="AL164" s="152">
        <f t="shared" si="1648"/>
        <v>89968.319999999992</v>
      </c>
      <c r="AM164" s="152">
        <f>59998.8-197868.8</f>
        <v>-137870</v>
      </c>
      <c r="AN164" s="152"/>
      <c r="AO164" s="152"/>
      <c r="AP164" s="152">
        <f t="shared" si="1649"/>
        <v>-137870</v>
      </c>
      <c r="AQ164" s="152">
        <f t="shared" si="1650"/>
        <v>160000</v>
      </c>
      <c r="AR164" s="152">
        <f t="shared" si="1650"/>
        <v>0</v>
      </c>
      <c r="AS164" s="152">
        <f t="shared" si="1650"/>
        <v>0</v>
      </c>
      <c r="AT164" s="168">
        <f t="shared" si="1651"/>
        <v>160000</v>
      </c>
      <c r="AU164" s="152">
        <f>25517.4+27541.8+4895.28+29989.44</f>
        <v>87943.92</v>
      </c>
      <c r="AV164" s="152"/>
      <c r="AW164" s="152"/>
      <c r="AX164" s="152">
        <f t="shared" si="1652"/>
        <v>87943.92</v>
      </c>
      <c r="AY164" s="152">
        <f>29989.44+29989.44+29989.44+29989.44</f>
        <v>119957.75999999999</v>
      </c>
      <c r="AZ164" s="152"/>
      <c r="BA164" s="152"/>
      <c r="BB164" s="152">
        <f t="shared" si="1653"/>
        <v>119957.75999999999</v>
      </c>
      <c r="BC164" s="152">
        <f>29989.44+29989.44+29989.44</f>
        <v>89968.319999999992</v>
      </c>
      <c r="BD164" s="152"/>
      <c r="BE164" s="152"/>
      <c r="BF164" s="152">
        <f t="shared" si="1654"/>
        <v>89968.319999999992</v>
      </c>
      <c r="BG164" s="152">
        <f>29989.44+30009.36-197868.8</f>
        <v>-137870</v>
      </c>
      <c r="BH164" s="152"/>
      <c r="BI164" s="152"/>
      <c r="BJ164" s="152">
        <f t="shared" si="1655"/>
        <v>-137870</v>
      </c>
      <c r="BK164" s="152">
        <f t="shared" si="1656"/>
        <v>160000</v>
      </c>
      <c r="BL164" s="152">
        <f t="shared" si="1657"/>
        <v>0</v>
      </c>
      <c r="BM164" s="152">
        <f t="shared" si="1658"/>
        <v>0</v>
      </c>
      <c r="BN164" s="152">
        <f t="shared" si="1659"/>
        <v>160000</v>
      </c>
      <c r="BO164" s="168"/>
      <c r="BP164" s="152">
        <f t="shared" si="1660"/>
        <v>0</v>
      </c>
      <c r="BQ164" s="152">
        <f t="shared" si="1661"/>
        <v>0</v>
      </c>
      <c r="BR164" s="152">
        <f t="shared" si="1662"/>
        <v>0</v>
      </c>
      <c r="BS164" s="168">
        <f t="shared" si="1663"/>
        <v>0</v>
      </c>
      <c r="BT164" s="152"/>
      <c r="BU164" s="152"/>
      <c r="BV164" s="152"/>
      <c r="BW164" s="152">
        <f t="shared" si="1664"/>
        <v>0</v>
      </c>
      <c r="BX164" s="152">
        <f t="shared" si="1665"/>
        <v>0</v>
      </c>
      <c r="BY164" s="152">
        <f t="shared" si="1666"/>
        <v>0</v>
      </c>
      <c r="BZ164" s="152">
        <f t="shared" si="1667"/>
        <v>0</v>
      </c>
      <c r="CA164" s="587">
        <f t="shared" si="1668"/>
        <v>0</v>
      </c>
    </row>
    <row r="165" spans="1:79" ht="14.1" customHeight="1" x14ac:dyDescent="0.2">
      <c r="A165" s="140"/>
      <c r="B165" s="78"/>
      <c r="C165" s="69"/>
      <c r="D165" s="109" t="s">
        <v>193</v>
      </c>
      <c r="E165" s="109" t="s">
        <v>194</v>
      </c>
      <c r="G165" s="152">
        <v>841000</v>
      </c>
      <c r="H165" s="152"/>
      <c r="I165" s="152"/>
      <c r="J165" s="152">
        <f t="shared" si="1638"/>
        <v>841000</v>
      </c>
      <c r="K165" s="152"/>
      <c r="L165" s="152"/>
      <c r="M165" s="152"/>
      <c r="N165" s="152">
        <f t="shared" si="1639"/>
        <v>0</v>
      </c>
      <c r="O165" s="152"/>
      <c r="P165" s="152"/>
      <c r="Q165" s="152"/>
      <c r="R165" s="152">
        <f t="shared" si="1640"/>
        <v>0</v>
      </c>
      <c r="S165" s="152"/>
      <c r="T165" s="152"/>
      <c r="U165" s="152"/>
      <c r="V165" s="152">
        <f t="shared" si="1641"/>
        <v>0</v>
      </c>
      <c r="W165" s="152">
        <f t="shared" si="1642"/>
        <v>841000</v>
      </c>
      <c r="X165" s="152">
        <f t="shared" si="1643"/>
        <v>0</v>
      </c>
      <c r="Y165" s="152">
        <f t="shared" si="1644"/>
        <v>0</v>
      </c>
      <c r="Z165" s="168">
        <f t="shared" si="1645"/>
        <v>841000</v>
      </c>
      <c r="AA165" s="152">
        <f>69794.64+69794.64+75441.96+11294.64+75441.96</f>
        <v>301767.84000000003</v>
      </c>
      <c r="AB165" s="152"/>
      <c r="AC165" s="152"/>
      <c r="AD165" s="152">
        <f t="shared" si="1646"/>
        <v>301767.84000000003</v>
      </c>
      <c r="AE165" s="152">
        <f>75441.96+75441.96+180.22+75498.6</f>
        <v>226562.74000000002</v>
      </c>
      <c r="AF165" s="152"/>
      <c r="AG165" s="152"/>
      <c r="AH165" s="152">
        <f t="shared" si="1647"/>
        <v>226562.74000000002</v>
      </c>
      <c r="AI165" s="152">
        <f>75498.6+75498.6+75498.6</f>
        <v>226495.80000000002</v>
      </c>
      <c r="AJ165" s="152"/>
      <c r="AK165" s="152"/>
      <c r="AL165" s="152">
        <f t="shared" si="1648"/>
        <v>226495.80000000002</v>
      </c>
      <c r="AM165" s="152">
        <f>151129.08-64955.46</f>
        <v>86173.62</v>
      </c>
      <c r="AN165" s="152"/>
      <c r="AO165" s="152"/>
      <c r="AP165" s="152">
        <f t="shared" si="1649"/>
        <v>86173.62</v>
      </c>
      <c r="AQ165" s="152">
        <f t="shared" si="1650"/>
        <v>841000.00000000012</v>
      </c>
      <c r="AR165" s="152">
        <f t="shared" si="1650"/>
        <v>0</v>
      </c>
      <c r="AS165" s="152">
        <f t="shared" si="1650"/>
        <v>0</v>
      </c>
      <c r="AT165" s="168">
        <f t="shared" si="1651"/>
        <v>841000.00000000012</v>
      </c>
      <c r="AU165" s="152">
        <f>69794.64+69794.64+11294.64+75441.96</f>
        <v>226325.88</v>
      </c>
      <c r="AV165" s="152"/>
      <c r="AW165" s="152"/>
      <c r="AX165" s="152">
        <f t="shared" si="1652"/>
        <v>226325.88</v>
      </c>
      <c r="AY165" s="152">
        <f>75441.96+75441.96+75441.96+75498.6</f>
        <v>301824.48</v>
      </c>
      <c r="AZ165" s="152"/>
      <c r="BA165" s="152"/>
      <c r="BB165" s="152">
        <f t="shared" si="1653"/>
        <v>301824.48</v>
      </c>
      <c r="BC165" s="152">
        <f>180.22+75498.6+75498.6+75498.6</f>
        <v>226676.02000000002</v>
      </c>
      <c r="BD165" s="152"/>
      <c r="BE165" s="152"/>
      <c r="BF165" s="152">
        <f t="shared" si="1654"/>
        <v>226676.02000000002</v>
      </c>
      <c r="BG165" s="152">
        <f>75498.6+75630.48-64955.46</f>
        <v>86173.620000000024</v>
      </c>
      <c r="BH165" s="152"/>
      <c r="BI165" s="152"/>
      <c r="BJ165" s="152">
        <f t="shared" si="1655"/>
        <v>86173.620000000024</v>
      </c>
      <c r="BK165" s="152">
        <f t="shared" si="1656"/>
        <v>841000</v>
      </c>
      <c r="BL165" s="152">
        <f t="shared" si="1657"/>
        <v>0</v>
      </c>
      <c r="BM165" s="152">
        <f t="shared" si="1658"/>
        <v>0</v>
      </c>
      <c r="BN165" s="152">
        <f t="shared" si="1659"/>
        <v>841000</v>
      </c>
      <c r="BO165" s="168"/>
      <c r="BP165" s="152">
        <f t="shared" si="1660"/>
        <v>0</v>
      </c>
      <c r="BQ165" s="152">
        <f t="shared" si="1661"/>
        <v>0</v>
      </c>
      <c r="BR165" s="152">
        <f t="shared" si="1662"/>
        <v>0</v>
      </c>
      <c r="BS165" s="168">
        <f t="shared" si="1663"/>
        <v>0</v>
      </c>
      <c r="BT165" s="152"/>
      <c r="BU165" s="152"/>
      <c r="BV165" s="152"/>
      <c r="BW165" s="152">
        <f t="shared" si="1664"/>
        <v>0</v>
      </c>
      <c r="BX165" s="152">
        <f t="shared" si="1665"/>
        <v>1.1641532182693481E-10</v>
      </c>
      <c r="BY165" s="152">
        <f t="shared" si="1666"/>
        <v>0</v>
      </c>
      <c r="BZ165" s="152">
        <f t="shared" si="1667"/>
        <v>0</v>
      </c>
      <c r="CA165" s="587">
        <f t="shared" si="1668"/>
        <v>1.1641532182693481E-10</v>
      </c>
    </row>
    <row r="166" spans="1:79" ht="14.1" customHeight="1" x14ac:dyDescent="0.2">
      <c r="A166" s="550"/>
      <c r="B166" s="535" t="s">
        <v>145</v>
      </c>
      <c r="C166" s="549"/>
      <c r="D166" s="551"/>
      <c r="E166" s="551"/>
      <c r="F166" s="552"/>
      <c r="G166" s="538">
        <f>G167</f>
        <v>0</v>
      </c>
      <c r="H166" s="538">
        <f t="shared" ref="H166:I166" si="1669">H167</f>
        <v>0</v>
      </c>
      <c r="I166" s="538">
        <f t="shared" si="1669"/>
        <v>0</v>
      </c>
      <c r="J166" s="538">
        <f t="shared" ref="J166:BS166" si="1670">J167</f>
        <v>0</v>
      </c>
      <c r="K166" s="538">
        <f t="shared" si="1670"/>
        <v>0</v>
      </c>
      <c r="L166" s="538">
        <f t="shared" si="1670"/>
        <v>0</v>
      </c>
      <c r="M166" s="538">
        <f t="shared" si="1670"/>
        <v>0</v>
      </c>
      <c r="N166" s="538">
        <f t="shared" si="1670"/>
        <v>0</v>
      </c>
      <c r="O166" s="538">
        <f t="shared" si="1670"/>
        <v>0</v>
      </c>
      <c r="P166" s="538">
        <f t="shared" si="1670"/>
        <v>0</v>
      </c>
      <c r="Q166" s="538">
        <f t="shared" si="1670"/>
        <v>0</v>
      </c>
      <c r="R166" s="538">
        <f t="shared" si="1670"/>
        <v>0</v>
      </c>
      <c r="S166" s="538">
        <f t="shared" si="1670"/>
        <v>0</v>
      </c>
      <c r="T166" s="538">
        <f t="shared" si="1670"/>
        <v>248000</v>
      </c>
      <c r="U166" s="538">
        <f t="shared" si="1670"/>
        <v>0</v>
      </c>
      <c r="V166" s="538">
        <f t="shared" si="1670"/>
        <v>248000</v>
      </c>
      <c r="W166" s="538">
        <f t="shared" si="1670"/>
        <v>0</v>
      </c>
      <c r="X166" s="538">
        <f t="shared" si="1670"/>
        <v>248000</v>
      </c>
      <c r="Y166" s="538">
        <f t="shared" si="1670"/>
        <v>0</v>
      </c>
      <c r="Z166" s="538">
        <f t="shared" si="1670"/>
        <v>248000</v>
      </c>
      <c r="AA166" s="538">
        <f t="shared" si="1670"/>
        <v>0</v>
      </c>
      <c r="AB166" s="538">
        <f t="shared" si="1670"/>
        <v>0</v>
      </c>
      <c r="AC166" s="538">
        <f t="shared" si="1670"/>
        <v>0</v>
      </c>
      <c r="AD166" s="538">
        <f t="shared" si="1670"/>
        <v>0</v>
      </c>
      <c r="AE166" s="538">
        <f t="shared" si="1670"/>
        <v>0</v>
      </c>
      <c r="AF166" s="538">
        <f t="shared" si="1670"/>
        <v>0</v>
      </c>
      <c r="AG166" s="538">
        <f t="shared" si="1670"/>
        <v>0</v>
      </c>
      <c r="AH166" s="538">
        <f t="shared" si="1670"/>
        <v>0</v>
      </c>
      <c r="AI166" s="538">
        <f t="shared" si="1670"/>
        <v>0</v>
      </c>
      <c r="AJ166" s="538">
        <f t="shared" si="1670"/>
        <v>51000</v>
      </c>
      <c r="AK166" s="538">
        <f t="shared" si="1670"/>
        <v>0</v>
      </c>
      <c r="AL166" s="538">
        <f t="shared" si="1670"/>
        <v>51000</v>
      </c>
      <c r="AM166" s="538">
        <f t="shared" si="1670"/>
        <v>0</v>
      </c>
      <c r="AN166" s="538">
        <f t="shared" si="1670"/>
        <v>28393.47</v>
      </c>
      <c r="AO166" s="538">
        <f t="shared" si="1670"/>
        <v>0</v>
      </c>
      <c r="AP166" s="538">
        <f t="shared" si="1670"/>
        <v>28393.47</v>
      </c>
      <c r="AQ166" s="538">
        <f t="shared" si="1670"/>
        <v>0</v>
      </c>
      <c r="AR166" s="538">
        <f t="shared" si="1670"/>
        <v>79393.47</v>
      </c>
      <c r="AS166" s="538">
        <f t="shared" si="1670"/>
        <v>0</v>
      </c>
      <c r="AT166" s="538">
        <f t="shared" si="1670"/>
        <v>79393.47</v>
      </c>
      <c r="AU166" s="538">
        <f t="shared" si="1670"/>
        <v>0</v>
      </c>
      <c r="AV166" s="538">
        <f t="shared" si="1670"/>
        <v>0</v>
      </c>
      <c r="AW166" s="538">
        <f t="shared" si="1670"/>
        <v>0</v>
      </c>
      <c r="AX166" s="538">
        <f t="shared" si="1670"/>
        <v>0</v>
      </c>
      <c r="AY166" s="538">
        <f t="shared" si="1670"/>
        <v>0</v>
      </c>
      <c r="AZ166" s="538">
        <f t="shared" si="1670"/>
        <v>0</v>
      </c>
      <c r="BA166" s="538">
        <f t="shared" si="1670"/>
        <v>0</v>
      </c>
      <c r="BB166" s="538">
        <f t="shared" si="1670"/>
        <v>0</v>
      </c>
      <c r="BC166" s="538">
        <f t="shared" si="1670"/>
        <v>0</v>
      </c>
      <c r="BD166" s="538">
        <f t="shared" si="1670"/>
        <v>51000</v>
      </c>
      <c r="BE166" s="538">
        <f t="shared" si="1670"/>
        <v>0</v>
      </c>
      <c r="BF166" s="538">
        <f t="shared" si="1670"/>
        <v>51000</v>
      </c>
      <c r="BG166" s="538">
        <f t="shared" si="1670"/>
        <v>0</v>
      </c>
      <c r="BH166" s="538">
        <f t="shared" si="1670"/>
        <v>28393.47</v>
      </c>
      <c r="BI166" s="538">
        <f t="shared" si="1670"/>
        <v>0</v>
      </c>
      <c r="BJ166" s="538">
        <f t="shared" si="1670"/>
        <v>28393.47</v>
      </c>
      <c r="BK166" s="538">
        <f t="shared" si="1670"/>
        <v>0</v>
      </c>
      <c r="BL166" s="538">
        <f t="shared" si="1670"/>
        <v>79393.47</v>
      </c>
      <c r="BM166" s="538">
        <f t="shared" si="1670"/>
        <v>0</v>
      </c>
      <c r="BN166" s="538">
        <f t="shared" si="1670"/>
        <v>79393.47</v>
      </c>
      <c r="BO166" s="538">
        <f t="shared" si="1670"/>
        <v>0</v>
      </c>
      <c r="BP166" s="538">
        <f t="shared" si="1670"/>
        <v>0</v>
      </c>
      <c r="BQ166" s="538">
        <f t="shared" si="1670"/>
        <v>168606.53</v>
      </c>
      <c r="BR166" s="538">
        <f t="shared" si="1670"/>
        <v>0</v>
      </c>
      <c r="BS166" s="538">
        <f t="shared" si="1670"/>
        <v>168606.53</v>
      </c>
      <c r="BT166" s="538">
        <f t="shared" ref="BT166:CA166" si="1671">BT167</f>
        <v>0</v>
      </c>
      <c r="BU166" s="538">
        <f t="shared" si="1671"/>
        <v>0</v>
      </c>
      <c r="BV166" s="538">
        <f t="shared" si="1671"/>
        <v>0</v>
      </c>
      <c r="BW166" s="538">
        <f t="shared" si="1671"/>
        <v>0</v>
      </c>
      <c r="BX166" s="538">
        <f t="shared" si="1671"/>
        <v>0</v>
      </c>
      <c r="BY166" s="538">
        <f t="shared" si="1671"/>
        <v>0</v>
      </c>
      <c r="BZ166" s="538">
        <f t="shared" si="1671"/>
        <v>0</v>
      </c>
      <c r="CA166" s="538">
        <f t="shared" si="1671"/>
        <v>0</v>
      </c>
    </row>
    <row r="167" spans="1:79" ht="14.1" customHeight="1" x14ac:dyDescent="0.2">
      <c r="A167" s="140"/>
      <c r="B167" s="78"/>
      <c r="C167" s="69"/>
      <c r="D167" s="109" t="s">
        <v>555</v>
      </c>
      <c r="E167" s="109"/>
      <c r="G167" s="152"/>
      <c r="H167" s="152"/>
      <c r="I167" s="152"/>
      <c r="J167" s="152">
        <f t="shared" ref="J167" si="1672">SUM(G167:I167)</f>
        <v>0</v>
      </c>
      <c r="K167" s="152"/>
      <c r="L167" s="152"/>
      <c r="M167" s="152"/>
      <c r="N167" s="152">
        <f t="shared" ref="N167" si="1673">SUM(K167:M167)</f>
        <v>0</v>
      </c>
      <c r="O167" s="152"/>
      <c r="P167" s="152"/>
      <c r="Q167" s="152"/>
      <c r="R167" s="152">
        <f t="shared" ref="R167" si="1674">SUM(O167:Q167)</f>
        <v>0</v>
      </c>
      <c r="S167" s="152"/>
      <c r="T167" s="152">
        <v>248000</v>
      </c>
      <c r="U167" s="152"/>
      <c r="V167" s="152">
        <f t="shared" ref="V167" si="1675">SUM(S167:U167)</f>
        <v>248000</v>
      </c>
      <c r="W167" s="152">
        <f t="shared" ref="W167" si="1676">G167-O167+S167+K167</f>
        <v>0</v>
      </c>
      <c r="X167" s="152">
        <f t="shared" ref="X167" si="1677">H167-P167+T167+L167</f>
        <v>248000</v>
      </c>
      <c r="Y167" s="152">
        <f t="shared" ref="Y167" si="1678">I167-Q167+U167+M167</f>
        <v>0</v>
      </c>
      <c r="Z167" s="168">
        <f t="shared" ref="Z167" si="1679">SUM(W167:Y167)</f>
        <v>248000</v>
      </c>
      <c r="AA167" s="152"/>
      <c r="AB167" s="152"/>
      <c r="AC167" s="152"/>
      <c r="AD167" s="152">
        <f t="shared" ref="AD167" si="1680">SUM(AA167:AC167)</f>
        <v>0</v>
      </c>
      <c r="AE167" s="152"/>
      <c r="AF167" s="152"/>
      <c r="AG167" s="152"/>
      <c r="AH167" s="152">
        <f t="shared" ref="AH167" si="1681">SUM(AE167:AG167)</f>
        <v>0</v>
      </c>
      <c r="AI167" s="152"/>
      <c r="AJ167" s="152">
        <f>1000+50000</f>
        <v>51000</v>
      </c>
      <c r="AK167" s="152"/>
      <c r="AL167" s="152">
        <f t="shared" ref="AL167" si="1682">SUM(AI167:AK167)</f>
        <v>51000</v>
      </c>
      <c r="AM167" s="152"/>
      <c r="AN167" s="152">
        <f>1000+2000+25393.47</f>
        <v>28393.47</v>
      </c>
      <c r="AO167" s="152"/>
      <c r="AP167" s="152">
        <f t="shared" ref="AP167" si="1683">SUM(AM167:AO167)</f>
        <v>28393.47</v>
      </c>
      <c r="AQ167" s="152">
        <f t="shared" ref="AQ167:AS167" si="1684">AA167+AE167+AI167+AM167</f>
        <v>0</v>
      </c>
      <c r="AR167" s="152">
        <f t="shared" si="1684"/>
        <v>79393.47</v>
      </c>
      <c r="AS167" s="152">
        <f t="shared" si="1684"/>
        <v>0</v>
      </c>
      <c r="AT167" s="168">
        <f t="shared" ref="AT167" si="1685">SUM(AQ167:AS167)</f>
        <v>79393.47</v>
      </c>
      <c r="AU167" s="152"/>
      <c r="AV167" s="152"/>
      <c r="AW167" s="152"/>
      <c r="AX167" s="152">
        <f t="shared" ref="AX167" si="1686">SUM(AU167:AW167)</f>
        <v>0</v>
      </c>
      <c r="AY167" s="152"/>
      <c r="AZ167" s="152"/>
      <c r="BA167" s="152"/>
      <c r="BB167" s="152">
        <f t="shared" ref="BB167" si="1687">SUM(AY167:BA167)</f>
        <v>0</v>
      </c>
      <c r="BC167" s="152"/>
      <c r="BD167" s="152">
        <f>1000+50000</f>
        <v>51000</v>
      </c>
      <c r="BE167" s="152"/>
      <c r="BF167" s="152">
        <f t="shared" ref="BF167" si="1688">SUM(BC167:BE167)</f>
        <v>51000</v>
      </c>
      <c r="BG167" s="152"/>
      <c r="BH167" s="152">
        <f>1000+2000+25393.47</f>
        <v>28393.47</v>
      </c>
      <c r="BI167" s="152"/>
      <c r="BJ167" s="152">
        <f t="shared" ref="BJ167" si="1689">SUM(BG167:BI167)</f>
        <v>28393.47</v>
      </c>
      <c r="BK167" s="152">
        <f t="shared" ref="BK167" si="1690">AU167+AY167+BC167+BG167</f>
        <v>0</v>
      </c>
      <c r="BL167" s="152">
        <f t="shared" ref="BL167" si="1691">AV167+AZ167+BD167+BH167</f>
        <v>79393.47</v>
      </c>
      <c r="BM167" s="152">
        <f t="shared" ref="BM167" si="1692">AW167+BA167+BE167+BI167</f>
        <v>0</v>
      </c>
      <c r="BN167" s="152">
        <f t="shared" ref="BN167" si="1693">SUM(BK167:BM167)</f>
        <v>79393.47</v>
      </c>
      <c r="BO167" s="168"/>
      <c r="BP167" s="152">
        <f t="shared" ref="BP167" si="1694">W167-AQ167</f>
        <v>0</v>
      </c>
      <c r="BQ167" s="152">
        <f t="shared" ref="BQ167" si="1695">X167-AR167</f>
        <v>168606.53</v>
      </c>
      <c r="BR167" s="152">
        <f t="shared" ref="BR167" si="1696">Y167-AS167</f>
        <v>0</v>
      </c>
      <c r="BS167" s="168">
        <f t="shared" ref="BS167" si="1697">SUM(BP167:BR167)</f>
        <v>168606.53</v>
      </c>
      <c r="BT167" s="152"/>
      <c r="BU167" s="152"/>
      <c r="BV167" s="152"/>
      <c r="BW167" s="152">
        <f t="shared" ref="BW167" si="1698">SUM(BT167:BV167)</f>
        <v>0</v>
      </c>
      <c r="BX167" s="152">
        <f t="shared" ref="BX167" si="1699">AQ167-BK167-BT167</f>
        <v>0</v>
      </c>
      <c r="BY167" s="152">
        <f t="shared" ref="BY167" si="1700">AR167-BL167-BU167</f>
        <v>0</v>
      </c>
      <c r="BZ167" s="152">
        <f t="shared" ref="BZ167" si="1701">AS167-BM167-BV167</f>
        <v>0</v>
      </c>
      <c r="CA167" s="587">
        <f t="shared" ref="CA167" si="1702">SUM(BX167:BZ167)</f>
        <v>0</v>
      </c>
    </row>
    <row r="168" spans="1:79" ht="14.1" customHeight="1" x14ac:dyDescent="0.2">
      <c r="A168" s="110" t="s">
        <v>521</v>
      </c>
      <c r="B168" s="111"/>
      <c r="C168" s="112"/>
      <c r="D168" s="113"/>
      <c r="E168" s="112"/>
      <c r="F168" s="112"/>
      <c r="G168" s="163">
        <f>G169+G177+G181</f>
        <v>0</v>
      </c>
      <c r="H168" s="163">
        <f t="shared" ref="H168:I168" si="1703">H169+H177+H181</f>
        <v>869079.78</v>
      </c>
      <c r="I168" s="163">
        <f t="shared" si="1703"/>
        <v>0</v>
      </c>
      <c r="J168" s="163">
        <f t="shared" ref="J168" si="1704">J169+J177+J181</f>
        <v>869079.78</v>
      </c>
      <c r="K168" s="163">
        <f>K169+K177+K181</f>
        <v>0</v>
      </c>
      <c r="L168" s="163">
        <f t="shared" ref="L168" si="1705">L169+L177+L181</f>
        <v>0</v>
      </c>
      <c r="M168" s="163">
        <f t="shared" ref="M168" si="1706">M169+M177+M181</f>
        <v>0</v>
      </c>
      <c r="N168" s="163">
        <f t="shared" ref="N168" si="1707">N169+N177+N181</f>
        <v>0</v>
      </c>
      <c r="O168" s="163">
        <f>O169+O177+O181</f>
        <v>0</v>
      </c>
      <c r="P168" s="163">
        <f t="shared" ref="P168" si="1708">P169+P177+P181</f>
        <v>0</v>
      </c>
      <c r="Q168" s="163">
        <f t="shared" ref="Q168" si="1709">Q169+Q177+Q181</f>
        <v>0</v>
      </c>
      <c r="R168" s="163">
        <f t="shared" ref="R168" si="1710">R169+R177+R181</f>
        <v>0</v>
      </c>
      <c r="S168" s="163">
        <f>S169+S177+S181</f>
        <v>0</v>
      </c>
      <c r="T168" s="163">
        <f t="shared" ref="T168" si="1711">T169+T177+T181</f>
        <v>0</v>
      </c>
      <c r="U168" s="163">
        <f t="shared" ref="U168" si="1712">U169+U177+U181</f>
        <v>0</v>
      </c>
      <c r="V168" s="163">
        <f t="shared" ref="V168" si="1713">V169+V177+V181</f>
        <v>0</v>
      </c>
      <c r="W168" s="163">
        <f t="shared" ref="W168" si="1714">W169+W177+W181</f>
        <v>0</v>
      </c>
      <c r="X168" s="163">
        <f t="shared" ref="X168" si="1715">X169+X177+X181</f>
        <v>869079.78</v>
      </c>
      <c r="Y168" s="163">
        <f t="shared" ref="Y168" si="1716">Y169+Y177+Y181</f>
        <v>0</v>
      </c>
      <c r="Z168" s="114">
        <f t="shared" ref="Z168:AD168" si="1717">Z169+Z177+Z181</f>
        <v>869079.78</v>
      </c>
      <c r="AA168" s="163">
        <f t="shared" si="1717"/>
        <v>0</v>
      </c>
      <c r="AB168" s="163">
        <f t="shared" si="1717"/>
        <v>12200</v>
      </c>
      <c r="AC168" s="163">
        <f t="shared" si="1717"/>
        <v>0</v>
      </c>
      <c r="AD168" s="163">
        <f t="shared" si="1717"/>
        <v>12200</v>
      </c>
      <c r="AE168" s="163">
        <f>AE169+AE177+AE181</f>
        <v>0</v>
      </c>
      <c r="AF168" s="163">
        <f t="shared" ref="AF168:AH168" si="1718">AF169+AF177+AF181</f>
        <v>263263.82</v>
      </c>
      <c r="AG168" s="163">
        <f t="shared" si="1718"/>
        <v>0</v>
      </c>
      <c r="AH168" s="163">
        <f t="shared" si="1718"/>
        <v>263263.82</v>
      </c>
      <c r="AI168" s="163">
        <f>AI169+AI177+AI181</f>
        <v>0</v>
      </c>
      <c r="AJ168" s="163">
        <f t="shared" ref="AJ168:AL168" si="1719">AJ169+AJ177+AJ181</f>
        <v>327379.55</v>
      </c>
      <c r="AK168" s="163">
        <f t="shared" si="1719"/>
        <v>0</v>
      </c>
      <c r="AL168" s="163">
        <f t="shared" si="1719"/>
        <v>327379.55</v>
      </c>
      <c r="AM168" s="163">
        <f>AM169+AM177+AM181</f>
        <v>0</v>
      </c>
      <c r="AN168" s="163">
        <f t="shared" ref="AN168:AX168" si="1720">AN169+AN177+AN181</f>
        <v>210704.98</v>
      </c>
      <c r="AO168" s="163">
        <f t="shared" si="1720"/>
        <v>0</v>
      </c>
      <c r="AP168" s="163">
        <f t="shared" si="1720"/>
        <v>210704.98</v>
      </c>
      <c r="AQ168" s="163">
        <f t="shared" si="1720"/>
        <v>0</v>
      </c>
      <c r="AR168" s="163">
        <f t="shared" si="1720"/>
        <v>813548.35</v>
      </c>
      <c r="AS168" s="163">
        <f t="shared" si="1720"/>
        <v>0</v>
      </c>
      <c r="AT168" s="114">
        <f t="shared" si="1720"/>
        <v>813548.35</v>
      </c>
      <c r="AU168" s="163">
        <f t="shared" si="1720"/>
        <v>0</v>
      </c>
      <c r="AV168" s="163">
        <f t="shared" si="1720"/>
        <v>12200</v>
      </c>
      <c r="AW168" s="163">
        <f t="shared" si="1720"/>
        <v>0</v>
      </c>
      <c r="AX168" s="163">
        <f t="shared" si="1720"/>
        <v>12200</v>
      </c>
      <c r="AY168" s="163">
        <f>AY169+AY177+AY181</f>
        <v>0</v>
      </c>
      <c r="AZ168" s="163">
        <f t="shared" ref="AZ168" si="1721">AZ169+AZ177+AZ181</f>
        <v>232303.81999999998</v>
      </c>
      <c r="BA168" s="163">
        <f t="shared" ref="BA168" si="1722">BA169+BA177+BA181</f>
        <v>0</v>
      </c>
      <c r="BB168" s="163">
        <f t="shared" ref="BB168" si="1723">BB169+BB177+BB181</f>
        <v>232303.81999999998</v>
      </c>
      <c r="BC168" s="163">
        <f>BC169+BC177+BC181</f>
        <v>0</v>
      </c>
      <c r="BD168" s="163">
        <f t="shared" ref="BD168" si="1724">BD169+BD177+BD181</f>
        <v>358339.55000000005</v>
      </c>
      <c r="BE168" s="163">
        <f t="shared" ref="BE168" si="1725">BE169+BE177+BE181</f>
        <v>0</v>
      </c>
      <c r="BF168" s="163">
        <f t="shared" ref="BF168" si="1726">BF169+BF177+BF181</f>
        <v>358339.55000000005</v>
      </c>
      <c r="BG168" s="163">
        <f>BG169+BG177+BG181</f>
        <v>0</v>
      </c>
      <c r="BH168" s="163">
        <f t="shared" ref="BH168" si="1727">BH169+BH177+BH181</f>
        <v>210704.98</v>
      </c>
      <c r="BI168" s="163">
        <f t="shared" ref="BI168" si="1728">BI169+BI177+BI181</f>
        <v>0</v>
      </c>
      <c r="BJ168" s="163">
        <f t="shared" ref="BJ168" si="1729">BJ169+BJ177+BJ181</f>
        <v>210704.98</v>
      </c>
      <c r="BK168" s="163">
        <f t="shared" ref="BK168" si="1730">BK169+BK177+BK181</f>
        <v>0</v>
      </c>
      <c r="BL168" s="163">
        <f t="shared" ref="BL168" si="1731">BL169+BL177+BL181</f>
        <v>813548.35</v>
      </c>
      <c r="BM168" s="163">
        <f t="shared" ref="BM168" si="1732">BM169+BM177+BM181</f>
        <v>0</v>
      </c>
      <c r="BN168" s="163">
        <f t="shared" ref="BN168" si="1733">BN169+BN177+BN181</f>
        <v>813548.35</v>
      </c>
      <c r="BO168" s="177">
        <f t="shared" ref="BO168" si="1734">BO169+BO177+BO181</f>
        <v>0</v>
      </c>
      <c r="BP168" s="163">
        <f t="shared" ref="BP168" si="1735">BP169+BP177+BP181</f>
        <v>0</v>
      </c>
      <c r="BQ168" s="163">
        <f t="shared" ref="BQ168" si="1736">BQ169+BQ177+BQ181</f>
        <v>55531.429999999993</v>
      </c>
      <c r="BR168" s="163">
        <f t="shared" ref="BR168" si="1737">BR169+BR177+BR181</f>
        <v>0</v>
      </c>
      <c r="BS168" s="114">
        <f t="shared" ref="BS168" si="1738">BS169+BS177+BS181</f>
        <v>55531.429999999993</v>
      </c>
      <c r="BT168" s="163">
        <f>BT169+BT177+BT181</f>
        <v>0</v>
      </c>
      <c r="BU168" s="163">
        <f t="shared" ref="BU168" si="1739">BU169+BU177+BU181</f>
        <v>205</v>
      </c>
      <c r="BV168" s="163">
        <f t="shared" ref="BV168" si="1740">BV169+BV177+BV181</f>
        <v>0</v>
      </c>
      <c r="BW168" s="163">
        <f t="shared" ref="BW168" si="1741">BW169+BW177+BW181</f>
        <v>205</v>
      </c>
      <c r="BX168" s="163">
        <f t="shared" ref="BX168" si="1742">BX169+BX177+BX181</f>
        <v>0</v>
      </c>
      <c r="BY168" s="163">
        <f t="shared" ref="BY168" si="1743">BY169+BY177+BY181</f>
        <v>-205</v>
      </c>
      <c r="BZ168" s="163">
        <f t="shared" ref="BZ168" si="1744">BZ169+BZ177+BZ181</f>
        <v>0</v>
      </c>
      <c r="CA168" s="141">
        <f t="shared" ref="CA168" si="1745">CA169+CA177+CA181</f>
        <v>-205</v>
      </c>
    </row>
    <row r="169" spans="1:79" ht="14.1" customHeight="1" x14ac:dyDescent="0.2">
      <c r="A169" s="511" t="s">
        <v>101</v>
      </c>
      <c r="B169" s="512" t="s">
        <v>102</v>
      </c>
      <c r="C169" s="512"/>
      <c r="D169" s="512"/>
      <c r="E169" s="513"/>
      <c r="F169" s="514"/>
      <c r="G169" s="584">
        <f t="shared" ref="G169:I169" si="1746">G170+G175</f>
        <v>0</v>
      </c>
      <c r="H169" s="584">
        <f t="shared" si="1746"/>
        <v>175745.85</v>
      </c>
      <c r="I169" s="584">
        <f t="shared" si="1746"/>
        <v>0</v>
      </c>
      <c r="J169" s="584">
        <f t="shared" ref="J169:BR169" si="1747">J170+J175</f>
        <v>175745.85</v>
      </c>
      <c r="K169" s="584">
        <f t="shared" ref="K169:V169" si="1748">K170+K175</f>
        <v>0</v>
      </c>
      <c r="L169" s="584">
        <f t="shared" si="1748"/>
        <v>0</v>
      </c>
      <c r="M169" s="584">
        <f t="shared" si="1748"/>
        <v>0</v>
      </c>
      <c r="N169" s="584">
        <f t="shared" si="1748"/>
        <v>0</v>
      </c>
      <c r="O169" s="584">
        <f t="shared" si="1748"/>
        <v>0</v>
      </c>
      <c r="P169" s="584">
        <f t="shared" si="1748"/>
        <v>0</v>
      </c>
      <c r="Q169" s="584">
        <f t="shared" si="1748"/>
        <v>0</v>
      </c>
      <c r="R169" s="584">
        <f t="shared" si="1748"/>
        <v>0</v>
      </c>
      <c r="S169" s="584">
        <f t="shared" si="1748"/>
        <v>0</v>
      </c>
      <c r="T169" s="584">
        <f t="shared" si="1748"/>
        <v>0</v>
      </c>
      <c r="U169" s="584">
        <f t="shared" si="1748"/>
        <v>0</v>
      </c>
      <c r="V169" s="584">
        <f t="shared" si="1748"/>
        <v>0</v>
      </c>
      <c r="W169" s="584">
        <f t="shared" si="1747"/>
        <v>0</v>
      </c>
      <c r="X169" s="584">
        <f t="shared" si="1747"/>
        <v>175745.85</v>
      </c>
      <c r="Y169" s="584">
        <f t="shared" si="1747"/>
        <v>0</v>
      </c>
      <c r="Z169" s="585">
        <f t="shared" si="1747"/>
        <v>175745.85</v>
      </c>
      <c r="AA169" s="584">
        <f t="shared" si="1747"/>
        <v>0</v>
      </c>
      <c r="AB169" s="584">
        <f t="shared" si="1747"/>
        <v>9800</v>
      </c>
      <c r="AC169" s="584">
        <f t="shared" si="1747"/>
        <v>0</v>
      </c>
      <c r="AD169" s="584">
        <f t="shared" si="1747"/>
        <v>9800</v>
      </c>
      <c r="AE169" s="584">
        <f t="shared" si="1747"/>
        <v>0</v>
      </c>
      <c r="AF169" s="584">
        <f t="shared" si="1747"/>
        <v>22256.37</v>
      </c>
      <c r="AG169" s="584">
        <f t="shared" si="1747"/>
        <v>0</v>
      </c>
      <c r="AH169" s="584">
        <f t="shared" si="1747"/>
        <v>22256.37</v>
      </c>
      <c r="AI169" s="584">
        <f t="shared" si="1747"/>
        <v>0</v>
      </c>
      <c r="AJ169" s="584">
        <f t="shared" si="1747"/>
        <v>89881.66</v>
      </c>
      <c r="AK169" s="584">
        <f t="shared" si="1747"/>
        <v>0</v>
      </c>
      <c r="AL169" s="584">
        <f t="shared" si="1747"/>
        <v>89881.66</v>
      </c>
      <c r="AM169" s="584">
        <f t="shared" si="1747"/>
        <v>0</v>
      </c>
      <c r="AN169" s="584">
        <f t="shared" si="1747"/>
        <v>31807.82</v>
      </c>
      <c r="AO169" s="584">
        <f t="shared" si="1747"/>
        <v>0</v>
      </c>
      <c r="AP169" s="584">
        <f t="shared" si="1747"/>
        <v>31807.82</v>
      </c>
      <c r="AQ169" s="584">
        <f t="shared" si="1747"/>
        <v>0</v>
      </c>
      <c r="AR169" s="584">
        <f t="shared" si="1747"/>
        <v>153745.85</v>
      </c>
      <c r="AS169" s="584">
        <f t="shared" si="1747"/>
        <v>0</v>
      </c>
      <c r="AT169" s="585">
        <f t="shared" si="1747"/>
        <v>153745.85</v>
      </c>
      <c r="AU169" s="584">
        <f t="shared" si="1747"/>
        <v>0</v>
      </c>
      <c r="AV169" s="584">
        <f t="shared" si="1747"/>
        <v>9800</v>
      </c>
      <c r="AW169" s="584">
        <f t="shared" si="1747"/>
        <v>0</v>
      </c>
      <c r="AX169" s="584">
        <f t="shared" si="1747"/>
        <v>9800</v>
      </c>
      <c r="AY169" s="584">
        <f t="shared" ref="AY169:BJ169" si="1749">AY170+AY175</f>
        <v>0</v>
      </c>
      <c r="AZ169" s="584">
        <f t="shared" si="1749"/>
        <v>22256.37</v>
      </c>
      <c r="BA169" s="584">
        <f t="shared" si="1749"/>
        <v>0</v>
      </c>
      <c r="BB169" s="584">
        <f t="shared" si="1749"/>
        <v>22256.37</v>
      </c>
      <c r="BC169" s="584">
        <f t="shared" si="1749"/>
        <v>0</v>
      </c>
      <c r="BD169" s="584">
        <f t="shared" si="1749"/>
        <v>89881.66</v>
      </c>
      <c r="BE169" s="584">
        <f t="shared" si="1749"/>
        <v>0</v>
      </c>
      <c r="BF169" s="584">
        <f t="shared" si="1749"/>
        <v>89881.66</v>
      </c>
      <c r="BG169" s="584">
        <f t="shared" si="1749"/>
        <v>0</v>
      </c>
      <c r="BH169" s="584">
        <f t="shared" si="1749"/>
        <v>31807.82</v>
      </c>
      <c r="BI169" s="584">
        <f t="shared" si="1749"/>
        <v>0</v>
      </c>
      <c r="BJ169" s="584">
        <f t="shared" si="1749"/>
        <v>31807.82</v>
      </c>
      <c r="BK169" s="584">
        <f t="shared" si="1747"/>
        <v>0</v>
      </c>
      <c r="BL169" s="584">
        <f t="shared" si="1747"/>
        <v>153745.85</v>
      </c>
      <c r="BM169" s="584">
        <f t="shared" si="1747"/>
        <v>0</v>
      </c>
      <c r="BN169" s="584">
        <f t="shared" si="1747"/>
        <v>153745.85</v>
      </c>
      <c r="BO169" s="585">
        <f t="shared" si="1747"/>
        <v>0</v>
      </c>
      <c r="BP169" s="584">
        <f t="shared" si="1747"/>
        <v>0</v>
      </c>
      <c r="BQ169" s="584">
        <f t="shared" si="1747"/>
        <v>21999.999999999993</v>
      </c>
      <c r="BR169" s="584">
        <f t="shared" si="1747"/>
        <v>0</v>
      </c>
      <c r="BS169" s="585">
        <f t="shared" ref="BS169:CA169" si="1750">BS170+BS175</f>
        <v>21999.999999999993</v>
      </c>
      <c r="BT169" s="584">
        <f t="shared" si="1750"/>
        <v>0</v>
      </c>
      <c r="BU169" s="584">
        <f t="shared" si="1750"/>
        <v>0</v>
      </c>
      <c r="BV169" s="584">
        <f t="shared" si="1750"/>
        <v>0</v>
      </c>
      <c r="BW169" s="584">
        <f t="shared" si="1750"/>
        <v>0</v>
      </c>
      <c r="BX169" s="584">
        <f t="shared" si="1750"/>
        <v>0</v>
      </c>
      <c r="BY169" s="584">
        <f t="shared" si="1750"/>
        <v>0</v>
      </c>
      <c r="BZ169" s="584">
        <f t="shared" si="1750"/>
        <v>0</v>
      </c>
      <c r="CA169" s="586">
        <f t="shared" si="1750"/>
        <v>0</v>
      </c>
    </row>
    <row r="170" spans="1:79" ht="14.1" customHeight="1" x14ac:dyDescent="0.2">
      <c r="A170" s="542" t="s">
        <v>103</v>
      </c>
      <c r="B170" s="535" t="s">
        <v>104</v>
      </c>
      <c r="C170" s="535"/>
      <c r="D170" s="535"/>
      <c r="E170" s="543"/>
      <c r="F170" s="537"/>
      <c r="G170" s="538">
        <f t="shared" ref="G170" si="1751">SUM(G171:G174)</f>
        <v>0</v>
      </c>
      <c r="H170" s="538">
        <f t="shared" ref="H170:I170" si="1752">SUM(H171:H174)</f>
        <v>175745.85</v>
      </c>
      <c r="I170" s="538">
        <f t="shared" si="1752"/>
        <v>0</v>
      </c>
      <c r="J170" s="538">
        <f t="shared" ref="J170" si="1753">SUM(J171:J174)</f>
        <v>175745.85</v>
      </c>
      <c r="K170" s="538">
        <f t="shared" ref="K170:V170" si="1754">SUM(K171:K174)</f>
        <v>0</v>
      </c>
      <c r="L170" s="538">
        <f t="shared" si="1754"/>
        <v>0</v>
      </c>
      <c r="M170" s="538">
        <f t="shared" si="1754"/>
        <v>0</v>
      </c>
      <c r="N170" s="538">
        <f t="shared" si="1754"/>
        <v>0</v>
      </c>
      <c r="O170" s="538">
        <f t="shared" si="1754"/>
        <v>0</v>
      </c>
      <c r="P170" s="538">
        <f t="shared" si="1754"/>
        <v>0</v>
      </c>
      <c r="Q170" s="538">
        <f t="shared" si="1754"/>
        <v>0</v>
      </c>
      <c r="R170" s="538">
        <f t="shared" si="1754"/>
        <v>0</v>
      </c>
      <c r="S170" s="538">
        <f t="shared" si="1754"/>
        <v>0</v>
      </c>
      <c r="T170" s="538">
        <f t="shared" si="1754"/>
        <v>0</v>
      </c>
      <c r="U170" s="538">
        <f t="shared" si="1754"/>
        <v>0</v>
      </c>
      <c r="V170" s="538">
        <f t="shared" si="1754"/>
        <v>0</v>
      </c>
      <c r="W170" s="538">
        <f t="shared" ref="W170:BR170" si="1755">SUM(W171:W174)</f>
        <v>0</v>
      </c>
      <c r="X170" s="538">
        <f t="shared" si="1755"/>
        <v>175745.85</v>
      </c>
      <c r="Y170" s="538">
        <f t="shared" si="1755"/>
        <v>0</v>
      </c>
      <c r="Z170" s="540">
        <f t="shared" si="1755"/>
        <v>175745.85</v>
      </c>
      <c r="AA170" s="538">
        <f t="shared" si="1755"/>
        <v>0</v>
      </c>
      <c r="AB170" s="538">
        <f t="shared" si="1755"/>
        <v>9800</v>
      </c>
      <c r="AC170" s="538">
        <f t="shared" si="1755"/>
        <v>0</v>
      </c>
      <c r="AD170" s="538">
        <f t="shared" si="1755"/>
        <v>9800</v>
      </c>
      <c r="AE170" s="538">
        <f t="shared" si="1755"/>
        <v>0</v>
      </c>
      <c r="AF170" s="538">
        <f t="shared" si="1755"/>
        <v>22256.37</v>
      </c>
      <c r="AG170" s="538">
        <f t="shared" si="1755"/>
        <v>0</v>
      </c>
      <c r="AH170" s="538">
        <f t="shared" si="1755"/>
        <v>22256.37</v>
      </c>
      <c r="AI170" s="538">
        <f t="shared" si="1755"/>
        <v>0</v>
      </c>
      <c r="AJ170" s="538">
        <f t="shared" si="1755"/>
        <v>89881.66</v>
      </c>
      <c r="AK170" s="538">
        <f t="shared" si="1755"/>
        <v>0</v>
      </c>
      <c r="AL170" s="538">
        <f t="shared" si="1755"/>
        <v>89881.66</v>
      </c>
      <c r="AM170" s="538">
        <f t="shared" si="1755"/>
        <v>0</v>
      </c>
      <c r="AN170" s="538">
        <f t="shared" si="1755"/>
        <v>31807.82</v>
      </c>
      <c r="AO170" s="538">
        <f t="shared" si="1755"/>
        <v>0</v>
      </c>
      <c r="AP170" s="538">
        <f t="shared" si="1755"/>
        <v>31807.82</v>
      </c>
      <c r="AQ170" s="538">
        <f t="shared" si="1755"/>
        <v>0</v>
      </c>
      <c r="AR170" s="538">
        <f t="shared" si="1755"/>
        <v>153745.85</v>
      </c>
      <c r="AS170" s="538">
        <f t="shared" si="1755"/>
        <v>0</v>
      </c>
      <c r="AT170" s="540">
        <f t="shared" si="1755"/>
        <v>153745.85</v>
      </c>
      <c r="AU170" s="538">
        <f t="shared" si="1755"/>
        <v>0</v>
      </c>
      <c r="AV170" s="538">
        <f t="shared" si="1755"/>
        <v>9800</v>
      </c>
      <c r="AW170" s="538">
        <f t="shared" si="1755"/>
        <v>0</v>
      </c>
      <c r="AX170" s="538">
        <f t="shared" si="1755"/>
        <v>9800</v>
      </c>
      <c r="AY170" s="538">
        <f t="shared" si="1755"/>
        <v>0</v>
      </c>
      <c r="AZ170" s="538">
        <f t="shared" si="1755"/>
        <v>22256.37</v>
      </c>
      <c r="BA170" s="538">
        <f t="shared" si="1755"/>
        <v>0</v>
      </c>
      <c r="BB170" s="538">
        <f t="shared" si="1755"/>
        <v>22256.37</v>
      </c>
      <c r="BC170" s="538">
        <f t="shared" si="1755"/>
        <v>0</v>
      </c>
      <c r="BD170" s="538">
        <f t="shared" si="1755"/>
        <v>89881.66</v>
      </c>
      <c r="BE170" s="538">
        <f t="shared" si="1755"/>
        <v>0</v>
      </c>
      <c r="BF170" s="538">
        <f t="shared" si="1755"/>
        <v>89881.66</v>
      </c>
      <c r="BG170" s="538">
        <f t="shared" si="1755"/>
        <v>0</v>
      </c>
      <c r="BH170" s="538">
        <f t="shared" si="1755"/>
        <v>31807.82</v>
      </c>
      <c r="BI170" s="538">
        <f t="shared" si="1755"/>
        <v>0</v>
      </c>
      <c r="BJ170" s="538">
        <f t="shared" si="1755"/>
        <v>31807.82</v>
      </c>
      <c r="BK170" s="538">
        <f t="shared" si="1755"/>
        <v>0</v>
      </c>
      <c r="BL170" s="538">
        <f t="shared" si="1755"/>
        <v>153745.85</v>
      </c>
      <c r="BM170" s="538">
        <f t="shared" si="1755"/>
        <v>0</v>
      </c>
      <c r="BN170" s="538">
        <f t="shared" si="1755"/>
        <v>153745.85</v>
      </c>
      <c r="BO170" s="540">
        <f t="shared" si="1755"/>
        <v>0</v>
      </c>
      <c r="BP170" s="538">
        <f t="shared" si="1755"/>
        <v>0</v>
      </c>
      <c r="BQ170" s="538">
        <f t="shared" si="1755"/>
        <v>21999.999999999993</v>
      </c>
      <c r="BR170" s="538">
        <f t="shared" si="1755"/>
        <v>0</v>
      </c>
      <c r="BS170" s="540">
        <f t="shared" ref="BS170:CA170" si="1756">SUM(BS171:BS174)</f>
        <v>21999.999999999993</v>
      </c>
      <c r="BT170" s="538">
        <f t="shared" ref="BT170:BW170" si="1757">SUM(BT171:BT174)</f>
        <v>0</v>
      </c>
      <c r="BU170" s="538">
        <f t="shared" si="1757"/>
        <v>0</v>
      </c>
      <c r="BV170" s="538">
        <f t="shared" si="1757"/>
        <v>0</v>
      </c>
      <c r="BW170" s="538">
        <f t="shared" si="1757"/>
        <v>0</v>
      </c>
      <c r="BX170" s="538">
        <f t="shared" si="1756"/>
        <v>0</v>
      </c>
      <c r="BY170" s="538">
        <f t="shared" si="1756"/>
        <v>0</v>
      </c>
      <c r="BZ170" s="538">
        <f t="shared" si="1756"/>
        <v>0</v>
      </c>
      <c r="CA170" s="541">
        <f t="shared" si="1756"/>
        <v>0</v>
      </c>
    </row>
    <row r="171" spans="1:79" ht="14.1" customHeight="1" x14ac:dyDescent="0.2">
      <c r="A171" s="121" t="s">
        <v>105</v>
      </c>
      <c r="B171" s="71">
        <v>1</v>
      </c>
      <c r="C171" s="568" t="s">
        <v>106</v>
      </c>
      <c r="D171" s="568"/>
      <c r="E171" s="72"/>
      <c r="G171" s="152"/>
      <c r="H171" s="152">
        <v>160679.06</v>
      </c>
      <c r="I171" s="152"/>
      <c r="J171" s="152">
        <f>SUM(G171:I171)</f>
        <v>160679.06</v>
      </c>
      <c r="K171" s="152"/>
      <c r="L171" s="152"/>
      <c r="M171" s="152"/>
      <c r="N171" s="152">
        <f>SUM(K171:M171)</f>
        <v>0</v>
      </c>
      <c r="O171" s="152"/>
      <c r="P171" s="152"/>
      <c r="Q171" s="152"/>
      <c r="R171" s="152">
        <f>SUM(O171:Q171)</f>
        <v>0</v>
      </c>
      <c r="S171" s="152"/>
      <c r="T171" s="152"/>
      <c r="U171" s="152"/>
      <c r="V171" s="152">
        <f>SUM(S171:U171)</f>
        <v>0</v>
      </c>
      <c r="W171" s="152">
        <f>G171-O171+S171+K171</f>
        <v>0</v>
      </c>
      <c r="X171" s="152">
        <f t="shared" ref="X171:X174" si="1758">H171-P171+T171+L171</f>
        <v>160679.06</v>
      </c>
      <c r="Y171" s="152">
        <f t="shared" ref="Y171:Y174" si="1759">I171-Q171+U171+M171</f>
        <v>0</v>
      </c>
      <c r="Z171" s="168">
        <f>SUM(W171:Y171)</f>
        <v>160679.06</v>
      </c>
      <c r="AA171" s="152"/>
      <c r="AB171" s="152">
        <f>3000+3000+3000+800</f>
        <v>9800</v>
      </c>
      <c r="AC171" s="152"/>
      <c r="AD171" s="152">
        <f>SUM(AA171:AC171)</f>
        <v>9800</v>
      </c>
      <c r="AE171" s="152"/>
      <c r="AF171" s="152">
        <f>11815.32+1858.12+2102.93+1680</f>
        <v>17456.37</v>
      </c>
      <c r="AG171" s="152"/>
      <c r="AH171" s="152">
        <f>SUM(AE171:AG171)</f>
        <v>17456.37</v>
      </c>
      <c r="AI171" s="152"/>
      <c r="AJ171" s="152">
        <f>76469.3+675+2843.39</f>
        <v>79987.69</v>
      </c>
      <c r="AK171" s="152"/>
      <c r="AL171" s="152">
        <f>SUM(AI171:AK171)</f>
        <v>79987.69</v>
      </c>
      <c r="AM171" s="152"/>
      <c r="AN171" s="152">
        <v>31807.82</v>
      </c>
      <c r="AO171" s="152"/>
      <c r="AP171" s="152">
        <f>SUM(AM171:AO171)</f>
        <v>31807.82</v>
      </c>
      <c r="AQ171" s="152">
        <f t="shared" ref="AQ171:AS174" si="1760">AA171+AE171+AI171+AM171</f>
        <v>0</v>
      </c>
      <c r="AR171" s="152">
        <f t="shared" si="1760"/>
        <v>139051.88</v>
      </c>
      <c r="AS171" s="152">
        <f t="shared" si="1760"/>
        <v>0</v>
      </c>
      <c r="AT171" s="168">
        <f>SUM(AQ171:AS171)</f>
        <v>139051.88</v>
      </c>
      <c r="AU171" s="152"/>
      <c r="AV171" s="152">
        <f>3000+3000+3000+800</f>
        <v>9800</v>
      </c>
      <c r="AW171" s="152"/>
      <c r="AX171" s="152">
        <f>SUM(AU171:AW171)</f>
        <v>9800</v>
      </c>
      <c r="AY171" s="152"/>
      <c r="AZ171" s="152">
        <f>11815.32+2102.93+1858.12+1680</f>
        <v>17456.37</v>
      </c>
      <c r="BA171" s="152"/>
      <c r="BB171" s="152">
        <f>SUM(AY171:BA171)</f>
        <v>17456.37</v>
      </c>
      <c r="BC171" s="152"/>
      <c r="BD171" s="152">
        <f>76469.3+675+2843.39</f>
        <v>79987.69</v>
      </c>
      <c r="BE171" s="152"/>
      <c r="BF171" s="152">
        <f>SUM(BC171:BE171)</f>
        <v>79987.69</v>
      </c>
      <c r="BG171" s="152"/>
      <c r="BH171" s="152">
        <f>1807.82+30000</f>
        <v>31807.82</v>
      </c>
      <c r="BI171" s="152"/>
      <c r="BJ171" s="152">
        <f>SUM(BG171:BI171)</f>
        <v>31807.82</v>
      </c>
      <c r="BK171" s="152">
        <f t="shared" ref="BK171:BK174" si="1761">AU171+AY171+BC171+BG171</f>
        <v>0</v>
      </c>
      <c r="BL171" s="152">
        <f t="shared" ref="BL171:BL174" si="1762">AV171+AZ171+BD171+BH171</f>
        <v>139051.88</v>
      </c>
      <c r="BM171" s="152">
        <f t="shared" ref="BM171:BM174" si="1763">AW171+BA171+BE171+BI171</f>
        <v>0</v>
      </c>
      <c r="BN171" s="152">
        <f>SUM(BK171:BM171)</f>
        <v>139051.88</v>
      </c>
      <c r="BO171" s="168"/>
      <c r="BP171" s="152">
        <f t="shared" ref="BP171:BP174" si="1764">W171-AQ171</f>
        <v>0</v>
      </c>
      <c r="BQ171" s="152">
        <f t="shared" ref="BQ171:BQ174" si="1765">X171-AR171</f>
        <v>21627.179999999993</v>
      </c>
      <c r="BR171" s="152">
        <f t="shared" ref="BR171:BR174" si="1766">Y171-AS171</f>
        <v>0</v>
      </c>
      <c r="BS171" s="168">
        <f>SUM(BP171:BR171)</f>
        <v>21627.179999999993</v>
      </c>
      <c r="BT171" s="152"/>
      <c r="BU171" s="152"/>
      <c r="BV171" s="152"/>
      <c r="BW171" s="152">
        <f>SUM(BT171:BV171)</f>
        <v>0</v>
      </c>
      <c r="BX171" s="152">
        <f t="shared" ref="BX171:BX174" si="1767">AQ171-BK171-BT171</f>
        <v>0</v>
      </c>
      <c r="BY171" s="152">
        <f t="shared" ref="BY171:BY174" si="1768">AR171-BL171-BU171</f>
        <v>0</v>
      </c>
      <c r="BZ171" s="152">
        <f t="shared" ref="BZ171:BZ174" si="1769">AS171-BM171-BV171</f>
        <v>0</v>
      </c>
      <c r="CA171" s="587">
        <f t="shared" ref="CA171:CA174" si="1770">SUM(BX171:BZ171)</f>
        <v>0</v>
      </c>
    </row>
    <row r="172" spans="1:79" ht="14.1" customHeight="1" x14ac:dyDescent="0.2">
      <c r="A172" s="121" t="s">
        <v>107</v>
      </c>
      <c r="B172" s="71">
        <v>2</v>
      </c>
      <c r="C172" s="69" t="s">
        <v>108</v>
      </c>
      <c r="D172" s="78"/>
      <c r="E172" s="75"/>
      <c r="G172" s="152"/>
      <c r="H172" s="152">
        <v>15066.79</v>
      </c>
      <c r="I172" s="152"/>
      <c r="J172" s="152">
        <f t="shared" ref="J172:J174" si="1771">SUM(G172:I172)</f>
        <v>15066.79</v>
      </c>
      <c r="K172" s="152"/>
      <c r="L172" s="152"/>
      <c r="M172" s="152"/>
      <c r="N172" s="152">
        <f t="shared" ref="N172:N174" si="1772">SUM(K172:M172)</f>
        <v>0</v>
      </c>
      <c r="O172" s="152"/>
      <c r="P172" s="152"/>
      <c r="Q172" s="152"/>
      <c r="R172" s="152">
        <f t="shared" ref="R172:R174" si="1773">SUM(O172:Q172)</f>
        <v>0</v>
      </c>
      <c r="S172" s="152"/>
      <c r="T172" s="152"/>
      <c r="U172" s="152"/>
      <c r="V172" s="152">
        <f t="shared" ref="V172:V174" si="1774">SUM(S172:U172)</f>
        <v>0</v>
      </c>
      <c r="W172" s="152">
        <f>G172-O172+S172+K172</f>
        <v>0</v>
      </c>
      <c r="X172" s="152">
        <f t="shared" si="1758"/>
        <v>15066.79</v>
      </c>
      <c r="Y172" s="152">
        <f t="shared" si="1759"/>
        <v>0</v>
      </c>
      <c r="Z172" s="168">
        <f>SUM(W172:Y172)</f>
        <v>15066.79</v>
      </c>
      <c r="AA172" s="152"/>
      <c r="AB172" s="152"/>
      <c r="AC172" s="152"/>
      <c r="AD172" s="152">
        <f t="shared" ref="AD172:AD174" si="1775">SUM(AA172:AC172)</f>
        <v>0</v>
      </c>
      <c r="AE172" s="152"/>
      <c r="AF172" s="152">
        <f>4800</f>
        <v>4800</v>
      </c>
      <c r="AG172" s="152"/>
      <c r="AH172" s="152">
        <f t="shared" ref="AH172:AH174" si="1776">SUM(AE172:AG172)</f>
        <v>4800</v>
      </c>
      <c r="AI172" s="152"/>
      <c r="AJ172" s="152">
        <f>10266.79-372.82</f>
        <v>9893.9700000000012</v>
      </c>
      <c r="AK172" s="152"/>
      <c r="AL172" s="152">
        <f t="shared" ref="AL172:AL174" si="1777">SUM(AI172:AK172)</f>
        <v>9893.9700000000012</v>
      </c>
      <c r="AM172" s="152"/>
      <c r="AN172" s="152"/>
      <c r="AO172" s="152"/>
      <c r="AP172" s="152">
        <f t="shared" ref="AP172:AP174" si="1778">SUM(AM172:AO172)</f>
        <v>0</v>
      </c>
      <c r="AQ172" s="152">
        <f t="shared" si="1760"/>
        <v>0</v>
      </c>
      <c r="AR172" s="152">
        <f t="shared" si="1760"/>
        <v>14693.970000000001</v>
      </c>
      <c r="AS172" s="152">
        <f t="shared" si="1760"/>
        <v>0</v>
      </c>
      <c r="AT172" s="168">
        <f>SUM(AQ172:AS172)</f>
        <v>14693.970000000001</v>
      </c>
      <c r="AU172" s="152"/>
      <c r="AV172" s="152"/>
      <c r="AW172" s="152"/>
      <c r="AX172" s="152">
        <f t="shared" ref="AX172:AX174" si="1779">SUM(AU172:AW172)</f>
        <v>0</v>
      </c>
      <c r="AY172" s="152"/>
      <c r="AZ172" s="152">
        <v>4800</v>
      </c>
      <c r="BA172" s="152"/>
      <c r="BB172" s="152">
        <f t="shared" ref="BB172:BB174" si="1780">SUM(AY172:BA172)</f>
        <v>4800</v>
      </c>
      <c r="BC172" s="152"/>
      <c r="BD172" s="152">
        <f>10266.79-372.82</f>
        <v>9893.9700000000012</v>
      </c>
      <c r="BE172" s="152"/>
      <c r="BF172" s="152">
        <f t="shared" ref="BF172:BF174" si="1781">SUM(BC172:BE172)</f>
        <v>9893.9700000000012</v>
      </c>
      <c r="BG172" s="152"/>
      <c r="BH172" s="152"/>
      <c r="BI172" s="152"/>
      <c r="BJ172" s="152">
        <f t="shared" ref="BJ172:BJ174" si="1782">SUM(BG172:BI172)</f>
        <v>0</v>
      </c>
      <c r="BK172" s="152">
        <f t="shared" si="1761"/>
        <v>0</v>
      </c>
      <c r="BL172" s="152">
        <f t="shared" si="1762"/>
        <v>14693.970000000001</v>
      </c>
      <c r="BM172" s="152">
        <f t="shared" si="1763"/>
        <v>0</v>
      </c>
      <c r="BN172" s="152">
        <f>SUM(BK172:BM172)</f>
        <v>14693.970000000001</v>
      </c>
      <c r="BO172" s="168"/>
      <c r="BP172" s="152">
        <f t="shared" si="1764"/>
        <v>0</v>
      </c>
      <c r="BQ172" s="152">
        <f t="shared" si="1765"/>
        <v>372.81999999999971</v>
      </c>
      <c r="BR172" s="152">
        <f t="shared" si="1766"/>
        <v>0</v>
      </c>
      <c r="BS172" s="168">
        <f>SUM(BP172:BR172)</f>
        <v>372.81999999999971</v>
      </c>
      <c r="BT172" s="152"/>
      <c r="BU172" s="152"/>
      <c r="BV172" s="152"/>
      <c r="BW172" s="152">
        <f t="shared" ref="BW172:BW174" si="1783">SUM(BT172:BV172)</f>
        <v>0</v>
      </c>
      <c r="BX172" s="152">
        <f t="shared" si="1767"/>
        <v>0</v>
      </c>
      <c r="BY172" s="152">
        <f t="shared" si="1768"/>
        <v>0</v>
      </c>
      <c r="BZ172" s="152">
        <f t="shared" si="1769"/>
        <v>0</v>
      </c>
      <c r="CA172" s="587">
        <f t="shared" si="1770"/>
        <v>0</v>
      </c>
    </row>
    <row r="173" spans="1:79" ht="14.1" customHeight="1" x14ac:dyDescent="0.2">
      <c r="A173" s="121" t="s">
        <v>109</v>
      </c>
      <c r="B173" s="71">
        <v>3</v>
      </c>
      <c r="C173" s="69" t="s">
        <v>115</v>
      </c>
      <c r="D173" s="69"/>
      <c r="E173" s="79"/>
      <c r="G173" s="152"/>
      <c r="H173" s="152"/>
      <c r="I173" s="152"/>
      <c r="J173" s="152">
        <f t="shared" si="1771"/>
        <v>0</v>
      </c>
      <c r="K173" s="152"/>
      <c r="L173" s="152"/>
      <c r="M173" s="152"/>
      <c r="N173" s="152">
        <f t="shared" si="1772"/>
        <v>0</v>
      </c>
      <c r="O173" s="152"/>
      <c r="P173" s="152"/>
      <c r="Q173" s="152"/>
      <c r="R173" s="152">
        <f t="shared" si="1773"/>
        <v>0</v>
      </c>
      <c r="S173" s="152"/>
      <c r="T173" s="152"/>
      <c r="U173" s="152"/>
      <c r="V173" s="152">
        <f t="shared" si="1774"/>
        <v>0</v>
      </c>
      <c r="W173" s="152">
        <f>G173-O173+S173+K173</f>
        <v>0</v>
      </c>
      <c r="X173" s="152">
        <f t="shared" si="1758"/>
        <v>0</v>
      </c>
      <c r="Y173" s="152">
        <f t="shared" si="1759"/>
        <v>0</v>
      </c>
      <c r="Z173" s="168">
        <f>SUM(W173:Y173)</f>
        <v>0</v>
      </c>
      <c r="AA173" s="152"/>
      <c r="AB173" s="152"/>
      <c r="AC173" s="152"/>
      <c r="AD173" s="152">
        <f t="shared" si="1775"/>
        <v>0</v>
      </c>
      <c r="AE173" s="152"/>
      <c r="AF173" s="152"/>
      <c r="AG173" s="152"/>
      <c r="AH173" s="152">
        <f t="shared" si="1776"/>
        <v>0</v>
      </c>
      <c r="AI173" s="152"/>
      <c r="AJ173" s="152"/>
      <c r="AK173" s="152"/>
      <c r="AL173" s="152">
        <f t="shared" si="1777"/>
        <v>0</v>
      </c>
      <c r="AM173" s="152"/>
      <c r="AN173" s="152"/>
      <c r="AO173" s="152"/>
      <c r="AP173" s="152">
        <f t="shared" si="1778"/>
        <v>0</v>
      </c>
      <c r="AQ173" s="152">
        <f t="shared" si="1760"/>
        <v>0</v>
      </c>
      <c r="AR173" s="152">
        <f t="shared" si="1760"/>
        <v>0</v>
      </c>
      <c r="AS173" s="152">
        <f t="shared" si="1760"/>
        <v>0</v>
      </c>
      <c r="AT173" s="168">
        <f>SUM(AQ173:AS173)</f>
        <v>0</v>
      </c>
      <c r="AU173" s="152"/>
      <c r="AV173" s="152"/>
      <c r="AW173" s="152"/>
      <c r="AX173" s="152">
        <f t="shared" si="1779"/>
        <v>0</v>
      </c>
      <c r="AY173" s="152"/>
      <c r="AZ173" s="152"/>
      <c r="BA173" s="152"/>
      <c r="BB173" s="152">
        <f t="shared" si="1780"/>
        <v>0</v>
      </c>
      <c r="BC173" s="152"/>
      <c r="BD173" s="152"/>
      <c r="BE173" s="152"/>
      <c r="BF173" s="152">
        <f t="shared" si="1781"/>
        <v>0</v>
      </c>
      <c r="BG173" s="152"/>
      <c r="BH173" s="152"/>
      <c r="BI173" s="152"/>
      <c r="BJ173" s="152">
        <f t="shared" si="1782"/>
        <v>0</v>
      </c>
      <c r="BK173" s="152">
        <f t="shared" si="1761"/>
        <v>0</v>
      </c>
      <c r="BL173" s="152">
        <f t="shared" si="1762"/>
        <v>0</v>
      </c>
      <c r="BM173" s="152">
        <f t="shared" si="1763"/>
        <v>0</v>
      </c>
      <c r="BN173" s="152">
        <f>SUM(BK173:BM173)</f>
        <v>0</v>
      </c>
      <c r="BO173" s="168"/>
      <c r="BP173" s="152">
        <f t="shared" si="1764"/>
        <v>0</v>
      </c>
      <c r="BQ173" s="152">
        <f t="shared" si="1765"/>
        <v>0</v>
      </c>
      <c r="BR173" s="152">
        <f t="shared" si="1766"/>
        <v>0</v>
      </c>
      <c r="BS173" s="168">
        <f>SUM(BP173:BR173)</f>
        <v>0</v>
      </c>
      <c r="BT173" s="152"/>
      <c r="BU173" s="152"/>
      <c r="BV173" s="152"/>
      <c r="BW173" s="152">
        <f t="shared" si="1783"/>
        <v>0</v>
      </c>
      <c r="BX173" s="152">
        <f t="shared" si="1767"/>
        <v>0</v>
      </c>
      <c r="BY173" s="152">
        <f t="shared" si="1768"/>
        <v>0</v>
      </c>
      <c r="BZ173" s="152">
        <f t="shared" si="1769"/>
        <v>0</v>
      </c>
      <c r="CA173" s="587">
        <f t="shared" si="1770"/>
        <v>0</v>
      </c>
    </row>
    <row r="174" spans="1:79" ht="14.1" customHeight="1" x14ac:dyDescent="0.2">
      <c r="A174" s="121" t="s">
        <v>522</v>
      </c>
      <c r="B174" s="71">
        <v>4</v>
      </c>
      <c r="C174" s="69" t="s">
        <v>529</v>
      </c>
      <c r="D174" s="69"/>
      <c r="E174" s="79"/>
      <c r="G174" s="152"/>
      <c r="H174" s="152"/>
      <c r="I174" s="152"/>
      <c r="J174" s="152">
        <f t="shared" si="1771"/>
        <v>0</v>
      </c>
      <c r="K174" s="152"/>
      <c r="L174" s="152"/>
      <c r="M174" s="152"/>
      <c r="N174" s="152">
        <f t="shared" si="1772"/>
        <v>0</v>
      </c>
      <c r="O174" s="152"/>
      <c r="P174" s="152"/>
      <c r="Q174" s="152"/>
      <c r="R174" s="152">
        <f t="shared" si="1773"/>
        <v>0</v>
      </c>
      <c r="S174" s="152"/>
      <c r="T174" s="152"/>
      <c r="U174" s="152"/>
      <c r="V174" s="152">
        <f t="shared" si="1774"/>
        <v>0</v>
      </c>
      <c r="W174" s="152">
        <f>G174-O174+S174+K174</f>
        <v>0</v>
      </c>
      <c r="X174" s="152">
        <f t="shared" si="1758"/>
        <v>0</v>
      </c>
      <c r="Y174" s="152">
        <f t="shared" si="1759"/>
        <v>0</v>
      </c>
      <c r="Z174" s="168">
        <f>SUM(W174:Y174)</f>
        <v>0</v>
      </c>
      <c r="AA174" s="152"/>
      <c r="AB174" s="152"/>
      <c r="AC174" s="152"/>
      <c r="AD174" s="152">
        <f t="shared" si="1775"/>
        <v>0</v>
      </c>
      <c r="AE174" s="152"/>
      <c r="AF174" s="152"/>
      <c r="AG174" s="152"/>
      <c r="AH174" s="152">
        <f t="shared" si="1776"/>
        <v>0</v>
      </c>
      <c r="AI174" s="152"/>
      <c r="AJ174" s="152"/>
      <c r="AK174" s="152"/>
      <c r="AL174" s="152">
        <f t="shared" si="1777"/>
        <v>0</v>
      </c>
      <c r="AM174" s="152"/>
      <c r="AN174" s="152"/>
      <c r="AO174" s="152"/>
      <c r="AP174" s="152">
        <f t="shared" si="1778"/>
        <v>0</v>
      </c>
      <c r="AQ174" s="152">
        <f t="shared" si="1760"/>
        <v>0</v>
      </c>
      <c r="AR174" s="152">
        <f t="shared" si="1760"/>
        <v>0</v>
      </c>
      <c r="AS174" s="152">
        <f t="shared" si="1760"/>
        <v>0</v>
      </c>
      <c r="AT174" s="168">
        <f>SUM(AQ174:AS174)</f>
        <v>0</v>
      </c>
      <c r="AU174" s="152"/>
      <c r="AV174" s="152"/>
      <c r="AW174" s="152"/>
      <c r="AX174" s="152">
        <f t="shared" si="1779"/>
        <v>0</v>
      </c>
      <c r="AY174" s="152"/>
      <c r="AZ174" s="152"/>
      <c r="BA174" s="152"/>
      <c r="BB174" s="152">
        <f t="shared" si="1780"/>
        <v>0</v>
      </c>
      <c r="BC174" s="152"/>
      <c r="BD174" s="152"/>
      <c r="BE174" s="152"/>
      <c r="BF174" s="152">
        <f t="shared" si="1781"/>
        <v>0</v>
      </c>
      <c r="BG174" s="152"/>
      <c r="BH174" s="152"/>
      <c r="BI174" s="152"/>
      <c r="BJ174" s="152">
        <f t="shared" si="1782"/>
        <v>0</v>
      </c>
      <c r="BK174" s="152">
        <f t="shared" si="1761"/>
        <v>0</v>
      </c>
      <c r="BL174" s="152">
        <f t="shared" si="1762"/>
        <v>0</v>
      </c>
      <c r="BM174" s="152">
        <f t="shared" si="1763"/>
        <v>0</v>
      </c>
      <c r="BN174" s="152">
        <f>SUM(BK174:BM174)</f>
        <v>0</v>
      </c>
      <c r="BO174" s="168"/>
      <c r="BP174" s="152">
        <f t="shared" si="1764"/>
        <v>0</v>
      </c>
      <c r="BQ174" s="152">
        <f t="shared" si="1765"/>
        <v>0</v>
      </c>
      <c r="BR174" s="152">
        <f t="shared" si="1766"/>
        <v>0</v>
      </c>
      <c r="BS174" s="168">
        <f>SUM(BP174:BR174)</f>
        <v>0</v>
      </c>
      <c r="BT174" s="152"/>
      <c r="BU174" s="152"/>
      <c r="BV174" s="152"/>
      <c r="BW174" s="152">
        <f t="shared" si="1783"/>
        <v>0</v>
      </c>
      <c r="BX174" s="152">
        <f t="shared" si="1767"/>
        <v>0</v>
      </c>
      <c r="BY174" s="152">
        <f t="shared" si="1768"/>
        <v>0</v>
      </c>
      <c r="BZ174" s="152">
        <f t="shared" si="1769"/>
        <v>0</v>
      </c>
      <c r="CA174" s="587">
        <f t="shared" si="1770"/>
        <v>0</v>
      </c>
    </row>
    <row r="175" spans="1:79" ht="14.1" customHeight="1" x14ac:dyDescent="0.2">
      <c r="A175" s="542" t="s">
        <v>110</v>
      </c>
      <c r="B175" s="535" t="s">
        <v>111</v>
      </c>
      <c r="C175" s="535"/>
      <c r="D175" s="535"/>
      <c r="E175" s="543"/>
      <c r="F175" s="537"/>
      <c r="G175" s="538">
        <f t="shared" ref="G175:I175" si="1784">G176</f>
        <v>0</v>
      </c>
      <c r="H175" s="538">
        <f t="shared" si="1784"/>
        <v>0</v>
      </c>
      <c r="I175" s="538">
        <f t="shared" si="1784"/>
        <v>0</v>
      </c>
      <c r="J175" s="538">
        <f t="shared" ref="J175:BU175" si="1785">J176</f>
        <v>0</v>
      </c>
      <c r="K175" s="538">
        <f t="shared" si="1785"/>
        <v>0</v>
      </c>
      <c r="L175" s="538">
        <f t="shared" si="1785"/>
        <v>0</v>
      </c>
      <c r="M175" s="538">
        <f t="shared" si="1785"/>
        <v>0</v>
      </c>
      <c r="N175" s="538">
        <f t="shared" si="1785"/>
        <v>0</v>
      </c>
      <c r="O175" s="538">
        <f t="shared" si="1785"/>
        <v>0</v>
      </c>
      <c r="P175" s="538">
        <f t="shared" si="1785"/>
        <v>0</v>
      </c>
      <c r="Q175" s="538">
        <f t="shared" si="1785"/>
        <v>0</v>
      </c>
      <c r="R175" s="538">
        <f t="shared" si="1785"/>
        <v>0</v>
      </c>
      <c r="S175" s="538">
        <f t="shared" si="1785"/>
        <v>0</v>
      </c>
      <c r="T175" s="538">
        <f t="shared" si="1785"/>
        <v>0</v>
      </c>
      <c r="U175" s="538">
        <f t="shared" si="1785"/>
        <v>0</v>
      </c>
      <c r="V175" s="538">
        <f t="shared" si="1785"/>
        <v>0</v>
      </c>
      <c r="W175" s="538">
        <f t="shared" si="1785"/>
        <v>0</v>
      </c>
      <c r="X175" s="538">
        <f t="shared" si="1785"/>
        <v>0</v>
      </c>
      <c r="Y175" s="538">
        <f t="shared" si="1785"/>
        <v>0</v>
      </c>
      <c r="Z175" s="540">
        <f t="shared" si="1785"/>
        <v>0</v>
      </c>
      <c r="AA175" s="538">
        <f t="shared" si="1785"/>
        <v>0</v>
      </c>
      <c r="AB175" s="538">
        <f t="shared" si="1785"/>
        <v>0</v>
      </c>
      <c r="AC175" s="538">
        <f t="shared" si="1785"/>
        <v>0</v>
      </c>
      <c r="AD175" s="538">
        <f t="shared" si="1785"/>
        <v>0</v>
      </c>
      <c r="AE175" s="538">
        <f t="shared" si="1785"/>
        <v>0</v>
      </c>
      <c r="AF175" s="538">
        <f t="shared" si="1785"/>
        <v>0</v>
      </c>
      <c r="AG175" s="538">
        <f t="shared" si="1785"/>
        <v>0</v>
      </c>
      <c r="AH175" s="538">
        <f t="shared" si="1785"/>
        <v>0</v>
      </c>
      <c r="AI175" s="538">
        <f t="shared" si="1785"/>
        <v>0</v>
      </c>
      <c r="AJ175" s="538">
        <f t="shared" si="1785"/>
        <v>0</v>
      </c>
      <c r="AK175" s="538">
        <f t="shared" si="1785"/>
        <v>0</v>
      </c>
      <c r="AL175" s="538">
        <f t="shared" si="1785"/>
        <v>0</v>
      </c>
      <c r="AM175" s="538">
        <f t="shared" si="1785"/>
        <v>0</v>
      </c>
      <c r="AN175" s="538">
        <f t="shared" si="1785"/>
        <v>0</v>
      </c>
      <c r="AO175" s="538">
        <f t="shared" si="1785"/>
        <v>0</v>
      </c>
      <c r="AP175" s="538">
        <f t="shared" si="1785"/>
        <v>0</v>
      </c>
      <c r="AQ175" s="538">
        <f t="shared" si="1785"/>
        <v>0</v>
      </c>
      <c r="AR175" s="538">
        <f t="shared" si="1785"/>
        <v>0</v>
      </c>
      <c r="AS175" s="538">
        <f t="shared" si="1785"/>
        <v>0</v>
      </c>
      <c r="AT175" s="540">
        <f t="shared" si="1785"/>
        <v>0</v>
      </c>
      <c r="AU175" s="538">
        <f t="shared" si="1785"/>
        <v>0</v>
      </c>
      <c r="AV175" s="538">
        <f t="shared" si="1785"/>
        <v>0</v>
      </c>
      <c r="AW175" s="538">
        <f t="shared" si="1785"/>
        <v>0</v>
      </c>
      <c r="AX175" s="538">
        <f t="shared" si="1785"/>
        <v>0</v>
      </c>
      <c r="AY175" s="538">
        <f t="shared" si="1785"/>
        <v>0</v>
      </c>
      <c r="AZ175" s="538">
        <f t="shared" si="1785"/>
        <v>0</v>
      </c>
      <c r="BA175" s="538">
        <f t="shared" si="1785"/>
        <v>0</v>
      </c>
      <c r="BB175" s="538">
        <f t="shared" si="1785"/>
        <v>0</v>
      </c>
      <c r="BC175" s="538">
        <f t="shared" si="1785"/>
        <v>0</v>
      </c>
      <c r="BD175" s="538">
        <f t="shared" si="1785"/>
        <v>0</v>
      </c>
      <c r="BE175" s="538">
        <f t="shared" si="1785"/>
        <v>0</v>
      </c>
      <c r="BF175" s="538">
        <f t="shared" si="1785"/>
        <v>0</v>
      </c>
      <c r="BG175" s="538">
        <f t="shared" si="1785"/>
        <v>0</v>
      </c>
      <c r="BH175" s="538">
        <f t="shared" si="1785"/>
        <v>0</v>
      </c>
      <c r="BI175" s="538">
        <f t="shared" si="1785"/>
        <v>0</v>
      </c>
      <c r="BJ175" s="538">
        <f t="shared" si="1785"/>
        <v>0</v>
      </c>
      <c r="BK175" s="538">
        <f t="shared" si="1785"/>
        <v>0</v>
      </c>
      <c r="BL175" s="538">
        <f t="shared" si="1785"/>
        <v>0</v>
      </c>
      <c r="BM175" s="538">
        <f t="shared" si="1785"/>
        <v>0</v>
      </c>
      <c r="BN175" s="538">
        <f t="shared" si="1785"/>
        <v>0</v>
      </c>
      <c r="BO175" s="540">
        <f t="shared" si="1785"/>
        <v>0</v>
      </c>
      <c r="BP175" s="538">
        <f t="shared" si="1785"/>
        <v>0</v>
      </c>
      <c r="BQ175" s="538">
        <f t="shared" si="1785"/>
        <v>0</v>
      </c>
      <c r="BR175" s="538">
        <f t="shared" si="1785"/>
        <v>0</v>
      </c>
      <c r="BS175" s="540">
        <f t="shared" si="1785"/>
        <v>0</v>
      </c>
      <c r="BT175" s="538">
        <f t="shared" si="1785"/>
        <v>0</v>
      </c>
      <c r="BU175" s="538">
        <f t="shared" si="1785"/>
        <v>0</v>
      </c>
      <c r="BV175" s="538">
        <f t="shared" ref="BV175:BW175" si="1786">BV176</f>
        <v>0</v>
      </c>
      <c r="BW175" s="538">
        <f t="shared" si="1786"/>
        <v>0</v>
      </c>
      <c r="BX175" s="538">
        <f t="shared" ref="BX175:CA175" si="1787">BX176</f>
        <v>0</v>
      </c>
      <c r="BY175" s="538">
        <f t="shared" si="1787"/>
        <v>0</v>
      </c>
      <c r="BZ175" s="538">
        <f t="shared" si="1787"/>
        <v>0</v>
      </c>
      <c r="CA175" s="541">
        <f t="shared" si="1787"/>
        <v>0</v>
      </c>
    </row>
    <row r="176" spans="1:79" ht="14.1" customHeight="1" x14ac:dyDescent="0.2">
      <c r="A176" s="121" t="s">
        <v>530</v>
      </c>
      <c r="B176" s="71">
        <v>1</v>
      </c>
      <c r="C176" s="907" t="s">
        <v>531</v>
      </c>
      <c r="D176" s="907"/>
      <c r="E176" s="908"/>
      <c r="G176" s="152"/>
      <c r="H176" s="152"/>
      <c r="I176" s="152"/>
      <c r="J176" s="152">
        <f t="shared" ref="J176" si="1788">SUM(G176:I176)</f>
        <v>0</v>
      </c>
      <c r="K176" s="152"/>
      <c r="L176" s="152"/>
      <c r="M176" s="152"/>
      <c r="N176" s="152">
        <f t="shared" ref="N176" si="1789">SUM(K176:M176)</f>
        <v>0</v>
      </c>
      <c r="O176" s="152"/>
      <c r="P176" s="152"/>
      <c r="Q176" s="152"/>
      <c r="R176" s="152">
        <f t="shared" ref="R176" si="1790">SUM(O176:Q176)</f>
        <v>0</v>
      </c>
      <c r="S176" s="152"/>
      <c r="T176" s="152"/>
      <c r="U176" s="152"/>
      <c r="V176" s="152">
        <f t="shared" ref="V176" si="1791">SUM(S176:U176)</f>
        <v>0</v>
      </c>
      <c r="W176" s="152">
        <f>G176-O176+S176+K176</f>
        <v>0</v>
      </c>
      <c r="X176" s="152">
        <f t="shared" ref="X176" si="1792">H176-P176+T176+L176</f>
        <v>0</v>
      </c>
      <c r="Y176" s="152">
        <f t="shared" ref="Y176" si="1793">I176-Q176+U176+M176</f>
        <v>0</v>
      </c>
      <c r="Z176" s="168">
        <f>SUM(W176:Y176)</f>
        <v>0</v>
      </c>
      <c r="AA176" s="152"/>
      <c r="AB176" s="152"/>
      <c r="AC176" s="152"/>
      <c r="AD176" s="152">
        <f t="shared" ref="AD176" si="1794">SUM(AA176:AC176)</f>
        <v>0</v>
      </c>
      <c r="AE176" s="152"/>
      <c r="AF176" s="152"/>
      <c r="AG176" s="152"/>
      <c r="AH176" s="152">
        <f t="shared" ref="AH176" si="1795">SUM(AE176:AG176)</f>
        <v>0</v>
      </c>
      <c r="AI176" s="152"/>
      <c r="AJ176" s="152"/>
      <c r="AK176" s="152"/>
      <c r="AL176" s="152">
        <f t="shared" ref="AL176" si="1796">SUM(AI176:AK176)</f>
        <v>0</v>
      </c>
      <c r="AM176" s="152"/>
      <c r="AN176" s="152"/>
      <c r="AO176" s="152"/>
      <c r="AP176" s="152">
        <f t="shared" ref="AP176" si="1797">SUM(AM176:AO176)</f>
        <v>0</v>
      </c>
      <c r="AQ176" s="152">
        <f t="shared" ref="AQ176:AS176" si="1798">AA176+AE176+AI176+AM176</f>
        <v>0</v>
      </c>
      <c r="AR176" s="152">
        <f t="shared" si="1798"/>
        <v>0</v>
      </c>
      <c r="AS176" s="152">
        <f t="shared" si="1798"/>
        <v>0</v>
      </c>
      <c r="AT176" s="168">
        <f>SUM(AQ176:AS176)</f>
        <v>0</v>
      </c>
      <c r="AU176" s="152"/>
      <c r="AV176" s="152"/>
      <c r="AW176" s="152"/>
      <c r="AX176" s="152">
        <f t="shared" ref="AX176" si="1799">SUM(AU176:AW176)</f>
        <v>0</v>
      </c>
      <c r="AY176" s="152"/>
      <c r="AZ176" s="152"/>
      <c r="BA176" s="152"/>
      <c r="BB176" s="152">
        <f t="shared" ref="BB176" si="1800">SUM(AY176:BA176)</f>
        <v>0</v>
      </c>
      <c r="BC176" s="152"/>
      <c r="BD176" s="152"/>
      <c r="BE176" s="152"/>
      <c r="BF176" s="152">
        <f t="shared" ref="BF176" si="1801">SUM(BC176:BE176)</f>
        <v>0</v>
      </c>
      <c r="BG176" s="152"/>
      <c r="BH176" s="152"/>
      <c r="BI176" s="152"/>
      <c r="BJ176" s="152">
        <f t="shared" ref="BJ176" si="1802">SUM(BG176:BI176)</f>
        <v>0</v>
      </c>
      <c r="BK176" s="152">
        <f t="shared" ref="BK176" si="1803">AU176+AY176+BC176+BG176</f>
        <v>0</v>
      </c>
      <c r="BL176" s="152">
        <f t="shared" ref="BL176" si="1804">AV176+AZ176+BD176+BH176</f>
        <v>0</v>
      </c>
      <c r="BM176" s="152">
        <f t="shared" ref="BM176" si="1805">AW176+BA176+BE176+BI176</f>
        <v>0</v>
      </c>
      <c r="BN176" s="152">
        <f>SUM(BK176:BM176)</f>
        <v>0</v>
      </c>
      <c r="BO176" s="168"/>
      <c r="BP176" s="152">
        <f t="shared" ref="BP176" si="1806">W176-AQ176</f>
        <v>0</v>
      </c>
      <c r="BQ176" s="152">
        <f t="shared" ref="BQ176" si="1807">X176-AR176</f>
        <v>0</v>
      </c>
      <c r="BR176" s="152">
        <f t="shared" ref="BR176" si="1808">Y176-AS176</f>
        <v>0</v>
      </c>
      <c r="BS176" s="168">
        <f>SUM(BP176:BR176)</f>
        <v>0</v>
      </c>
      <c r="BT176" s="152"/>
      <c r="BU176" s="152"/>
      <c r="BV176" s="152"/>
      <c r="BW176" s="152">
        <f t="shared" ref="BW176" si="1809">SUM(BT176:BV176)</f>
        <v>0</v>
      </c>
      <c r="BX176" s="152">
        <f t="shared" ref="BX176" si="1810">AQ176-BK176-BT176</f>
        <v>0</v>
      </c>
      <c r="BY176" s="152">
        <f t="shared" ref="BY176" si="1811">AR176-BL176-BU176</f>
        <v>0</v>
      </c>
      <c r="BZ176" s="152">
        <f t="shared" ref="BZ176" si="1812">AS176-BM176-BV176</f>
        <v>0</v>
      </c>
      <c r="CA176" s="587">
        <f t="shared" ref="CA176" si="1813">SUM(BX176:BZ176)</f>
        <v>0</v>
      </c>
    </row>
    <row r="177" spans="1:79" ht="14.1" customHeight="1" x14ac:dyDescent="0.2">
      <c r="A177" s="515" t="s">
        <v>112</v>
      </c>
      <c r="B177" s="898" t="s">
        <v>532</v>
      </c>
      <c r="C177" s="898"/>
      <c r="D177" s="898"/>
      <c r="E177" s="898"/>
      <c r="F177" s="514"/>
      <c r="G177" s="584">
        <f>SUM(G178:G180)</f>
        <v>0</v>
      </c>
      <c r="H177" s="584">
        <f t="shared" ref="H177:I177" si="1814">SUM(H178:H180)</f>
        <v>0</v>
      </c>
      <c r="I177" s="584">
        <f t="shared" si="1814"/>
        <v>0</v>
      </c>
      <c r="J177" s="584">
        <f t="shared" ref="J177:BS177" si="1815">SUM(J178:J180)</f>
        <v>0</v>
      </c>
      <c r="K177" s="584">
        <f>SUM(K178:K180)</f>
        <v>0</v>
      </c>
      <c r="L177" s="584">
        <f t="shared" ref="L177" si="1816">SUM(L178:L180)</f>
        <v>0</v>
      </c>
      <c r="M177" s="584">
        <f t="shared" ref="M177:N177" si="1817">SUM(M178:M180)</f>
        <v>0</v>
      </c>
      <c r="N177" s="584">
        <f t="shared" si="1817"/>
        <v>0</v>
      </c>
      <c r="O177" s="584">
        <f>SUM(O178:O180)</f>
        <v>0</v>
      </c>
      <c r="P177" s="584">
        <f t="shared" ref="P177" si="1818">SUM(P178:P180)</f>
        <v>0</v>
      </c>
      <c r="Q177" s="584">
        <f t="shared" ref="Q177:R177" si="1819">SUM(Q178:Q180)</f>
        <v>0</v>
      </c>
      <c r="R177" s="584">
        <f t="shared" si="1819"/>
        <v>0</v>
      </c>
      <c r="S177" s="584">
        <f>SUM(S178:S180)</f>
        <v>0</v>
      </c>
      <c r="T177" s="584">
        <f t="shared" ref="T177" si="1820">SUM(T178:T180)</f>
        <v>0</v>
      </c>
      <c r="U177" s="584">
        <f t="shared" ref="U177:V177" si="1821">SUM(U178:U180)</f>
        <v>0</v>
      </c>
      <c r="V177" s="584">
        <f t="shared" si="1821"/>
        <v>0</v>
      </c>
      <c r="W177" s="584">
        <f t="shared" si="1815"/>
        <v>0</v>
      </c>
      <c r="X177" s="584">
        <f t="shared" si="1815"/>
        <v>0</v>
      </c>
      <c r="Y177" s="584">
        <f t="shared" si="1815"/>
        <v>0</v>
      </c>
      <c r="Z177" s="585">
        <f t="shared" si="1815"/>
        <v>0</v>
      </c>
      <c r="AA177" s="584">
        <f t="shared" si="1815"/>
        <v>0</v>
      </c>
      <c r="AB177" s="584">
        <f t="shared" si="1815"/>
        <v>0</v>
      </c>
      <c r="AC177" s="584">
        <f t="shared" si="1815"/>
        <v>0</v>
      </c>
      <c r="AD177" s="584">
        <f t="shared" si="1815"/>
        <v>0</v>
      </c>
      <c r="AE177" s="584">
        <f>SUM(AE178:AE180)</f>
        <v>0</v>
      </c>
      <c r="AF177" s="584">
        <f t="shared" ref="AF177:AH177" si="1822">SUM(AF178:AF180)</f>
        <v>0</v>
      </c>
      <c r="AG177" s="584">
        <f t="shared" si="1822"/>
        <v>0</v>
      </c>
      <c r="AH177" s="584">
        <f t="shared" si="1822"/>
        <v>0</v>
      </c>
      <c r="AI177" s="584">
        <f>SUM(AI178:AI180)</f>
        <v>0</v>
      </c>
      <c r="AJ177" s="584">
        <f t="shared" ref="AJ177:AL177" si="1823">SUM(AJ178:AJ180)</f>
        <v>0</v>
      </c>
      <c r="AK177" s="584">
        <f t="shared" si="1823"/>
        <v>0</v>
      </c>
      <c r="AL177" s="584">
        <f t="shared" si="1823"/>
        <v>0</v>
      </c>
      <c r="AM177" s="584">
        <f>SUM(AM178:AM180)</f>
        <v>0</v>
      </c>
      <c r="AN177" s="584">
        <f t="shared" ref="AN177:AP177" si="1824">SUM(AN178:AN180)</f>
        <v>0</v>
      </c>
      <c r="AO177" s="584">
        <f t="shared" si="1824"/>
        <v>0</v>
      </c>
      <c r="AP177" s="584">
        <f t="shared" si="1824"/>
        <v>0</v>
      </c>
      <c r="AQ177" s="584">
        <f t="shared" si="1815"/>
        <v>0</v>
      </c>
      <c r="AR177" s="584">
        <f t="shared" si="1815"/>
        <v>0</v>
      </c>
      <c r="AS177" s="584">
        <f t="shared" si="1815"/>
        <v>0</v>
      </c>
      <c r="AT177" s="585">
        <f t="shared" si="1815"/>
        <v>0</v>
      </c>
      <c r="AU177" s="584">
        <f>SUM(AU178:AU180)</f>
        <v>0</v>
      </c>
      <c r="AV177" s="584">
        <f t="shared" ref="AV177:AX177" si="1825">SUM(AV178:AV180)</f>
        <v>0</v>
      </c>
      <c r="AW177" s="584">
        <f t="shared" si="1825"/>
        <v>0</v>
      </c>
      <c r="AX177" s="584">
        <f t="shared" si="1825"/>
        <v>0</v>
      </c>
      <c r="AY177" s="584">
        <f>SUM(AY178:AY180)</f>
        <v>0</v>
      </c>
      <c r="AZ177" s="584">
        <f t="shared" ref="AZ177" si="1826">SUM(AZ178:AZ180)</f>
        <v>0</v>
      </c>
      <c r="BA177" s="584">
        <f t="shared" ref="BA177:BB177" si="1827">SUM(BA178:BA180)</f>
        <v>0</v>
      </c>
      <c r="BB177" s="584">
        <f t="shared" si="1827"/>
        <v>0</v>
      </c>
      <c r="BC177" s="584">
        <f>SUM(BC178:BC180)</f>
        <v>0</v>
      </c>
      <c r="BD177" s="584">
        <f t="shared" ref="BD177" si="1828">SUM(BD178:BD180)</f>
        <v>0</v>
      </c>
      <c r="BE177" s="584">
        <f t="shared" ref="BE177:BF177" si="1829">SUM(BE178:BE180)</f>
        <v>0</v>
      </c>
      <c r="BF177" s="584">
        <f t="shared" si="1829"/>
        <v>0</v>
      </c>
      <c r="BG177" s="584">
        <f>SUM(BG178:BG180)</f>
        <v>0</v>
      </c>
      <c r="BH177" s="584">
        <f t="shared" ref="BH177" si="1830">SUM(BH178:BH180)</f>
        <v>0</v>
      </c>
      <c r="BI177" s="584">
        <f t="shared" ref="BI177:BJ177" si="1831">SUM(BI178:BI180)</f>
        <v>0</v>
      </c>
      <c r="BJ177" s="584">
        <f t="shared" si="1831"/>
        <v>0</v>
      </c>
      <c r="BK177" s="584">
        <f t="shared" si="1815"/>
        <v>0</v>
      </c>
      <c r="BL177" s="584">
        <f t="shared" si="1815"/>
        <v>0</v>
      </c>
      <c r="BM177" s="584">
        <f t="shared" si="1815"/>
        <v>0</v>
      </c>
      <c r="BN177" s="584">
        <f t="shared" si="1815"/>
        <v>0</v>
      </c>
      <c r="BO177" s="585">
        <f t="shared" si="1815"/>
        <v>0</v>
      </c>
      <c r="BP177" s="584">
        <f t="shared" si="1815"/>
        <v>0</v>
      </c>
      <c r="BQ177" s="584">
        <f t="shared" si="1815"/>
        <v>0</v>
      </c>
      <c r="BR177" s="584">
        <f t="shared" si="1815"/>
        <v>0</v>
      </c>
      <c r="BS177" s="585">
        <f t="shared" si="1815"/>
        <v>0</v>
      </c>
      <c r="BT177" s="584">
        <f>SUM(BT178:BT180)</f>
        <v>0</v>
      </c>
      <c r="BU177" s="584">
        <f t="shared" ref="BU177" si="1832">SUM(BU178:BU180)</f>
        <v>0</v>
      </c>
      <c r="BV177" s="584">
        <f t="shared" ref="BV177:BW177" si="1833">SUM(BV178:BV180)</f>
        <v>0</v>
      </c>
      <c r="BW177" s="584">
        <f t="shared" si="1833"/>
        <v>0</v>
      </c>
      <c r="BX177" s="584">
        <f t="shared" ref="BX177:CA177" si="1834">SUM(BX178:BX180)</f>
        <v>0</v>
      </c>
      <c r="BY177" s="584">
        <f t="shared" si="1834"/>
        <v>0</v>
      </c>
      <c r="BZ177" s="584">
        <f t="shared" si="1834"/>
        <v>0</v>
      </c>
      <c r="CA177" s="586">
        <f t="shared" si="1834"/>
        <v>0</v>
      </c>
    </row>
    <row r="178" spans="1:79" ht="14.1" customHeight="1" x14ac:dyDescent="0.2">
      <c r="A178" s="122" t="s">
        <v>114</v>
      </c>
      <c r="B178" s="80" t="s">
        <v>126</v>
      </c>
      <c r="C178" s="568" t="s">
        <v>115</v>
      </c>
      <c r="D178" s="568"/>
      <c r="E178" s="75"/>
      <c r="G178" s="152"/>
      <c r="H178" s="152"/>
      <c r="I178" s="152"/>
      <c r="J178" s="152">
        <f t="shared" ref="J178:J180" si="1835">SUM(G178:I178)</f>
        <v>0</v>
      </c>
      <c r="K178" s="152"/>
      <c r="L178" s="152"/>
      <c r="M178" s="152"/>
      <c r="N178" s="152">
        <f t="shared" ref="N178:N180" si="1836">SUM(K178:M178)</f>
        <v>0</v>
      </c>
      <c r="O178" s="152"/>
      <c r="P178" s="152"/>
      <c r="Q178" s="152"/>
      <c r="R178" s="152">
        <f t="shared" ref="R178:R180" si="1837">SUM(O178:Q178)</f>
        <v>0</v>
      </c>
      <c r="S178" s="152"/>
      <c r="T178" s="152"/>
      <c r="U178" s="152"/>
      <c r="V178" s="152">
        <f t="shared" ref="V178:V180" si="1838">SUM(S178:U178)</f>
        <v>0</v>
      </c>
      <c r="W178" s="152">
        <f>G178-O178+S178+K178</f>
        <v>0</v>
      </c>
      <c r="X178" s="152">
        <f t="shared" ref="X178:X180" si="1839">H178-P178+T178+L178</f>
        <v>0</v>
      </c>
      <c r="Y178" s="152">
        <f t="shared" ref="Y178:Y180" si="1840">I178-Q178+U178+M178</f>
        <v>0</v>
      </c>
      <c r="Z178" s="168">
        <f>SUM(W178:Y178)</f>
        <v>0</v>
      </c>
      <c r="AA178" s="152"/>
      <c r="AB178" s="152"/>
      <c r="AC178" s="152"/>
      <c r="AD178" s="152">
        <f t="shared" ref="AD178:AD180" si="1841">SUM(AA178:AC178)</f>
        <v>0</v>
      </c>
      <c r="AE178" s="152"/>
      <c r="AF178" s="152"/>
      <c r="AG178" s="152"/>
      <c r="AH178" s="152">
        <f t="shared" ref="AH178:AH180" si="1842">SUM(AE178:AG178)</f>
        <v>0</v>
      </c>
      <c r="AI178" s="152"/>
      <c r="AJ178" s="152"/>
      <c r="AK178" s="152"/>
      <c r="AL178" s="152">
        <f t="shared" ref="AL178:AL180" si="1843">SUM(AI178:AK178)</f>
        <v>0</v>
      </c>
      <c r="AM178" s="152"/>
      <c r="AN178" s="152"/>
      <c r="AO178" s="152"/>
      <c r="AP178" s="152">
        <f t="shared" ref="AP178:AP180" si="1844">SUM(AM178:AO178)</f>
        <v>0</v>
      </c>
      <c r="AQ178" s="152">
        <f t="shared" ref="AQ178:AS180" si="1845">AA178+AE178+AI178+AM178</f>
        <v>0</v>
      </c>
      <c r="AR178" s="152">
        <f t="shared" si="1845"/>
        <v>0</v>
      </c>
      <c r="AS178" s="152">
        <f t="shared" si="1845"/>
        <v>0</v>
      </c>
      <c r="AT178" s="168">
        <f>SUM(AQ178:AS178)</f>
        <v>0</v>
      </c>
      <c r="AU178" s="152"/>
      <c r="AV178" s="152"/>
      <c r="AW178" s="152"/>
      <c r="AX178" s="152">
        <f t="shared" ref="AX178:AX180" si="1846">SUM(AU178:AW178)</f>
        <v>0</v>
      </c>
      <c r="AY178" s="152"/>
      <c r="AZ178" s="152"/>
      <c r="BA178" s="152"/>
      <c r="BB178" s="152">
        <f t="shared" ref="BB178:BB180" si="1847">SUM(AY178:BA178)</f>
        <v>0</v>
      </c>
      <c r="BC178" s="152"/>
      <c r="BD178" s="152"/>
      <c r="BE178" s="152"/>
      <c r="BF178" s="152">
        <f t="shared" ref="BF178:BF180" si="1848">SUM(BC178:BE178)</f>
        <v>0</v>
      </c>
      <c r="BG178" s="152"/>
      <c r="BH178" s="152"/>
      <c r="BI178" s="152"/>
      <c r="BJ178" s="152">
        <f t="shared" ref="BJ178:BJ180" si="1849">SUM(BG178:BI178)</f>
        <v>0</v>
      </c>
      <c r="BK178" s="152">
        <f t="shared" ref="BK178:BK180" si="1850">AU178+AY178+BC178+BG178</f>
        <v>0</v>
      </c>
      <c r="BL178" s="152">
        <f t="shared" ref="BL178:BL180" si="1851">AV178+AZ178+BD178+BH178</f>
        <v>0</v>
      </c>
      <c r="BM178" s="152">
        <f t="shared" ref="BM178:BM180" si="1852">AW178+BA178+BE178+BI178</f>
        <v>0</v>
      </c>
      <c r="BN178" s="152">
        <f>SUM(BK178:BM178)</f>
        <v>0</v>
      </c>
      <c r="BO178" s="168"/>
      <c r="BP178" s="152">
        <f t="shared" ref="BP178:BP180" si="1853">W178-AQ178</f>
        <v>0</v>
      </c>
      <c r="BQ178" s="152">
        <f t="shared" ref="BQ178:BQ180" si="1854">X178-AR178</f>
        <v>0</v>
      </c>
      <c r="BR178" s="152">
        <f t="shared" ref="BR178:BR180" si="1855">Y178-AS178</f>
        <v>0</v>
      </c>
      <c r="BS178" s="168">
        <f>SUM(BP178:BR178)</f>
        <v>0</v>
      </c>
      <c r="BT178" s="152"/>
      <c r="BU178" s="152"/>
      <c r="BV178" s="152"/>
      <c r="BW178" s="152">
        <f t="shared" ref="BW178:BW180" si="1856">SUM(BT178:BV178)</f>
        <v>0</v>
      </c>
      <c r="BX178" s="152">
        <f t="shared" ref="BX178:BX180" si="1857">AQ178-BK178-BT178</f>
        <v>0</v>
      </c>
      <c r="BY178" s="152">
        <f t="shared" ref="BY178:BY180" si="1858">AR178-BL178-BU178</f>
        <v>0</v>
      </c>
      <c r="BZ178" s="152">
        <f t="shared" ref="BZ178:BZ180" si="1859">AS178-BM178-BV178</f>
        <v>0</v>
      </c>
      <c r="CA178" s="587">
        <f t="shared" ref="CA178:CA180" si="1860">SUM(BX178:BZ178)</f>
        <v>0</v>
      </c>
    </row>
    <row r="179" spans="1:79" ht="14.1" customHeight="1" x14ac:dyDescent="0.2">
      <c r="A179" s="122" t="s">
        <v>116</v>
      </c>
      <c r="B179" s="80" t="s">
        <v>131</v>
      </c>
      <c r="C179" s="568" t="s">
        <v>252</v>
      </c>
      <c r="D179" s="568"/>
      <c r="E179" s="75"/>
      <c r="G179" s="152"/>
      <c r="H179" s="152"/>
      <c r="I179" s="152"/>
      <c r="J179" s="152">
        <f t="shared" si="1835"/>
        <v>0</v>
      </c>
      <c r="K179" s="152"/>
      <c r="L179" s="152"/>
      <c r="M179" s="152"/>
      <c r="N179" s="152">
        <f t="shared" si="1836"/>
        <v>0</v>
      </c>
      <c r="O179" s="152"/>
      <c r="P179" s="152"/>
      <c r="Q179" s="152"/>
      <c r="R179" s="152">
        <f t="shared" si="1837"/>
        <v>0</v>
      </c>
      <c r="S179" s="152"/>
      <c r="T179" s="152"/>
      <c r="U179" s="152"/>
      <c r="V179" s="152">
        <f t="shared" si="1838"/>
        <v>0</v>
      </c>
      <c r="W179" s="152">
        <f>G179-O179+S179+K179</f>
        <v>0</v>
      </c>
      <c r="X179" s="152">
        <f t="shared" si="1839"/>
        <v>0</v>
      </c>
      <c r="Y179" s="152">
        <f t="shared" si="1840"/>
        <v>0</v>
      </c>
      <c r="Z179" s="168">
        <f>SUM(W179:Y179)</f>
        <v>0</v>
      </c>
      <c r="AA179" s="152"/>
      <c r="AB179" s="152"/>
      <c r="AC179" s="152"/>
      <c r="AD179" s="152">
        <f t="shared" si="1841"/>
        <v>0</v>
      </c>
      <c r="AE179" s="152"/>
      <c r="AF179" s="152"/>
      <c r="AG179" s="152"/>
      <c r="AH179" s="152">
        <f t="shared" si="1842"/>
        <v>0</v>
      </c>
      <c r="AI179" s="152"/>
      <c r="AJ179" s="152"/>
      <c r="AK179" s="152"/>
      <c r="AL179" s="152">
        <f t="shared" si="1843"/>
        <v>0</v>
      </c>
      <c r="AM179" s="152"/>
      <c r="AN179" s="152"/>
      <c r="AO179" s="152"/>
      <c r="AP179" s="152">
        <f t="shared" si="1844"/>
        <v>0</v>
      </c>
      <c r="AQ179" s="152">
        <f t="shared" si="1845"/>
        <v>0</v>
      </c>
      <c r="AR179" s="152">
        <f t="shared" si="1845"/>
        <v>0</v>
      </c>
      <c r="AS179" s="152">
        <f t="shared" si="1845"/>
        <v>0</v>
      </c>
      <c r="AT179" s="168">
        <f>SUM(AQ179:AS179)</f>
        <v>0</v>
      </c>
      <c r="AU179" s="152"/>
      <c r="AV179" s="152"/>
      <c r="AW179" s="152"/>
      <c r="AX179" s="152">
        <f t="shared" si="1846"/>
        <v>0</v>
      </c>
      <c r="AY179" s="152"/>
      <c r="AZ179" s="152"/>
      <c r="BA179" s="152"/>
      <c r="BB179" s="152">
        <f t="shared" si="1847"/>
        <v>0</v>
      </c>
      <c r="BC179" s="152"/>
      <c r="BD179" s="152"/>
      <c r="BE179" s="152"/>
      <c r="BF179" s="152">
        <f t="shared" si="1848"/>
        <v>0</v>
      </c>
      <c r="BG179" s="152"/>
      <c r="BH179" s="152"/>
      <c r="BI179" s="152"/>
      <c r="BJ179" s="152">
        <f t="shared" si="1849"/>
        <v>0</v>
      </c>
      <c r="BK179" s="152">
        <f t="shared" si="1850"/>
        <v>0</v>
      </c>
      <c r="BL179" s="152">
        <f t="shared" si="1851"/>
        <v>0</v>
      </c>
      <c r="BM179" s="152">
        <f t="shared" si="1852"/>
        <v>0</v>
      </c>
      <c r="BN179" s="152">
        <f>SUM(BK179:BM179)</f>
        <v>0</v>
      </c>
      <c r="BO179" s="168"/>
      <c r="BP179" s="152">
        <f t="shared" si="1853"/>
        <v>0</v>
      </c>
      <c r="BQ179" s="152">
        <f t="shared" si="1854"/>
        <v>0</v>
      </c>
      <c r="BR179" s="152">
        <f t="shared" si="1855"/>
        <v>0</v>
      </c>
      <c r="BS179" s="168">
        <f>SUM(BP179:BR179)</f>
        <v>0</v>
      </c>
      <c r="BT179" s="152"/>
      <c r="BU179" s="152"/>
      <c r="BV179" s="152"/>
      <c r="BW179" s="152">
        <f t="shared" si="1856"/>
        <v>0</v>
      </c>
      <c r="BX179" s="152">
        <f t="shared" si="1857"/>
        <v>0</v>
      </c>
      <c r="BY179" s="152">
        <f t="shared" si="1858"/>
        <v>0</v>
      </c>
      <c r="BZ179" s="152">
        <f t="shared" si="1859"/>
        <v>0</v>
      </c>
      <c r="CA179" s="587">
        <f t="shared" si="1860"/>
        <v>0</v>
      </c>
    </row>
    <row r="180" spans="1:79" ht="14.1" customHeight="1" x14ac:dyDescent="0.2">
      <c r="A180" s="122" t="s">
        <v>117</v>
      </c>
      <c r="B180" s="80" t="s">
        <v>134</v>
      </c>
      <c r="C180" s="568" t="s">
        <v>118</v>
      </c>
      <c r="D180" s="568"/>
      <c r="E180" s="75"/>
      <c r="G180" s="152"/>
      <c r="H180" s="152"/>
      <c r="I180" s="152"/>
      <c r="J180" s="152">
        <f t="shared" si="1835"/>
        <v>0</v>
      </c>
      <c r="K180" s="152"/>
      <c r="L180" s="152"/>
      <c r="M180" s="152"/>
      <c r="N180" s="152">
        <f t="shared" si="1836"/>
        <v>0</v>
      </c>
      <c r="O180" s="152"/>
      <c r="P180" s="152"/>
      <c r="Q180" s="152"/>
      <c r="R180" s="152">
        <f t="shared" si="1837"/>
        <v>0</v>
      </c>
      <c r="S180" s="152"/>
      <c r="T180" s="152"/>
      <c r="U180" s="152"/>
      <c r="V180" s="152">
        <f t="shared" si="1838"/>
        <v>0</v>
      </c>
      <c r="W180" s="152">
        <f>G180-O180+S180+K180</f>
        <v>0</v>
      </c>
      <c r="X180" s="152">
        <f t="shared" si="1839"/>
        <v>0</v>
      </c>
      <c r="Y180" s="152">
        <f t="shared" si="1840"/>
        <v>0</v>
      </c>
      <c r="Z180" s="168">
        <f>SUM(W180:Y180)</f>
        <v>0</v>
      </c>
      <c r="AA180" s="152"/>
      <c r="AB180" s="152"/>
      <c r="AC180" s="152"/>
      <c r="AD180" s="152">
        <f t="shared" si="1841"/>
        <v>0</v>
      </c>
      <c r="AE180" s="152"/>
      <c r="AF180" s="152"/>
      <c r="AG180" s="152"/>
      <c r="AH180" s="152">
        <f t="shared" si="1842"/>
        <v>0</v>
      </c>
      <c r="AI180" s="152"/>
      <c r="AJ180" s="152"/>
      <c r="AK180" s="152"/>
      <c r="AL180" s="152">
        <f t="shared" si="1843"/>
        <v>0</v>
      </c>
      <c r="AM180" s="152"/>
      <c r="AN180" s="152"/>
      <c r="AO180" s="152"/>
      <c r="AP180" s="152">
        <f t="shared" si="1844"/>
        <v>0</v>
      </c>
      <c r="AQ180" s="152">
        <f t="shared" si="1845"/>
        <v>0</v>
      </c>
      <c r="AR180" s="152">
        <f t="shared" si="1845"/>
        <v>0</v>
      </c>
      <c r="AS180" s="152">
        <f t="shared" si="1845"/>
        <v>0</v>
      </c>
      <c r="AT180" s="168">
        <f>SUM(AQ180:AS180)</f>
        <v>0</v>
      </c>
      <c r="AU180" s="152"/>
      <c r="AV180" s="152"/>
      <c r="AW180" s="152"/>
      <c r="AX180" s="152">
        <f t="shared" si="1846"/>
        <v>0</v>
      </c>
      <c r="AY180" s="152"/>
      <c r="AZ180" s="152"/>
      <c r="BA180" s="152"/>
      <c r="BB180" s="152">
        <f t="shared" si="1847"/>
        <v>0</v>
      </c>
      <c r="BC180" s="152"/>
      <c r="BD180" s="152"/>
      <c r="BE180" s="152"/>
      <c r="BF180" s="152">
        <f t="shared" si="1848"/>
        <v>0</v>
      </c>
      <c r="BG180" s="152"/>
      <c r="BH180" s="152"/>
      <c r="BI180" s="152"/>
      <c r="BJ180" s="152">
        <f t="shared" si="1849"/>
        <v>0</v>
      </c>
      <c r="BK180" s="152">
        <f t="shared" si="1850"/>
        <v>0</v>
      </c>
      <c r="BL180" s="152">
        <f t="shared" si="1851"/>
        <v>0</v>
      </c>
      <c r="BM180" s="152">
        <f t="shared" si="1852"/>
        <v>0</v>
      </c>
      <c r="BN180" s="152">
        <f>SUM(BK180:BM180)</f>
        <v>0</v>
      </c>
      <c r="BO180" s="168"/>
      <c r="BP180" s="152">
        <f t="shared" si="1853"/>
        <v>0</v>
      </c>
      <c r="BQ180" s="152">
        <f t="shared" si="1854"/>
        <v>0</v>
      </c>
      <c r="BR180" s="152">
        <f t="shared" si="1855"/>
        <v>0</v>
      </c>
      <c r="BS180" s="168">
        <f>SUM(BP180:BR180)</f>
        <v>0</v>
      </c>
      <c r="BT180" s="152"/>
      <c r="BU180" s="152"/>
      <c r="BV180" s="152"/>
      <c r="BW180" s="152">
        <f t="shared" si="1856"/>
        <v>0</v>
      </c>
      <c r="BX180" s="152">
        <f t="shared" si="1857"/>
        <v>0</v>
      </c>
      <c r="BY180" s="152">
        <f t="shared" si="1858"/>
        <v>0</v>
      </c>
      <c r="BZ180" s="152">
        <f t="shared" si="1859"/>
        <v>0</v>
      </c>
      <c r="CA180" s="587">
        <f t="shared" si="1860"/>
        <v>0</v>
      </c>
    </row>
    <row r="181" spans="1:79" ht="14.1" customHeight="1" x14ac:dyDescent="0.2">
      <c r="A181" s="511" t="s">
        <v>119</v>
      </c>
      <c r="B181" s="516" t="s">
        <v>120</v>
      </c>
      <c r="C181" s="516"/>
      <c r="D181" s="516"/>
      <c r="E181" s="517"/>
      <c r="F181" s="514"/>
      <c r="G181" s="518">
        <f>G182+G208+G242</f>
        <v>0</v>
      </c>
      <c r="H181" s="518">
        <f t="shared" ref="H181:I181" si="1861">H182+H208+H242</f>
        <v>693333.93</v>
      </c>
      <c r="I181" s="518">
        <f t="shared" si="1861"/>
        <v>0</v>
      </c>
      <c r="J181" s="518">
        <f t="shared" ref="J181" si="1862">J182+J208+J242</f>
        <v>693333.93</v>
      </c>
      <c r="K181" s="518">
        <f>K182+K208+K242</f>
        <v>0</v>
      </c>
      <c r="L181" s="518">
        <f t="shared" ref="L181" si="1863">L182+L208+L242</f>
        <v>0</v>
      </c>
      <c r="M181" s="518">
        <f t="shared" ref="M181" si="1864">M182+M208+M242</f>
        <v>0</v>
      </c>
      <c r="N181" s="518">
        <f t="shared" ref="N181" si="1865">N182+N208+N242</f>
        <v>0</v>
      </c>
      <c r="O181" s="518">
        <f>O182+O208+O242</f>
        <v>0</v>
      </c>
      <c r="P181" s="518">
        <f t="shared" ref="P181" si="1866">P182+P208+P242</f>
        <v>0</v>
      </c>
      <c r="Q181" s="518">
        <f t="shared" ref="Q181" si="1867">Q182+Q208+Q242</f>
        <v>0</v>
      </c>
      <c r="R181" s="518">
        <f t="shared" ref="R181" si="1868">R182+R208+R242</f>
        <v>0</v>
      </c>
      <c r="S181" s="518">
        <f>S182+S208+S242</f>
        <v>0</v>
      </c>
      <c r="T181" s="518">
        <f t="shared" ref="T181" si="1869">T182+T208+T242</f>
        <v>0</v>
      </c>
      <c r="U181" s="518">
        <f t="shared" ref="U181" si="1870">U182+U208+U242</f>
        <v>0</v>
      </c>
      <c r="V181" s="518">
        <f t="shared" ref="V181" si="1871">V182+V208+V242</f>
        <v>0</v>
      </c>
      <c r="W181" s="518">
        <f t="shared" ref="W181" si="1872">W182+W208+W242</f>
        <v>0</v>
      </c>
      <c r="X181" s="518">
        <f t="shared" ref="X181" si="1873">X182+X208+X242</f>
        <v>693333.93</v>
      </c>
      <c r="Y181" s="518">
        <f t="shared" ref="Y181" si="1874">Y182+Y208+Y242</f>
        <v>0</v>
      </c>
      <c r="Z181" s="519">
        <f t="shared" ref="Z181:AD181" si="1875">Z182+Z208+Z242</f>
        <v>693333.93</v>
      </c>
      <c r="AA181" s="518">
        <f t="shared" si="1875"/>
        <v>0</v>
      </c>
      <c r="AB181" s="518">
        <f t="shared" si="1875"/>
        <v>2400</v>
      </c>
      <c r="AC181" s="518">
        <f t="shared" si="1875"/>
        <v>0</v>
      </c>
      <c r="AD181" s="518">
        <f t="shared" si="1875"/>
        <v>2400</v>
      </c>
      <c r="AE181" s="518">
        <f>AE182+AE208+AE242</f>
        <v>0</v>
      </c>
      <c r="AF181" s="518">
        <f t="shared" ref="AF181:AH181" si="1876">AF182+AF208+AF242</f>
        <v>241007.44999999998</v>
      </c>
      <c r="AG181" s="518">
        <f t="shared" si="1876"/>
        <v>0</v>
      </c>
      <c r="AH181" s="518">
        <f t="shared" si="1876"/>
        <v>241007.44999999998</v>
      </c>
      <c r="AI181" s="518">
        <f>AI182+AI208+AI242</f>
        <v>0</v>
      </c>
      <c r="AJ181" s="518">
        <f t="shared" ref="AJ181:AL181" si="1877">AJ182+AJ208+AJ242</f>
        <v>237497.88999999998</v>
      </c>
      <c r="AK181" s="518">
        <f t="shared" si="1877"/>
        <v>0</v>
      </c>
      <c r="AL181" s="518">
        <f t="shared" si="1877"/>
        <v>237497.88999999998</v>
      </c>
      <c r="AM181" s="518">
        <f>AM182+AM208+AM242</f>
        <v>0</v>
      </c>
      <c r="AN181" s="518">
        <f t="shared" ref="AN181:AT181" si="1878">AN182+AN208+AN242</f>
        <v>178897.16</v>
      </c>
      <c r="AO181" s="518">
        <f t="shared" si="1878"/>
        <v>0</v>
      </c>
      <c r="AP181" s="518">
        <f t="shared" si="1878"/>
        <v>178897.16</v>
      </c>
      <c r="AQ181" s="518">
        <f t="shared" si="1878"/>
        <v>0</v>
      </c>
      <c r="AR181" s="518">
        <f t="shared" si="1878"/>
        <v>659802.5</v>
      </c>
      <c r="AS181" s="518">
        <f t="shared" si="1878"/>
        <v>0</v>
      </c>
      <c r="AT181" s="519">
        <f t="shared" si="1878"/>
        <v>659802.5</v>
      </c>
      <c r="AU181" s="518">
        <f>AU182+AU208+AU242</f>
        <v>0</v>
      </c>
      <c r="AV181" s="518">
        <f t="shared" ref="AV181:AX181" si="1879">AV182+AV208+AV242</f>
        <v>2400</v>
      </c>
      <c r="AW181" s="518">
        <f t="shared" si="1879"/>
        <v>0</v>
      </c>
      <c r="AX181" s="518">
        <f t="shared" si="1879"/>
        <v>2400</v>
      </c>
      <c r="AY181" s="518">
        <f>AY182+AY208+AY242</f>
        <v>0</v>
      </c>
      <c r="AZ181" s="518">
        <f t="shared" ref="AZ181" si="1880">AZ182+AZ208+AZ242</f>
        <v>210047.44999999998</v>
      </c>
      <c r="BA181" s="518">
        <f t="shared" ref="BA181" si="1881">BA182+BA208+BA242</f>
        <v>0</v>
      </c>
      <c r="BB181" s="518">
        <f t="shared" ref="BB181" si="1882">BB182+BB208+BB242</f>
        <v>210047.44999999998</v>
      </c>
      <c r="BC181" s="518">
        <f>BC182+BC208+BC242</f>
        <v>0</v>
      </c>
      <c r="BD181" s="518">
        <f t="shared" ref="BD181" si="1883">BD182+BD208+BD242</f>
        <v>268457.89</v>
      </c>
      <c r="BE181" s="518">
        <f t="shared" ref="BE181" si="1884">BE182+BE208+BE242</f>
        <v>0</v>
      </c>
      <c r="BF181" s="518">
        <f t="shared" ref="BF181" si="1885">BF182+BF208+BF242</f>
        <v>268457.89</v>
      </c>
      <c r="BG181" s="518">
        <f>BG182+BG208+BG242</f>
        <v>0</v>
      </c>
      <c r="BH181" s="518">
        <f t="shared" ref="BH181" si="1886">BH182+BH208+BH242</f>
        <v>178897.16</v>
      </c>
      <c r="BI181" s="518">
        <f t="shared" ref="BI181" si="1887">BI182+BI208+BI242</f>
        <v>0</v>
      </c>
      <c r="BJ181" s="518">
        <f t="shared" ref="BJ181" si="1888">BJ182+BJ208+BJ242</f>
        <v>178897.16</v>
      </c>
      <c r="BK181" s="518">
        <f t="shared" ref="BK181" si="1889">BK182+BK208+BK242</f>
        <v>0</v>
      </c>
      <c r="BL181" s="518">
        <f t="shared" ref="BL181" si="1890">BL182+BL208+BL242</f>
        <v>659802.5</v>
      </c>
      <c r="BM181" s="518">
        <f t="shared" ref="BM181" si="1891">BM182+BM208+BM242</f>
        <v>0</v>
      </c>
      <c r="BN181" s="518">
        <f t="shared" ref="BN181" si="1892">BN182+BN208+BN242</f>
        <v>659802.5</v>
      </c>
      <c r="BO181" s="520">
        <f t="shared" ref="BO181" si="1893">BO182+BO208+BO242</f>
        <v>0</v>
      </c>
      <c r="BP181" s="518">
        <f t="shared" ref="BP181" si="1894">BP182+BP208+BP242</f>
        <v>0</v>
      </c>
      <c r="BQ181" s="518">
        <f t="shared" ref="BQ181" si="1895">BQ182+BQ208+BQ242</f>
        <v>33531.43</v>
      </c>
      <c r="BR181" s="518">
        <f t="shared" ref="BR181" si="1896">BR182+BR208+BR242</f>
        <v>0</v>
      </c>
      <c r="BS181" s="519">
        <f t="shared" ref="BS181" si="1897">BS182+BS208+BS242</f>
        <v>33531.43</v>
      </c>
      <c r="BT181" s="518">
        <f>BT182+BT208+BT242</f>
        <v>0</v>
      </c>
      <c r="BU181" s="518">
        <f t="shared" ref="BU181" si="1898">BU182+BU208+BU242</f>
        <v>205</v>
      </c>
      <c r="BV181" s="518">
        <f t="shared" ref="BV181" si="1899">BV182+BV208+BV242</f>
        <v>0</v>
      </c>
      <c r="BW181" s="518">
        <f t="shared" ref="BW181" si="1900">BW182+BW208+BW242</f>
        <v>205</v>
      </c>
      <c r="BX181" s="518">
        <f t="shared" ref="BX181" si="1901">BX182+BX208+BX242</f>
        <v>0</v>
      </c>
      <c r="BY181" s="518">
        <f t="shared" ref="BY181" si="1902">BY182+BY208+BY242</f>
        <v>-205</v>
      </c>
      <c r="BZ181" s="518">
        <f t="shared" ref="BZ181" si="1903">BZ182+BZ208+BZ242</f>
        <v>0</v>
      </c>
      <c r="CA181" s="521">
        <f t="shared" ref="CA181" si="1904">CA182+CA208+CA242</f>
        <v>-205</v>
      </c>
    </row>
    <row r="182" spans="1:79" ht="14.1" customHeight="1" x14ac:dyDescent="0.2">
      <c r="A182" s="534" t="s">
        <v>121</v>
      </c>
      <c r="B182" s="535" t="s">
        <v>122</v>
      </c>
      <c r="C182" s="535"/>
      <c r="D182" s="535"/>
      <c r="E182" s="536"/>
      <c r="F182" s="537"/>
      <c r="G182" s="538">
        <f>G183+G203</f>
        <v>0</v>
      </c>
      <c r="H182" s="538">
        <f t="shared" ref="H182:I182" si="1905">H183+H203</f>
        <v>111632.70999999999</v>
      </c>
      <c r="I182" s="538">
        <f t="shared" si="1905"/>
        <v>0</v>
      </c>
      <c r="J182" s="538">
        <f t="shared" ref="J182:BS182" si="1906">J183+J203</f>
        <v>111632.70999999999</v>
      </c>
      <c r="K182" s="538">
        <f>K183+K203</f>
        <v>0</v>
      </c>
      <c r="L182" s="538">
        <f t="shared" ref="L182" si="1907">L183+L203</f>
        <v>0</v>
      </c>
      <c r="M182" s="538">
        <f t="shared" ref="M182:N182" si="1908">M183+M203</f>
        <v>0</v>
      </c>
      <c r="N182" s="538">
        <f t="shared" si="1908"/>
        <v>0</v>
      </c>
      <c r="O182" s="538">
        <f>O183+O203</f>
        <v>0</v>
      </c>
      <c r="P182" s="538">
        <f t="shared" ref="P182" si="1909">P183+P203</f>
        <v>0</v>
      </c>
      <c r="Q182" s="538">
        <f t="shared" ref="Q182:R182" si="1910">Q183+Q203</f>
        <v>0</v>
      </c>
      <c r="R182" s="538">
        <f t="shared" si="1910"/>
        <v>0</v>
      </c>
      <c r="S182" s="538">
        <f>S183+S203</f>
        <v>0</v>
      </c>
      <c r="T182" s="538">
        <f t="shared" ref="T182" si="1911">T183+T203</f>
        <v>0</v>
      </c>
      <c r="U182" s="538">
        <f t="shared" ref="U182:V182" si="1912">U183+U203</f>
        <v>0</v>
      </c>
      <c r="V182" s="538">
        <f t="shared" si="1912"/>
        <v>0</v>
      </c>
      <c r="W182" s="538">
        <f t="shared" si="1906"/>
        <v>0</v>
      </c>
      <c r="X182" s="538">
        <f t="shared" si="1906"/>
        <v>111632.70999999999</v>
      </c>
      <c r="Y182" s="538">
        <f t="shared" si="1906"/>
        <v>0</v>
      </c>
      <c r="Z182" s="539">
        <f t="shared" si="1906"/>
        <v>111632.70999999999</v>
      </c>
      <c r="AA182" s="538">
        <f t="shared" si="1906"/>
        <v>0</v>
      </c>
      <c r="AB182" s="538">
        <f t="shared" si="1906"/>
        <v>2400</v>
      </c>
      <c r="AC182" s="538">
        <f t="shared" si="1906"/>
        <v>0</v>
      </c>
      <c r="AD182" s="538">
        <f t="shared" si="1906"/>
        <v>2400</v>
      </c>
      <c r="AE182" s="538">
        <f>AE183+AE203</f>
        <v>0</v>
      </c>
      <c r="AF182" s="538">
        <f t="shared" ref="AF182:AH182" si="1913">AF183+AF203</f>
        <v>26000</v>
      </c>
      <c r="AG182" s="538">
        <f t="shared" si="1913"/>
        <v>0</v>
      </c>
      <c r="AH182" s="538">
        <f t="shared" si="1913"/>
        <v>26000</v>
      </c>
      <c r="AI182" s="538">
        <f>AI183+AI203</f>
        <v>0</v>
      </c>
      <c r="AJ182" s="538">
        <f t="shared" ref="AJ182:AL182" si="1914">AJ183+AJ203</f>
        <v>51637.279999999999</v>
      </c>
      <c r="AK182" s="538">
        <f t="shared" si="1914"/>
        <v>0</v>
      </c>
      <c r="AL182" s="538">
        <f t="shared" si="1914"/>
        <v>51637.279999999999</v>
      </c>
      <c r="AM182" s="538">
        <f>AM183+AM203</f>
        <v>0</v>
      </c>
      <c r="AN182" s="538">
        <f t="shared" ref="AN182:AP182" si="1915">AN183+AN203</f>
        <v>13064</v>
      </c>
      <c r="AO182" s="538">
        <f t="shared" si="1915"/>
        <v>0</v>
      </c>
      <c r="AP182" s="538">
        <f t="shared" si="1915"/>
        <v>13064</v>
      </c>
      <c r="AQ182" s="538">
        <f t="shared" si="1906"/>
        <v>0</v>
      </c>
      <c r="AR182" s="538">
        <f t="shared" si="1906"/>
        <v>93101.28</v>
      </c>
      <c r="AS182" s="538">
        <f t="shared" si="1906"/>
        <v>0</v>
      </c>
      <c r="AT182" s="539">
        <f t="shared" si="1906"/>
        <v>93101.28</v>
      </c>
      <c r="AU182" s="538">
        <f>AU183+AU203</f>
        <v>0</v>
      </c>
      <c r="AV182" s="538">
        <f t="shared" ref="AV182:AX182" si="1916">AV183+AV203</f>
        <v>2400</v>
      </c>
      <c r="AW182" s="538">
        <f t="shared" si="1916"/>
        <v>0</v>
      </c>
      <c r="AX182" s="538">
        <f t="shared" si="1916"/>
        <v>2400</v>
      </c>
      <c r="AY182" s="538">
        <f>AY183+AY203</f>
        <v>0</v>
      </c>
      <c r="AZ182" s="538">
        <f t="shared" ref="AZ182" si="1917">AZ183+AZ203</f>
        <v>26000</v>
      </c>
      <c r="BA182" s="538">
        <f t="shared" ref="BA182:BB182" si="1918">BA183+BA203</f>
        <v>0</v>
      </c>
      <c r="BB182" s="538">
        <f t="shared" si="1918"/>
        <v>26000</v>
      </c>
      <c r="BC182" s="538">
        <f>BC183+BC203</f>
        <v>0</v>
      </c>
      <c r="BD182" s="538">
        <f t="shared" ref="BD182" si="1919">BD183+BD203</f>
        <v>51637.279999999999</v>
      </c>
      <c r="BE182" s="538">
        <f t="shared" ref="BE182:BF182" si="1920">BE183+BE203</f>
        <v>0</v>
      </c>
      <c r="BF182" s="538">
        <f t="shared" si="1920"/>
        <v>51637.279999999999</v>
      </c>
      <c r="BG182" s="538">
        <f>BG183+BG203</f>
        <v>0</v>
      </c>
      <c r="BH182" s="538">
        <f t="shared" ref="BH182" si="1921">BH183+BH203</f>
        <v>13064</v>
      </c>
      <c r="BI182" s="538">
        <f t="shared" ref="BI182:BJ182" si="1922">BI183+BI203</f>
        <v>0</v>
      </c>
      <c r="BJ182" s="538">
        <f t="shared" si="1922"/>
        <v>13064</v>
      </c>
      <c r="BK182" s="538">
        <f t="shared" si="1906"/>
        <v>0</v>
      </c>
      <c r="BL182" s="538">
        <f t="shared" si="1906"/>
        <v>93101.28</v>
      </c>
      <c r="BM182" s="538">
        <f t="shared" si="1906"/>
        <v>0</v>
      </c>
      <c r="BN182" s="538">
        <f t="shared" si="1906"/>
        <v>93101.28</v>
      </c>
      <c r="BO182" s="540">
        <f t="shared" si="1906"/>
        <v>0</v>
      </c>
      <c r="BP182" s="538">
        <f t="shared" si="1906"/>
        <v>0</v>
      </c>
      <c r="BQ182" s="538">
        <f t="shared" si="1906"/>
        <v>18531.43</v>
      </c>
      <c r="BR182" s="538">
        <f t="shared" si="1906"/>
        <v>0</v>
      </c>
      <c r="BS182" s="539">
        <f t="shared" si="1906"/>
        <v>18531.43</v>
      </c>
      <c r="BT182" s="538">
        <f>BT183+BT203</f>
        <v>0</v>
      </c>
      <c r="BU182" s="538">
        <f t="shared" ref="BU182" si="1923">BU183+BU203</f>
        <v>0</v>
      </c>
      <c r="BV182" s="538">
        <f t="shared" ref="BV182:BW182" si="1924">BV183+BV203</f>
        <v>0</v>
      </c>
      <c r="BW182" s="538">
        <f t="shared" si="1924"/>
        <v>0</v>
      </c>
      <c r="BX182" s="538">
        <f t="shared" ref="BX182:CA182" si="1925">BX183+BX203</f>
        <v>0</v>
      </c>
      <c r="BY182" s="538">
        <f t="shared" si="1925"/>
        <v>0</v>
      </c>
      <c r="BZ182" s="538">
        <f t="shared" si="1925"/>
        <v>0</v>
      </c>
      <c r="CA182" s="541">
        <f t="shared" si="1925"/>
        <v>0</v>
      </c>
    </row>
    <row r="183" spans="1:79" ht="14.1" customHeight="1" x14ac:dyDescent="0.2">
      <c r="A183" s="526" t="s">
        <v>123</v>
      </c>
      <c r="B183" s="527">
        <v>1</v>
      </c>
      <c r="C183" s="523" t="s">
        <v>124</v>
      </c>
      <c r="D183" s="523"/>
      <c r="E183" s="528"/>
      <c r="F183" s="529"/>
      <c r="G183" s="530">
        <f>G184+G191+G195+G202</f>
        <v>0</v>
      </c>
      <c r="H183" s="530">
        <f t="shared" ref="H183:I183" si="1926">H184+H191+H195+H202</f>
        <v>111632.70999999999</v>
      </c>
      <c r="I183" s="530">
        <f t="shared" si="1926"/>
        <v>0</v>
      </c>
      <c r="J183" s="530">
        <f t="shared" ref="J183:BS183" si="1927">J184+J191+J195+J202</f>
        <v>111632.70999999999</v>
      </c>
      <c r="K183" s="530">
        <f>K184+K191+K195+K202</f>
        <v>0</v>
      </c>
      <c r="L183" s="530">
        <f t="shared" ref="L183" si="1928">L184+L191+L195+L202</f>
        <v>0</v>
      </c>
      <c r="M183" s="530">
        <f t="shared" ref="M183:N183" si="1929">M184+M191+M195+M202</f>
        <v>0</v>
      </c>
      <c r="N183" s="530">
        <f t="shared" si="1929"/>
        <v>0</v>
      </c>
      <c r="O183" s="530">
        <f>O184+O191+O195+O202</f>
        <v>0</v>
      </c>
      <c r="P183" s="530">
        <f t="shared" ref="P183" si="1930">P184+P191+P195+P202</f>
        <v>0</v>
      </c>
      <c r="Q183" s="530">
        <f t="shared" ref="Q183:R183" si="1931">Q184+Q191+Q195+Q202</f>
        <v>0</v>
      </c>
      <c r="R183" s="530">
        <f t="shared" si="1931"/>
        <v>0</v>
      </c>
      <c r="S183" s="530">
        <f>S184+S191+S195+S202</f>
        <v>0</v>
      </c>
      <c r="T183" s="530">
        <f t="shared" ref="T183" si="1932">T184+T191+T195+T202</f>
        <v>0</v>
      </c>
      <c r="U183" s="530">
        <f t="shared" ref="U183:V183" si="1933">U184+U191+U195+U202</f>
        <v>0</v>
      </c>
      <c r="V183" s="530">
        <f t="shared" si="1933"/>
        <v>0</v>
      </c>
      <c r="W183" s="530">
        <f t="shared" si="1927"/>
        <v>0</v>
      </c>
      <c r="X183" s="530">
        <f t="shared" si="1927"/>
        <v>111632.70999999999</v>
      </c>
      <c r="Y183" s="530">
        <f t="shared" si="1927"/>
        <v>0</v>
      </c>
      <c r="Z183" s="531">
        <f t="shared" si="1927"/>
        <v>111632.70999999999</v>
      </c>
      <c r="AA183" s="530">
        <f t="shared" si="1927"/>
        <v>0</v>
      </c>
      <c r="AB183" s="530">
        <f t="shared" si="1927"/>
        <v>2400</v>
      </c>
      <c r="AC183" s="530">
        <f t="shared" si="1927"/>
        <v>0</v>
      </c>
      <c r="AD183" s="530">
        <f t="shared" si="1927"/>
        <v>2400</v>
      </c>
      <c r="AE183" s="530">
        <f>AE184+AE191+AE195+AE202</f>
        <v>0</v>
      </c>
      <c r="AF183" s="530">
        <f t="shared" ref="AF183:AH183" si="1934">AF184+AF191+AF195+AF202</f>
        <v>26000</v>
      </c>
      <c r="AG183" s="530">
        <f t="shared" si="1934"/>
        <v>0</v>
      </c>
      <c r="AH183" s="530">
        <f t="shared" si="1934"/>
        <v>26000</v>
      </c>
      <c r="AI183" s="530">
        <f>AI184+AI191+AI195+AI202</f>
        <v>0</v>
      </c>
      <c r="AJ183" s="530">
        <f t="shared" ref="AJ183:AL183" si="1935">AJ184+AJ191+AJ195+AJ202</f>
        <v>51637.279999999999</v>
      </c>
      <c r="AK183" s="530">
        <f t="shared" si="1935"/>
        <v>0</v>
      </c>
      <c r="AL183" s="530">
        <f t="shared" si="1935"/>
        <v>51637.279999999999</v>
      </c>
      <c r="AM183" s="530">
        <f>AM184+AM191+AM195+AM202</f>
        <v>0</v>
      </c>
      <c r="AN183" s="530">
        <f t="shared" ref="AN183:AP183" si="1936">AN184+AN191+AN195+AN202</f>
        <v>13064</v>
      </c>
      <c r="AO183" s="530">
        <f t="shared" si="1936"/>
        <v>0</v>
      </c>
      <c r="AP183" s="530">
        <f t="shared" si="1936"/>
        <v>13064</v>
      </c>
      <c r="AQ183" s="530">
        <f t="shared" si="1927"/>
        <v>0</v>
      </c>
      <c r="AR183" s="530">
        <f t="shared" si="1927"/>
        <v>93101.28</v>
      </c>
      <c r="AS183" s="530">
        <f t="shared" si="1927"/>
        <v>0</v>
      </c>
      <c r="AT183" s="531">
        <f t="shared" si="1927"/>
        <v>93101.28</v>
      </c>
      <c r="AU183" s="530">
        <f>AU184+AU191+AU195+AU202</f>
        <v>0</v>
      </c>
      <c r="AV183" s="530">
        <f t="shared" ref="AV183:AX183" si="1937">AV184+AV191+AV195+AV202</f>
        <v>2400</v>
      </c>
      <c r="AW183" s="530">
        <f t="shared" si="1937"/>
        <v>0</v>
      </c>
      <c r="AX183" s="530">
        <f t="shared" si="1937"/>
        <v>2400</v>
      </c>
      <c r="AY183" s="530">
        <f>AY184+AY191+AY195+AY202</f>
        <v>0</v>
      </c>
      <c r="AZ183" s="530">
        <f t="shared" ref="AZ183" si="1938">AZ184+AZ191+AZ195+AZ202</f>
        <v>26000</v>
      </c>
      <c r="BA183" s="530">
        <f t="shared" ref="BA183:BB183" si="1939">BA184+BA191+BA195+BA202</f>
        <v>0</v>
      </c>
      <c r="BB183" s="530">
        <f t="shared" si="1939"/>
        <v>26000</v>
      </c>
      <c r="BC183" s="530">
        <f>BC184+BC191+BC195+BC202</f>
        <v>0</v>
      </c>
      <c r="BD183" s="530">
        <f t="shared" ref="BD183" si="1940">BD184+BD191+BD195+BD202</f>
        <v>51637.279999999999</v>
      </c>
      <c r="BE183" s="530">
        <f t="shared" ref="BE183:BF183" si="1941">BE184+BE191+BE195+BE202</f>
        <v>0</v>
      </c>
      <c r="BF183" s="530">
        <f t="shared" si="1941"/>
        <v>51637.279999999999</v>
      </c>
      <c r="BG183" s="530">
        <f>BG184+BG191+BG195+BG202</f>
        <v>0</v>
      </c>
      <c r="BH183" s="530">
        <f t="shared" ref="BH183" si="1942">BH184+BH191+BH195+BH202</f>
        <v>13064</v>
      </c>
      <c r="BI183" s="530">
        <f t="shared" ref="BI183:BJ183" si="1943">BI184+BI191+BI195+BI202</f>
        <v>0</v>
      </c>
      <c r="BJ183" s="530">
        <f t="shared" si="1943"/>
        <v>13064</v>
      </c>
      <c r="BK183" s="530">
        <f t="shared" si="1927"/>
        <v>0</v>
      </c>
      <c r="BL183" s="530">
        <f t="shared" si="1927"/>
        <v>93101.28</v>
      </c>
      <c r="BM183" s="530">
        <f t="shared" si="1927"/>
        <v>0</v>
      </c>
      <c r="BN183" s="530">
        <f t="shared" si="1927"/>
        <v>93101.28</v>
      </c>
      <c r="BO183" s="532">
        <f t="shared" si="1927"/>
        <v>0</v>
      </c>
      <c r="BP183" s="530">
        <f t="shared" si="1927"/>
        <v>0</v>
      </c>
      <c r="BQ183" s="530">
        <f t="shared" si="1927"/>
        <v>18531.43</v>
      </c>
      <c r="BR183" s="530">
        <f t="shared" si="1927"/>
        <v>0</v>
      </c>
      <c r="BS183" s="531">
        <f t="shared" si="1927"/>
        <v>18531.43</v>
      </c>
      <c r="BT183" s="530">
        <f>BT184+BT191+BT195+BT202</f>
        <v>0</v>
      </c>
      <c r="BU183" s="530">
        <f t="shared" ref="BU183" si="1944">BU184+BU191+BU195+BU202</f>
        <v>0</v>
      </c>
      <c r="BV183" s="530">
        <f t="shared" ref="BV183:BW183" si="1945">BV184+BV191+BV195+BV202</f>
        <v>0</v>
      </c>
      <c r="BW183" s="530">
        <f t="shared" si="1945"/>
        <v>0</v>
      </c>
      <c r="BX183" s="530">
        <f t="shared" ref="BX183:CA183" si="1946">BX184+BX191+BX195+BX202</f>
        <v>0</v>
      </c>
      <c r="BY183" s="530">
        <f t="shared" si="1946"/>
        <v>0</v>
      </c>
      <c r="BZ183" s="530">
        <f t="shared" si="1946"/>
        <v>0</v>
      </c>
      <c r="CA183" s="533">
        <f t="shared" si="1946"/>
        <v>0</v>
      </c>
    </row>
    <row r="184" spans="1:79" ht="14.1" customHeight="1" x14ac:dyDescent="0.2">
      <c r="A184" s="123" t="s">
        <v>125</v>
      </c>
      <c r="B184" s="74" t="s">
        <v>126</v>
      </c>
      <c r="C184" s="899" t="s">
        <v>533</v>
      </c>
      <c r="D184" s="899"/>
      <c r="E184" s="900"/>
      <c r="G184" s="153">
        <f>G185+G188</f>
        <v>0</v>
      </c>
      <c r="H184" s="153">
        <f t="shared" ref="H184:I184" si="1947">H185+H188</f>
        <v>56903.07</v>
      </c>
      <c r="I184" s="153">
        <f t="shared" si="1947"/>
        <v>0</v>
      </c>
      <c r="J184" s="153">
        <f t="shared" ref="J184:BS184" si="1948">J185+J188</f>
        <v>56903.07</v>
      </c>
      <c r="K184" s="153">
        <f>K185+K188</f>
        <v>0</v>
      </c>
      <c r="L184" s="153">
        <f t="shared" ref="L184" si="1949">L185+L188</f>
        <v>0</v>
      </c>
      <c r="M184" s="153">
        <f t="shared" ref="M184:N184" si="1950">M185+M188</f>
        <v>0</v>
      </c>
      <c r="N184" s="153">
        <f t="shared" si="1950"/>
        <v>0</v>
      </c>
      <c r="O184" s="153">
        <f>O185+O188</f>
        <v>0</v>
      </c>
      <c r="P184" s="153">
        <f t="shared" ref="P184" si="1951">P185+P188</f>
        <v>0</v>
      </c>
      <c r="Q184" s="153">
        <f t="shared" ref="Q184:R184" si="1952">Q185+Q188</f>
        <v>0</v>
      </c>
      <c r="R184" s="153">
        <f t="shared" si="1952"/>
        <v>0</v>
      </c>
      <c r="S184" s="153">
        <f>S185+S188</f>
        <v>0</v>
      </c>
      <c r="T184" s="153">
        <f t="shared" ref="T184" si="1953">T185+T188</f>
        <v>0</v>
      </c>
      <c r="U184" s="153">
        <f t="shared" ref="U184:V184" si="1954">U185+U188</f>
        <v>0</v>
      </c>
      <c r="V184" s="153">
        <f t="shared" si="1954"/>
        <v>0</v>
      </c>
      <c r="W184" s="153">
        <f t="shared" si="1948"/>
        <v>0</v>
      </c>
      <c r="X184" s="153">
        <f t="shared" si="1948"/>
        <v>56903.07</v>
      </c>
      <c r="Y184" s="153">
        <f t="shared" si="1948"/>
        <v>0</v>
      </c>
      <c r="Z184" s="85">
        <f t="shared" si="1948"/>
        <v>56903.07</v>
      </c>
      <c r="AA184" s="153">
        <f t="shared" si="1948"/>
        <v>0</v>
      </c>
      <c r="AB184" s="153">
        <f t="shared" si="1948"/>
        <v>0</v>
      </c>
      <c r="AC184" s="153">
        <f t="shared" si="1948"/>
        <v>0</v>
      </c>
      <c r="AD184" s="153">
        <f t="shared" si="1948"/>
        <v>0</v>
      </c>
      <c r="AE184" s="153">
        <f>AE185+AE188</f>
        <v>0</v>
      </c>
      <c r="AF184" s="153">
        <f t="shared" ref="AF184:AH184" si="1955">AF185+AF188</f>
        <v>5000</v>
      </c>
      <c r="AG184" s="153">
        <f t="shared" si="1955"/>
        <v>0</v>
      </c>
      <c r="AH184" s="153">
        <f t="shared" si="1955"/>
        <v>5000</v>
      </c>
      <c r="AI184" s="153">
        <f>AI185+AI188</f>
        <v>0</v>
      </c>
      <c r="AJ184" s="153">
        <f t="shared" ref="AJ184:AL184" si="1956">AJ185+AJ188</f>
        <v>36904.07</v>
      </c>
      <c r="AK184" s="153">
        <f t="shared" si="1956"/>
        <v>0</v>
      </c>
      <c r="AL184" s="153">
        <f t="shared" si="1956"/>
        <v>36904.07</v>
      </c>
      <c r="AM184" s="153">
        <f>AM185+AM188</f>
        <v>0</v>
      </c>
      <c r="AN184" s="153">
        <f t="shared" ref="AN184:AP184" si="1957">AN185+AN188</f>
        <v>13064</v>
      </c>
      <c r="AO184" s="153">
        <f t="shared" si="1957"/>
        <v>0</v>
      </c>
      <c r="AP184" s="153">
        <f t="shared" si="1957"/>
        <v>13064</v>
      </c>
      <c r="AQ184" s="153">
        <f t="shared" si="1948"/>
        <v>0</v>
      </c>
      <c r="AR184" s="153">
        <f t="shared" si="1948"/>
        <v>54968.07</v>
      </c>
      <c r="AS184" s="153">
        <f t="shared" si="1948"/>
        <v>0</v>
      </c>
      <c r="AT184" s="85">
        <f t="shared" si="1948"/>
        <v>54968.07</v>
      </c>
      <c r="AU184" s="153">
        <f>AU185+AU188</f>
        <v>0</v>
      </c>
      <c r="AV184" s="153">
        <f t="shared" ref="AV184:AX184" si="1958">AV185+AV188</f>
        <v>0</v>
      </c>
      <c r="AW184" s="153">
        <f t="shared" si="1958"/>
        <v>0</v>
      </c>
      <c r="AX184" s="153">
        <f t="shared" si="1958"/>
        <v>0</v>
      </c>
      <c r="AY184" s="153">
        <f>AY185+AY188</f>
        <v>0</v>
      </c>
      <c r="AZ184" s="153">
        <f t="shared" ref="AZ184" si="1959">AZ185+AZ188</f>
        <v>5000</v>
      </c>
      <c r="BA184" s="153">
        <f t="shared" ref="BA184:BB184" si="1960">BA185+BA188</f>
        <v>0</v>
      </c>
      <c r="BB184" s="153">
        <f t="shared" si="1960"/>
        <v>5000</v>
      </c>
      <c r="BC184" s="153">
        <f>BC185+BC188</f>
        <v>0</v>
      </c>
      <c r="BD184" s="153">
        <f t="shared" ref="BD184" si="1961">BD185+BD188</f>
        <v>36904.07</v>
      </c>
      <c r="BE184" s="153">
        <f t="shared" ref="BE184:BF184" si="1962">BE185+BE188</f>
        <v>0</v>
      </c>
      <c r="BF184" s="153">
        <f t="shared" si="1962"/>
        <v>36904.07</v>
      </c>
      <c r="BG184" s="153">
        <f>BG185+BG188</f>
        <v>0</v>
      </c>
      <c r="BH184" s="153">
        <f t="shared" ref="BH184" si="1963">BH185+BH188</f>
        <v>13064</v>
      </c>
      <c r="BI184" s="153">
        <f t="shared" ref="BI184:BJ184" si="1964">BI185+BI188</f>
        <v>0</v>
      </c>
      <c r="BJ184" s="153">
        <f t="shared" si="1964"/>
        <v>13064</v>
      </c>
      <c r="BK184" s="153">
        <f t="shared" si="1948"/>
        <v>0</v>
      </c>
      <c r="BL184" s="153">
        <f t="shared" si="1948"/>
        <v>54968.07</v>
      </c>
      <c r="BM184" s="153">
        <f t="shared" si="1948"/>
        <v>0</v>
      </c>
      <c r="BN184" s="153">
        <f t="shared" si="1948"/>
        <v>54968.07</v>
      </c>
      <c r="BO184" s="169">
        <f t="shared" si="1948"/>
        <v>0</v>
      </c>
      <c r="BP184" s="153">
        <f t="shared" si="1948"/>
        <v>0</v>
      </c>
      <c r="BQ184" s="153">
        <f t="shared" si="1948"/>
        <v>1935</v>
      </c>
      <c r="BR184" s="153">
        <f t="shared" si="1948"/>
        <v>0</v>
      </c>
      <c r="BS184" s="85">
        <f t="shared" si="1948"/>
        <v>1935</v>
      </c>
      <c r="BT184" s="153">
        <f>BT185+BT188</f>
        <v>0</v>
      </c>
      <c r="BU184" s="153">
        <f t="shared" ref="BU184" si="1965">BU185+BU188</f>
        <v>0</v>
      </c>
      <c r="BV184" s="153">
        <f t="shared" ref="BV184:BW184" si="1966">BV185+BV188</f>
        <v>0</v>
      </c>
      <c r="BW184" s="153">
        <f t="shared" si="1966"/>
        <v>0</v>
      </c>
      <c r="BX184" s="153">
        <f t="shared" ref="BX184:CA184" si="1967">BX185+BX188</f>
        <v>0</v>
      </c>
      <c r="BY184" s="153">
        <f t="shared" si="1967"/>
        <v>0</v>
      </c>
      <c r="BZ184" s="153">
        <f t="shared" si="1967"/>
        <v>0</v>
      </c>
      <c r="CA184" s="124">
        <f t="shared" si="1967"/>
        <v>0</v>
      </c>
    </row>
    <row r="185" spans="1:79" ht="14.1" customHeight="1" x14ac:dyDescent="0.2">
      <c r="A185" s="125" t="s">
        <v>127</v>
      </c>
      <c r="B185" s="568"/>
      <c r="C185" s="81" t="s">
        <v>534</v>
      </c>
      <c r="D185" s="901" t="s">
        <v>535</v>
      </c>
      <c r="E185" s="902"/>
      <c r="G185" s="154">
        <f>SUM(G186:G187)</f>
        <v>0</v>
      </c>
      <c r="H185" s="154">
        <f t="shared" ref="H185:I185" si="1968">SUM(H186:H187)</f>
        <v>56903.07</v>
      </c>
      <c r="I185" s="154">
        <f t="shared" si="1968"/>
        <v>0</v>
      </c>
      <c r="J185" s="154">
        <f t="shared" ref="J185:BS185" si="1969">SUM(J186:J187)</f>
        <v>56903.07</v>
      </c>
      <c r="K185" s="154">
        <f>SUM(K186:K187)</f>
        <v>0</v>
      </c>
      <c r="L185" s="154">
        <f t="shared" ref="L185" si="1970">SUM(L186:L187)</f>
        <v>0</v>
      </c>
      <c r="M185" s="154">
        <f t="shared" ref="M185" si="1971">SUM(M186:M187)</f>
        <v>0</v>
      </c>
      <c r="N185" s="154">
        <f t="shared" ref="N185" si="1972">SUM(N186:N187)</f>
        <v>0</v>
      </c>
      <c r="O185" s="154">
        <f>SUM(O186:O187)</f>
        <v>0</v>
      </c>
      <c r="P185" s="154">
        <f t="shared" ref="P185" si="1973">SUM(P186:P187)</f>
        <v>0</v>
      </c>
      <c r="Q185" s="154">
        <f t="shared" ref="Q185" si="1974">SUM(Q186:Q187)</f>
        <v>0</v>
      </c>
      <c r="R185" s="154">
        <f t="shared" ref="R185" si="1975">SUM(R186:R187)</f>
        <v>0</v>
      </c>
      <c r="S185" s="154">
        <f>SUM(S186:S187)</f>
        <v>0</v>
      </c>
      <c r="T185" s="154">
        <f t="shared" ref="T185" si="1976">SUM(T186:T187)</f>
        <v>0</v>
      </c>
      <c r="U185" s="154">
        <f t="shared" ref="U185" si="1977">SUM(U186:U187)</f>
        <v>0</v>
      </c>
      <c r="V185" s="154">
        <f t="shared" ref="V185" si="1978">SUM(V186:V187)</f>
        <v>0</v>
      </c>
      <c r="W185" s="154">
        <f t="shared" si="1969"/>
        <v>0</v>
      </c>
      <c r="X185" s="154">
        <f t="shared" si="1969"/>
        <v>56903.07</v>
      </c>
      <c r="Y185" s="154">
        <f t="shared" si="1969"/>
        <v>0</v>
      </c>
      <c r="Z185" s="84">
        <f t="shared" si="1969"/>
        <v>56903.07</v>
      </c>
      <c r="AA185" s="154">
        <f t="shared" si="1969"/>
        <v>0</v>
      </c>
      <c r="AB185" s="154">
        <f t="shared" si="1969"/>
        <v>0</v>
      </c>
      <c r="AC185" s="154">
        <f t="shared" si="1969"/>
        <v>0</v>
      </c>
      <c r="AD185" s="154">
        <f t="shared" si="1969"/>
        <v>0</v>
      </c>
      <c r="AE185" s="154">
        <f>SUM(AE186:AE187)</f>
        <v>0</v>
      </c>
      <c r="AF185" s="154">
        <f t="shared" ref="AF185:AH185" si="1979">SUM(AF186:AF187)</f>
        <v>5000</v>
      </c>
      <c r="AG185" s="154">
        <f t="shared" si="1979"/>
        <v>0</v>
      </c>
      <c r="AH185" s="154">
        <f t="shared" si="1979"/>
        <v>5000</v>
      </c>
      <c r="AI185" s="154">
        <f>SUM(AI186:AI187)</f>
        <v>0</v>
      </c>
      <c r="AJ185" s="154">
        <f t="shared" ref="AJ185:AL185" si="1980">SUM(AJ186:AJ187)</f>
        <v>36904.07</v>
      </c>
      <c r="AK185" s="154">
        <f t="shared" si="1980"/>
        <v>0</v>
      </c>
      <c r="AL185" s="154">
        <f t="shared" si="1980"/>
        <v>36904.07</v>
      </c>
      <c r="AM185" s="154">
        <f>SUM(AM186:AM187)</f>
        <v>0</v>
      </c>
      <c r="AN185" s="154">
        <f t="shared" ref="AN185:AT185" si="1981">SUM(AN186:AN187)</f>
        <v>13064</v>
      </c>
      <c r="AO185" s="154">
        <f t="shared" si="1981"/>
        <v>0</v>
      </c>
      <c r="AP185" s="154">
        <f t="shared" si="1981"/>
        <v>13064</v>
      </c>
      <c r="AQ185" s="154">
        <f t="shared" si="1981"/>
        <v>0</v>
      </c>
      <c r="AR185" s="154">
        <f t="shared" si="1981"/>
        <v>54968.07</v>
      </c>
      <c r="AS185" s="154">
        <f t="shared" si="1981"/>
        <v>0</v>
      </c>
      <c r="AT185" s="84">
        <f t="shared" si="1981"/>
        <v>54968.07</v>
      </c>
      <c r="AU185" s="154">
        <f>SUM(AU186:AU187)</f>
        <v>0</v>
      </c>
      <c r="AV185" s="154">
        <f t="shared" ref="AV185:AX185" si="1982">SUM(AV186:AV187)</f>
        <v>0</v>
      </c>
      <c r="AW185" s="154">
        <f t="shared" si="1982"/>
        <v>0</v>
      </c>
      <c r="AX185" s="154">
        <f t="shared" si="1982"/>
        <v>0</v>
      </c>
      <c r="AY185" s="154">
        <f>SUM(AY186:AY187)</f>
        <v>0</v>
      </c>
      <c r="AZ185" s="154">
        <f t="shared" ref="AZ185" si="1983">SUM(AZ186:AZ187)</f>
        <v>5000</v>
      </c>
      <c r="BA185" s="154">
        <f t="shared" ref="BA185" si="1984">SUM(BA186:BA187)</f>
        <v>0</v>
      </c>
      <c r="BB185" s="154">
        <f t="shared" ref="BB185" si="1985">SUM(BB186:BB187)</f>
        <v>5000</v>
      </c>
      <c r="BC185" s="154">
        <f>SUM(BC186:BC187)</f>
        <v>0</v>
      </c>
      <c r="BD185" s="154">
        <f t="shared" ref="BD185" si="1986">SUM(BD186:BD187)</f>
        <v>36904.07</v>
      </c>
      <c r="BE185" s="154">
        <f t="shared" ref="BE185" si="1987">SUM(BE186:BE187)</f>
        <v>0</v>
      </c>
      <c r="BF185" s="154">
        <f t="shared" ref="BF185" si="1988">SUM(BF186:BF187)</f>
        <v>36904.07</v>
      </c>
      <c r="BG185" s="154">
        <f>SUM(BG186:BG187)</f>
        <v>0</v>
      </c>
      <c r="BH185" s="154">
        <f t="shared" ref="BH185" si="1989">SUM(BH186:BH187)</f>
        <v>13064</v>
      </c>
      <c r="BI185" s="154">
        <f t="shared" ref="BI185" si="1990">SUM(BI186:BI187)</f>
        <v>0</v>
      </c>
      <c r="BJ185" s="154">
        <f t="shared" ref="BJ185" si="1991">SUM(BJ186:BJ187)</f>
        <v>13064</v>
      </c>
      <c r="BK185" s="154">
        <f t="shared" si="1969"/>
        <v>0</v>
      </c>
      <c r="BL185" s="154">
        <f t="shared" si="1969"/>
        <v>54968.07</v>
      </c>
      <c r="BM185" s="154">
        <f t="shared" si="1969"/>
        <v>0</v>
      </c>
      <c r="BN185" s="154">
        <f t="shared" si="1969"/>
        <v>54968.07</v>
      </c>
      <c r="BO185" s="170">
        <f t="shared" si="1969"/>
        <v>0</v>
      </c>
      <c r="BP185" s="154">
        <f t="shared" si="1969"/>
        <v>0</v>
      </c>
      <c r="BQ185" s="154">
        <f t="shared" si="1969"/>
        <v>1935</v>
      </c>
      <c r="BR185" s="154">
        <f t="shared" si="1969"/>
        <v>0</v>
      </c>
      <c r="BS185" s="84">
        <f t="shared" si="1969"/>
        <v>1935</v>
      </c>
      <c r="BT185" s="154">
        <f>SUM(BT186:BT187)</f>
        <v>0</v>
      </c>
      <c r="BU185" s="154">
        <f t="shared" ref="BU185" si="1992">SUM(BU186:BU187)</f>
        <v>0</v>
      </c>
      <c r="BV185" s="154">
        <f t="shared" ref="BV185" si="1993">SUM(BV186:BV187)</f>
        <v>0</v>
      </c>
      <c r="BW185" s="154">
        <f t="shared" ref="BW185" si="1994">SUM(BW186:BW187)</f>
        <v>0</v>
      </c>
      <c r="BX185" s="154">
        <f t="shared" ref="BX185:CA185" si="1995">SUM(BX186:BX187)</f>
        <v>0</v>
      </c>
      <c r="BY185" s="154">
        <f t="shared" si="1995"/>
        <v>0</v>
      </c>
      <c r="BZ185" s="154">
        <f t="shared" si="1995"/>
        <v>0</v>
      </c>
      <c r="CA185" s="126">
        <f t="shared" si="1995"/>
        <v>0</v>
      </c>
    </row>
    <row r="186" spans="1:79" ht="14.1" customHeight="1" x14ac:dyDescent="0.2">
      <c r="A186" s="125" t="s">
        <v>523</v>
      </c>
      <c r="B186" s="568"/>
      <c r="C186" s="78"/>
      <c r="D186" s="82" t="s">
        <v>524</v>
      </c>
      <c r="E186" s="83" t="s">
        <v>525</v>
      </c>
      <c r="G186" s="152"/>
      <c r="H186" s="152">
        <v>56903.07</v>
      </c>
      <c r="I186" s="152"/>
      <c r="J186" s="152">
        <f t="shared" ref="J186:J187" si="1996">SUM(G186:I186)</f>
        <v>56903.07</v>
      </c>
      <c r="K186" s="152"/>
      <c r="L186" s="152"/>
      <c r="M186" s="152"/>
      <c r="N186" s="152">
        <f t="shared" ref="N186:N187" si="1997">SUM(K186:M186)</f>
        <v>0</v>
      </c>
      <c r="O186" s="152"/>
      <c r="P186" s="152"/>
      <c r="Q186" s="152"/>
      <c r="R186" s="152">
        <f t="shared" ref="R186:R187" si="1998">SUM(O186:Q186)</f>
        <v>0</v>
      </c>
      <c r="S186" s="152"/>
      <c r="T186" s="152"/>
      <c r="U186" s="152"/>
      <c r="V186" s="152">
        <f t="shared" ref="V186:V187" si="1999">SUM(S186:U186)</f>
        <v>0</v>
      </c>
      <c r="W186" s="152">
        <f>G186-O186+S186+K186</f>
        <v>0</v>
      </c>
      <c r="X186" s="152">
        <f t="shared" ref="X186:X187" si="2000">H186-P186+T186+L186</f>
        <v>56903.07</v>
      </c>
      <c r="Y186" s="152">
        <f t="shared" ref="Y186:Y187" si="2001">I186-Q186+U186+M186</f>
        <v>0</v>
      </c>
      <c r="Z186" s="168">
        <f>SUM(W186:Y186)</f>
        <v>56903.07</v>
      </c>
      <c r="AA186" s="152"/>
      <c r="AB186" s="152"/>
      <c r="AC186" s="152"/>
      <c r="AD186" s="152">
        <f t="shared" ref="AD186:AD187" si="2002">SUM(AA186:AC186)</f>
        <v>0</v>
      </c>
      <c r="AE186" s="152"/>
      <c r="AF186" s="152">
        <f>5000</f>
        <v>5000</v>
      </c>
      <c r="AG186" s="152"/>
      <c r="AH186" s="152">
        <f t="shared" ref="AH186:AH187" si="2003">SUM(AE186:AG186)</f>
        <v>5000</v>
      </c>
      <c r="AI186" s="152"/>
      <c r="AJ186" s="152">
        <f>33904.07+2113.33+886.67</f>
        <v>36904.07</v>
      </c>
      <c r="AK186" s="152"/>
      <c r="AL186" s="152">
        <f t="shared" ref="AL186:AL187" si="2004">SUM(AI186:AK186)</f>
        <v>36904.07</v>
      </c>
      <c r="AM186" s="152"/>
      <c r="AN186" s="152">
        <f>3565+9499</f>
        <v>13064</v>
      </c>
      <c r="AO186" s="152"/>
      <c r="AP186" s="152">
        <f t="shared" ref="AP186:AP187" si="2005">SUM(AM186:AO186)</f>
        <v>13064</v>
      </c>
      <c r="AQ186" s="152">
        <f t="shared" ref="AQ186:AS187" si="2006">AA186+AE186+AI186+AM186</f>
        <v>0</v>
      </c>
      <c r="AR186" s="152">
        <f t="shared" si="2006"/>
        <v>54968.07</v>
      </c>
      <c r="AS186" s="152">
        <f t="shared" si="2006"/>
        <v>0</v>
      </c>
      <c r="AT186" s="168">
        <f>SUM(AQ186:AS186)</f>
        <v>54968.07</v>
      </c>
      <c r="AU186" s="152"/>
      <c r="AV186" s="152"/>
      <c r="AW186" s="152"/>
      <c r="AX186" s="152">
        <f t="shared" ref="AX186:AX187" si="2007">SUM(AU186:AW186)</f>
        <v>0</v>
      </c>
      <c r="AY186" s="152"/>
      <c r="AZ186" s="152">
        <f>5000</f>
        <v>5000</v>
      </c>
      <c r="BA186" s="152"/>
      <c r="BB186" s="152">
        <f t="shared" ref="BB186:BB187" si="2008">SUM(AY186:BA186)</f>
        <v>5000</v>
      </c>
      <c r="BC186" s="152"/>
      <c r="BD186" s="152">
        <f>33904.07+2113.33+886.67</f>
        <v>36904.07</v>
      </c>
      <c r="BE186" s="152"/>
      <c r="BF186" s="152">
        <f t="shared" ref="BF186:BF187" si="2009">SUM(BC186:BE186)</f>
        <v>36904.07</v>
      </c>
      <c r="BG186" s="152"/>
      <c r="BH186" s="152">
        <f>3565+9499</f>
        <v>13064</v>
      </c>
      <c r="BI186" s="152"/>
      <c r="BJ186" s="152">
        <f t="shared" ref="BJ186:BJ187" si="2010">SUM(BG186:BI186)</f>
        <v>13064</v>
      </c>
      <c r="BK186" s="152">
        <f t="shared" ref="BK186:BK187" si="2011">AU186+AY186+BC186+BG186</f>
        <v>0</v>
      </c>
      <c r="BL186" s="152">
        <f t="shared" ref="BL186:BL187" si="2012">AV186+AZ186+BD186+BH186</f>
        <v>54968.07</v>
      </c>
      <c r="BM186" s="152">
        <f t="shared" ref="BM186:BM187" si="2013">AW186+BA186+BE186+BI186</f>
        <v>0</v>
      </c>
      <c r="BN186" s="152">
        <f>SUM(BK186:BM186)</f>
        <v>54968.07</v>
      </c>
      <c r="BO186" s="168"/>
      <c r="BP186" s="152">
        <f t="shared" ref="BP186:BP187" si="2014">W186-AQ186</f>
        <v>0</v>
      </c>
      <c r="BQ186" s="152">
        <f t="shared" ref="BQ186:BQ187" si="2015">X186-AR186</f>
        <v>1935</v>
      </c>
      <c r="BR186" s="152">
        <f t="shared" ref="BR186:BR187" si="2016">Y186-AS186</f>
        <v>0</v>
      </c>
      <c r="BS186" s="168">
        <f>SUM(BP186:BR186)</f>
        <v>1935</v>
      </c>
      <c r="BT186" s="152"/>
      <c r="BU186" s="152"/>
      <c r="BV186" s="152"/>
      <c r="BW186" s="152">
        <f t="shared" ref="BW186:BW187" si="2017">SUM(BT186:BV186)</f>
        <v>0</v>
      </c>
      <c r="BX186" s="152">
        <f t="shared" ref="BX186:BX187" si="2018">AQ186-BK186-BT186</f>
        <v>0</v>
      </c>
      <c r="BY186" s="152">
        <f t="shared" ref="BY186:BY187" si="2019">AR186-BL186-BU186</f>
        <v>0</v>
      </c>
      <c r="BZ186" s="152">
        <f t="shared" ref="BZ186:BZ187" si="2020">AS186-BM186-BV186</f>
        <v>0</v>
      </c>
      <c r="CA186" s="587">
        <f t="shared" ref="CA186:CA187" si="2021">SUM(BX186:BZ186)</f>
        <v>0</v>
      </c>
    </row>
    <row r="187" spans="1:79" ht="14.1" customHeight="1" x14ac:dyDescent="0.2">
      <c r="A187" s="125" t="s">
        <v>527</v>
      </c>
      <c r="B187" s="568"/>
      <c r="C187" s="78"/>
      <c r="D187" s="82" t="s">
        <v>536</v>
      </c>
      <c r="E187" s="83" t="s">
        <v>526</v>
      </c>
      <c r="G187" s="152"/>
      <c r="H187" s="152"/>
      <c r="I187" s="152"/>
      <c r="J187" s="152">
        <f t="shared" si="1996"/>
        <v>0</v>
      </c>
      <c r="K187" s="152"/>
      <c r="L187" s="152"/>
      <c r="M187" s="152"/>
      <c r="N187" s="152">
        <f t="shared" si="1997"/>
        <v>0</v>
      </c>
      <c r="O187" s="152"/>
      <c r="P187" s="152"/>
      <c r="Q187" s="152"/>
      <c r="R187" s="152">
        <f t="shared" si="1998"/>
        <v>0</v>
      </c>
      <c r="S187" s="152"/>
      <c r="T187" s="152"/>
      <c r="U187" s="152"/>
      <c r="V187" s="152">
        <f t="shared" si="1999"/>
        <v>0</v>
      </c>
      <c r="W187" s="152">
        <f>G187-O187+S187+K187</f>
        <v>0</v>
      </c>
      <c r="X187" s="152">
        <f t="shared" si="2000"/>
        <v>0</v>
      </c>
      <c r="Y187" s="152">
        <f t="shared" si="2001"/>
        <v>0</v>
      </c>
      <c r="Z187" s="168">
        <f>SUM(W187:Y187)</f>
        <v>0</v>
      </c>
      <c r="AA187" s="152"/>
      <c r="AB187" s="152"/>
      <c r="AC187" s="152"/>
      <c r="AD187" s="152">
        <f t="shared" si="2002"/>
        <v>0</v>
      </c>
      <c r="AE187" s="152"/>
      <c r="AF187" s="152"/>
      <c r="AG187" s="152"/>
      <c r="AH187" s="152">
        <f t="shared" si="2003"/>
        <v>0</v>
      </c>
      <c r="AI187" s="152"/>
      <c r="AJ187" s="152"/>
      <c r="AK187" s="152"/>
      <c r="AL187" s="152">
        <f t="shared" si="2004"/>
        <v>0</v>
      </c>
      <c r="AM187" s="152"/>
      <c r="AN187" s="152"/>
      <c r="AO187" s="152"/>
      <c r="AP187" s="152">
        <f t="shared" si="2005"/>
        <v>0</v>
      </c>
      <c r="AQ187" s="152">
        <f t="shared" si="2006"/>
        <v>0</v>
      </c>
      <c r="AR187" s="152">
        <f t="shared" si="2006"/>
        <v>0</v>
      </c>
      <c r="AS187" s="152">
        <f t="shared" si="2006"/>
        <v>0</v>
      </c>
      <c r="AT187" s="168">
        <f>SUM(AQ187:AS187)</f>
        <v>0</v>
      </c>
      <c r="AU187" s="152"/>
      <c r="AV187" s="152"/>
      <c r="AW187" s="152"/>
      <c r="AX187" s="152">
        <f t="shared" si="2007"/>
        <v>0</v>
      </c>
      <c r="AY187" s="152"/>
      <c r="AZ187" s="152"/>
      <c r="BA187" s="152"/>
      <c r="BB187" s="152">
        <f t="shared" si="2008"/>
        <v>0</v>
      </c>
      <c r="BC187" s="152"/>
      <c r="BD187" s="152"/>
      <c r="BE187" s="152"/>
      <c r="BF187" s="152">
        <f t="shared" si="2009"/>
        <v>0</v>
      </c>
      <c r="BG187" s="152"/>
      <c r="BH187" s="152"/>
      <c r="BI187" s="152"/>
      <c r="BJ187" s="152">
        <f t="shared" si="2010"/>
        <v>0</v>
      </c>
      <c r="BK187" s="152">
        <f t="shared" si="2011"/>
        <v>0</v>
      </c>
      <c r="BL187" s="152">
        <f t="shared" si="2012"/>
        <v>0</v>
      </c>
      <c r="BM187" s="152">
        <f t="shared" si="2013"/>
        <v>0</v>
      </c>
      <c r="BN187" s="152">
        <f>SUM(BK187:BM187)</f>
        <v>0</v>
      </c>
      <c r="BO187" s="168"/>
      <c r="BP187" s="152">
        <f t="shared" si="2014"/>
        <v>0</v>
      </c>
      <c r="BQ187" s="152">
        <f t="shared" si="2015"/>
        <v>0</v>
      </c>
      <c r="BR187" s="152">
        <f t="shared" si="2016"/>
        <v>0</v>
      </c>
      <c r="BS187" s="168">
        <f>SUM(BP187:BR187)</f>
        <v>0</v>
      </c>
      <c r="BT187" s="152"/>
      <c r="BU187" s="152"/>
      <c r="BV187" s="152"/>
      <c r="BW187" s="152">
        <f t="shared" si="2017"/>
        <v>0</v>
      </c>
      <c r="BX187" s="152">
        <f t="shared" si="2018"/>
        <v>0</v>
      </c>
      <c r="BY187" s="152">
        <f t="shared" si="2019"/>
        <v>0</v>
      </c>
      <c r="BZ187" s="152">
        <f t="shared" si="2020"/>
        <v>0</v>
      </c>
      <c r="CA187" s="587">
        <f t="shared" si="2021"/>
        <v>0</v>
      </c>
    </row>
    <row r="188" spans="1:79" ht="14.1" customHeight="1" x14ac:dyDescent="0.2">
      <c r="A188" s="125" t="s">
        <v>128</v>
      </c>
      <c r="B188" s="568"/>
      <c r="C188" s="81" t="s">
        <v>147</v>
      </c>
      <c r="D188" s="901" t="s">
        <v>129</v>
      </c>
      <c r="E188" s="902"/>
      <c r="G188" s="154">
        <f>SUM(G189:G190)</f>
        <v>0</v>
      </c>
      <c r="H188" s="154">
        <f t="shared" ref="H188:I188" si="2022">SUM(H189:H190)</f>
        <v>0</v>
      </c>
      <c r="I188" s="154">
        <f t="shared" si="2022"/>
        <v>0</v>
      </c>
      <c r="J188" s="154">
        <f t="shared" ref="J188:BS188" si="2023">SUM(J189:J190)</f>
        <v>0</v>
      </c>
      <c r="K188" s="154">
        <f>SUM(K189:K190)</f>
        <v>0</v>
      </c>
      <c r="L188" s="154">
        <f t="shared" ref="L188" si="2024">SUM(L189:L190)</f>
        <v>0</v>
      </c>
      <c r="M188" s="154">
        <f t="shared" ref="M188:N188" si="2025">SUM(M189:M190)</f>
        <v>0</v>
      </c>
      <c r="N188" s="154">
        <f t="shared" si="2025"/>
        <v>0</v>
      </c>
      <c r="O188" s="154">
        <f>SUM(O189:O190)</f>
        <v>0</v>
      </c>
      <c r="P188" s="154">
        <f t="shared" ref="P188" si="2026">SUM(P189:P190)</f>
        <v>0</v>
      </c>
      <c r="Q188" s="154">
        <f t="shared" ref="Q188:R188" si="2027">SUM(Q189:Q190)</f>
        <v>0</v>
      </c>
      <c r="R188" s="154">
        <f t="shared" si="2027"/>
        <v>0</v>
      </c>
      <c r="S188" s="154">
        <f>SUM(S189:S190)</f>
        <v>0</v>
      </c>
      <c r="T188" s="154">
        <f t="shared" ref="T188" si="2028">SUM(T189:T190)</f>
        <v>0</v>
      </c>
      <c r="U188" s="154">
        <f t="shared" ref="U188:V188" si="2029">SUM(U189:U190)</f>
        <v>0</v>
      </c>
      <c r="V188" s="154">
        <f t="shared" si="2029"/>
        <v>0</v>
      </c>
      <c r="W188" s="154">
        <f t="shared" si="2023"/>
        <v>0</v>
      </c>
      <c r="X188" s="154">
        <f t="shared" si="2023"/>
        <v>0</v>
      </c>
      <c r="Y188" s="154">
        <f t="shared" si="2023"/>
        <v>0</v>
      </c>
      <c r="Z188" s="84">
        <f t="shared" si="2023"/>
        <v>0</v>
      </c>
      <c r="AA188" s="154">
        <f t="shared" si="2023"/>
        <v>0</v>
      </c>
      <c r="AB188" s="154">
        <f t="shared" si="2023"/>
        <v>0</v>
      </c>
      <c r="AC188" s="154">
        <f t="shared" si="2023"/>
        <v>0</v>
      </c>
      <c r="AD188" s="154">
        <f t="shared" si="2023"/>
        <v>0</v>
      </c>
      <c r="AE188" s="154">
        <f>SUM(AE189:AE190)</f>
        <v>0</v>
      </c>
      <c r="AF188" s="154">
        <f t="shared" ref="AF188:AH188" si="2030">SUM(AF189:AF190)</f>
        <v>0</v>
      </c>
      <c r="AG188" s="154">
        <f t="shared" si="2030"/>
        <v>0</v>
      </c>
      <c r="AH188" s="154">
        <f t="shared" si="2030"/>
        <v>0</v>
      </c>
      <c r="AI188" s="154">
        <f>SUM(AI189:AI190)</f>
        <v>0</v>
      </c>
      <c r="AJ188" s="154">
        <f t="shared" ref="AJ188:AL188" si="2031">SUM(AJ189:AJ190)</f>
        <v>0</v>
      </c>
      <c r="AK188" s="154">
        <f t="shared" si="2031"/>
        <v>0</v>
      </c>
      <c r="AL188" s="154">
        <f t="shared" si="2031"/>
        <v>0</v>
      </c>
      <c r="AM188" s="154">
        <f>SUM(AM189:AM190)</f>
        <v>0</v>
      </c>
      <c r="AN188" s="154">
        <f t="shared" ref="AN188:AP188" si="2032">SUM(AN189:AN190)</f>
        <v>0</v>
      </c>
      <c r="AO188" s="154">
        <f t="shared" si="2032"/>
        <v>0</v>
      </c>
      <c r="AP188" s="154">
        <f t="shared" si="2032"/>
        <v>0</v>
      </c>
      <c r="AQ188" s="154">
        <f t="shared" si="2023"/>
        <v>0</v>
      </c>
      <c r="AR188" s="154">
        <f t="shared" si="2023"/>
        <v>0</v>
      </c>
      <c r="AS188" s="154">
        <f t="shared" si="2023"/>
        <v>0</v>
      </c>
      <c r="AT188" s="84">
        <f t="shared" si="2023"/>
        <v>0</v>
      </c>
      <c r="AU188" s="154">
        <f>SUM(AU189:AU190)</f>
        <v>0</v>
      </c>
      <c r="AV188" s="154">
        <f t="shared" ref="AV188:AX188" si="2033">SUM(AV189:AV190)</f>
        <v>0</v>
      </c>
      <c r="AW188" s="154">
        <f t="shared" si="2033"/>
        <v>0</v>
      </c>
      <c r="AX188" s="154">
        <f t="shared" si="2033"/>
        <v>0</v>
      </c>
      <c r="AY188" s="154">
        <f>SUM(AY189:AY190)</f>
        <v>0</v>
      </c>
      <c r="AZ188" s="154">
        <f t="shared" ref="AZ188" si="2034">SUM(AZ189:AZ190)</f>
        <v>0</v>
      </c>
      <c r="BA188" s="154">
        <f t="shared" ref="BA188:BB188" si="2035">SUM(BA189:BA190)</f>
        <v>0</v>
      </c>
      <c r="BB188" s="154">
        <f t="shared" si="2035"/>
        <v>0</v>
      </c>
      <c r="BC188" s="154">
        <f>SUM(BC189:BC190)</f>
        <v>0</v>
      </c>
      <c r="BD188" s="154">
        <f t="shared" ref="BD188" si="2036">SUM(BD189:BD190)</f>
        <v>0</v>
      </c>
      <c r="BE188" s="154">
        <f t="shared" ref="BE188:BF188" si="2037">SUM(BE189:BE190)</f>
        <v>0</v>
      </c>
      <c r="BF188" s="154">
        <f t="shared" si="2037"/>
        <v>0</v>
      </c>
      <c r="BG188" s="154">
        <f>SUM(BG189:BG190)</f>
        <v>0</v>
      </c>
      <c r="BH188" s="154">
        <f t="shared" ref="BH188" si="2038">SUM(BH189:BH190)</f>
        <v>0</v>
      </c>
      <c r="BI188" s="154">
        <f t="shared" ref="BI188:BJ188" si="2039">SUM(BI189:BI190)</f>
        <v>0</v>
      </c>
      <c r="BJ188" s="154">
        <f t="shared" si="2039"/>
        <v>0</v>
      </c>
      <c r="BK188" s="154">
        <f t="shared" si="2023"/>
        <v>0</v>
      </c>
      <c r="BL188" s="154">
        <f t="shared" si="2023"/>
        <v>0</v>
      </c>
      <c r="BM188" s="154">
        <f t="shared" si="2023"/>
        <v>0</v>
      </c>
      <c r="BN188" s="154">
        <f t="shared" si="2023"/>
        <v>0</v>
      </c>
      <c r="BO188" s="170">
        <f t="shared" si="2023"/>
        <v>0</v>
      </c>
      <c r="BP188" s="154">
        <f t="shared" si="2023"/>
        <v>0</v>
      </c>
      <c r="BQ188" s="154">
        <f t="shared" si="2023"/>
        <v>0</v>
      </c>
      <c r="BR188" s="154">
        <f t="shared" si="2023"/>
        <v>0</v>
      </c>
      <c r="BS188" s="84">
        <f t="shared" si="2023"/>
        <v>0</v>
      </c>
      <c r="BT188" s="154">
        <f>SUM(BT189:BT190)</f>
        <v>0</v>
      </c>
      <c r="BU188" s="154">
        <f t="shared" ref="BU188" si="2040">SUM(BU189:BU190)</f>
        <v>0</v>
      </c>
      <c r="BV188" s="154">
        <f t="shared" ref="BV188:BW188" si="2041">SUM(BV189:BV190)</f>
        <v>0</v>
      </c>
      <c r="BW188" s="154">
        <f t="shared" si="2041"/>
        <v>0</v>
      </c>
      <c r="BX188" s="154">
        <f t="shared" ref="BX188:CA188" si="2042">SUM(BX189:BX190)</f>
        <v>0</v>
      </c>
      <c r="BY188" s="154">
        <f t="shared" si="2042"/>
        <v>0</v>
      </c>
      <c r="BZ188" s="154">
        <f t="shared" si="2042"/>
        <v>0</v>
      </c>
      <c r="CA188" s="126">
        <f t="shared" si="2042"/>
        <v>0</v>
      </c>
    </row>
    <row r="189" spans="1:79" ht="14.1" customHeight="1" x14ac:dyDescent="0.2">
      <c r="A189" s="125" t="s">
        <v>537</v>
      </c>
      <c r="B189" s="568"/>
      <c r="C189" s="78"/>
      <c r="D189" s="82" t="s">
        <v>524</v>
      </c>
      <c r="E189" s="566" t="s">
        <v>538</v>
      </c>
      <c r="G189" s="152"/>
      <c r="H189" s="152"/>
      <c r="I189" s="152"/>
      <c r="J189" s="152">
        <f t="shared" ref="J189:J190" si="2043">SUM(G189:I189)</f>
        <v>0</v>
      </c>
      <c r="K189" s="152"/>
      <c r="L189" s="152"/>
      <c r="M189" s="152"/>
      <c r="N189" s="152">
        <f t="shared" ref="N189:N190" si="2044">SUM(K189:M189)</f>
        <v>0</v>
      </c>
      <c r="O189" s="152"/>
      <c r="P189" s="152"/>
      <c r="Q189" s="152"/>
      <c r="R189" s="152">
        <f t="shared" ref="R189:R190" si="2045">SUM(O189:Q189)</f>
        <v>0</v>
      </c>
      <c r="S189" s="152"/>
      <c r="T189" s="152"/>
      <c r="U189" s="152"/>
      <c r="V189" s="152">
        <f t="shared" ref="V189:V190" si="2046">SUM(S189:U189)</f>
        <v>0</v>
      </c>
      <c r="W189" s="152">
        <f>G189-O189+S189+K189</f>
        <v>0</v>
      </c>
      <c r="X189" s="152">
        <f t="shared" ref="X189:X190" si="2047">H189-P189+T189+L189</f>
        <v>0</v>
      </c>
      <c r="Y189" s="152">
        <f t="shared" ref="Y189:Y190" si="2048">I189-Q189+U189+M189</f>
        <v>0</v>
      </c>
      <c r="Z189" s="168">
        <f>SUM(W189:Y189)</f>
        <v>0</v>
      </c>
      <c r="AA189" s="152"/>
      <c r="AB189" s="152"/>
      <c r="AC189" s="152"/>
      <c r="AD189" s="152">
        <f t="shared" ref="AD189:AD190" si="2049">SUM(AA189:AC189)</f>
        <v>0</v>
      </c>
      <c r="AE189" s="152"/>
      <c r="AF189" s="152"/>
      <c r="AG189" s="152"/>
      <c r="AH189" s="152">
        <f t="shared" ref="AH189:AH190" si="2050">SUM(AE189:AG189)</f>
        <v>0</v>
      </c>
      <c r="AI189" s="152"/>
      <c r="AJ189" s="152"/>
      <c r="AK189" s="152"/>
      <c r="AL189" s="152">
        <f t="shared" ref="AL189:AL190" si="2051">SUM(AI189:AK189)</f>
        <v>0</v>
      </c>
      <c r="AM189" s="152"/>
      <c r="AN189" s="152"/>
      <c r="AO189" s="152"/>
      <c r="AP189" s="152">
        <f t="shared" ref="AP189:AP190" si="2052">SUM(AM189:AO189)</f>
        <v>0</v>
      </c>
      <c r="AQ189" s="152">
        <f t="shared" ref="AQ189:AS190" si="2053">AA189+AE189+AI189+AM189</f>
        <v>0</v>
      </c>
      <c r="AR189" s="152">
        <f t="shared" si="2053"/>
        <v>0</v>
      </c>
      <c r="AS189" s="152">
        <f t="shared" si="2053"/>
        <v>0</v>
      </c>
      <c r="AT189" s="168">
        <f>SUM(AQ189:AS189)</f>
        <v>0</v>
      </c>
      <c r="AU189" s="152"/>
      <c r="AV189" s="152"/>
      <c r="AW189" s="152"/>
      <c r="AX189" s="152">
        <f t="shared" ref="AX189:AX190" si="2054">SUM(AU189:AW189)</f>
        <v>0</v>
      </c>
      <c r="AY189" s="152"/>
      <c r="AZ189" s="152"/>
      <c r="BA189" s="152"/>
      <c r="BB189" s="152">
        <f t="shared" ref="BB189:BB190" si="2055">SUM(AY189:BA189)</f>
        <v>0</v>
      </c>
      <c r="BC189" s="152"/>
      <c r="BD189" s="152"/>
      <c r="BE189" s="152"/>
      <c r="BF189" s="152">
        <f t="shared" ref="BF189:BF190" si="2056">SUM(BC189:BE189)</f>
        <v>0</v>
      </c>
      <c r="BG189" s="152"/>
      <c r="BH189" s="152"/>
      <c r="BI189" s="152"/>
      <c r="BJ189" s="152">
        <f t="shared" ref="BJ189:BJ190" si="2057">SUM(BG189:BI189)</f>
        <v>0</v>
      </c>
      <c r="BK189" s="152">
        <f t="shared" ref="BK189:BK190" si="2058">AU189+AY189+BC189+BG189</f>
        <v>0</v>
      </c>
      <c r="BL189" s="152">
        <f t="shared" ref="BL189:BL190" si="2059">AV189+AZ189+BD189+BH189</f>
        <v>0</v>
      </c>
      <c r="BM189" s="152">
        <f t="shared" ref="BM189:BM190" si="2060">AW189+BA189+BE189+BI189</f>
        <v>0</v>
      </c>
      <c r="BN189" s="152">
        <f>SUM(BK189:BM189)</f>
        <v>0</v>
      </c>
      <c r="BO189" s="168"/>
      <c r="BP189" s="152">
        <f t="shared" ref="BP189:BP190" si="2061">W189-AQ189</f>
        <v>0</v>
      </c>
      <c r="BQ189" s="152">
        <f t="shared" ref="BQ189:BQ190" si="2062">X189-AR189</f>
        <v>0</v>
      </c>
      <c r="BR189" s="152">
        <f t="shared" ref="BR189:BR190" si="2063">Y189-AS189</f>
        <v>0</v>
      </c>
      <c r="BS189" s="168">
        <f>SUM(BP189:BR189)</f>
        <v>0</v>
      </c>
      <c r="BT189" s="152"/>
      <c r="BU189" s="152"/>
      <c r="BV189" s="152"/>
      <c r="BW189" s="152">
        <f t="shared" ref="BW189:BW190" si="2064">SUM(BT189:BV189)</f>
        <v>0</v>
      </c>
      <c r="BX189" s="152">
        <f t="shared" ref="BX189:BX190" si="2065">AQ189-BK189-BT189</f>
        <v>0</v>
      </c>
      <c r="BY189" s="152">
        <f t="shared" ref="BY189:BY190" si="2066">AR189-BL189-BU189</f>
        <v>0</v>
      </c>
      <c r="BZ189" s="152">
        <f t="shared" ref="BZ189:BZ190" si="2067">AS189-BM189-BV189</f>
        <v>0</v>
      </c>
      <c r="CA189" s="587">
        <f t="shared" ref="CA189:CA190" si="2068">SUM(BX189:BZ189)</f>
        <v>0</v>
      </c>
    </row>
    <row r="190" spans="1:79" ht="14.1" customHeight="1" x14ac:dyDescent="0.2">
      <c r="A190" s="125" t="s">
        <v>539</v>
      </c>
      <c r="B190" s="568"/>
      <c r="C190" s="78"/>
      <c r="D190" s="82" t="s">
        <v>536</v>
      </c>
      <c r="E190" s="566" t="s">
        <v>540</v>
      </c>
      <c r="G190" s="152"/>
      <c r="H190" s="152"/>
      <c r="I190" s="152"/>
      <c r="J190" s="152">
        <f t="shared" si="2043"/>
        <v>0</v>
      </c>
      <c r="K190" s="152"/>
      <c r="L190" s="152"/>
      <c r="M190" s="152"/>
      <c r="N190" s="152">
        <f t="shared" si="2044"/>
        <v>0</v>
      </c>
      <c r="O190" s="152"/>
      <c r="P190" s="152"/>
      <c r="Q190" s="152"/>
      <c r="R190" s="152">
        <f t="shared" si="2045"/>
        <v>0</v>
      </c>
      <c r="S190" s="152"/>
      <c r="T190" s="152"/>
      <c r="U190" s="152"/>
      <c r="V190" s="152">
        <f t="shared" si="2046"/>
        <v>0</v>
      </c>
      <c r="W190" s="152">
        <f>G190-O190+S190+K190</f>
        <v>0</v>
      </c>
      <c r="X190" s="152">
        <f t="shared" si="2047"/>
        <v>0</v>
      </c>
      <c r="Y190" s="152">
        <f t="shared" si="2048"/>
        <v>0</v>
      </c>
      <c r="Z190" s="168">
        <f>SUM(W190:Y190)</f>
        <v>0</v>
      </c>
      <c r="AA190" s="152"/>
      <c r="AB190" s="152"/>
      <c r="AC190" s="152"/>
      <c r="AD190" s="152">
        <f t="shared" si="2049"/>
        <v>0</v>
      </c>
      <c r="AE190" s="152"/>
      <c r="AF190" s="152"/>
      <c r="AG190" s="152"/>
      <c r="AH190" s="152">
        <f t="shared" si="2050"/>
        <v>0</v>
      </c>
      <c r="AI190" s="152"/>
      <c r="AJ190" s="152"/>
      <c r="AK190" s="152"/>
      <c r="AL190" s="152">
        <f t="shared" si="2051"/>
        <v>0</v>
      </c>
      <c r="AM190" s="152"/>
      <c r="AN190" s="152"/>
      <c r="AO190" s="152"/>
      <c r="AP190" s="152">
        <f t="shared" si="2052"/>
        <v>0</v>
      </c>
      <c r="AQ190" s="152">
        <f t="shared" si="2053"/>
        <v>0</v>
      </c>
      <c r="AR190" s="152">
        <f t="shared" si="2053"/>
        <v>0</v>
      </c>
      <c r="AS190" s="152">
        <f t="shared" si="2053"/>
        <v>0</v>
      </c>
      <c r="AT190" s="168">
        <f>SUM(AQ190:AS190)</f>
        <v>0</v>
      </c>
      <c r="AU190" s="152"/>
      <c r="AV190" s="152"/>
      <c r="AW190" s="152"/>
      <c r="AX190" s="152">
        <f t="shared" si="2054"/>
        <v>0</v>
      </c>
      <c r="AY190" s="152"/>
      <c r="AZ190" s="152"/>
      <c r="BA190" s="152"/>
      <c r="BB190" s="152">
        <f t="shared" si="2055"/>
        <v>0</v>
      </c>
      <c r="BC190" s="152"/>
      <c r="BD190" s="152"/>
      <c r="BE190" s="152"/>
      <c r="BF190" s="152">
        <f t="shared" si="2056"/>
        <v>0</v>
      </c>
      <c r="BG190" s="152"/>
      <c r="BH190" s="152"/>
      <c r="BI190" s="152"/>
      <c r="BJ190" s="152">
        <f t="shared" si="2057"/>
        <v>0</v>
      </c>
      <c r="BK190" s="152">
        <f t="shared" si="2058"/>
        <v>0</v>
      </c>
      <c r="BL190" s="152">
        <f t="shared" si="2059"/>
        <v>0</v>
      </c>
      <c r="BM190" s="152">
        <f t="shared" si="2060"/>
        <v>0</v>
      </c>
      <c r="BN190" s="152">
        <f>SUM(BK190:BM190)</f>
        <v>0</v>
      </c>
      <c r="BO190" s="168"/>
      <c r="BP190" s="152">
        <f t="shared" si="2061"/>
        <v>0</v>
      </c>
      <c r="BQ190" s="152">
        <f t="shared" si="2062"/>
        <v>0</v>
      </c>
      <c r="BR190" s="152">
        <f t="shared" si="2063"/>
        <v>0</v>
      </c>
      <c r="BS190" s="168">
        <f>SUM(BP190:BR190)</f>
        <v>0</v>
      </c>
      <c r="BT190" s="152"/>
      <c r="BU190" s="152"/>
      <c r="BV190" s="152"/>
      <c r="BW190" s="152">
        <f t="shared" si="2064"/>
        <v>0</v>
      </c>
      <c r="BX190" s="152">
        <f t="shared" si="2065"/>
        <v>0</v>
      </c>
      <c r="BY190" s="152">
        <f t="shared" si="2066"/>
        <v>0</v>
      </c>
      <c r="BZ190" s="152">
        <f t="shared" si="2067"/>
        <v>0</v>
      </c>
      <c r="CA190" s="587">
        <f t="shared" si="2068"/>
        <v>0</v>
      </c>
    </row>
    <row r="191" spans="1:79" ht="14.1" customHeight="1" x14ac:dyDescent="0.2">
      <c r="A191" s="125" t="s">
        <v>130</v>
      </c>
      <c r="B191" s="74" t="s">
        <v>536</v>
      </c>
      <c r="C191" s="899" t="s">
        <v>132</v>
      </c>
      <c r="D191" s="899"/>
      <c r="E191" s="900"/>
      <c r="G191" s="154">
        <f>SUM(G192:G194)</f>
        <v>0</v>
      </c>
      <c r="H191" s="154">
        <f t="shared" ref="H191:I191" si="2069">SUM(H192:H194)</f>
        <v>0</v>
      </c>
      <c r="I191" s="154">
        <f t="shared" si="2069"/>
        <v>0</v>
      </c>
      <c r="J191" s="154">
        <f t="shared" ref="J191:BS191" si="2070">SUM(J192:J194)</f>
        <v>0</v>
      </c>
      <c r="K191" s="154">
        <f>SUM(K192:K194)</f>
        <v>0</v>
      </c>
      <c r="L191" s="154">
        <f t="shared" ref="L191" si="2071">SUM(L192:L194)</f>
        <v>0</v>
      </c>
      <c r="M191" s="154">
        <f t="shared" ref="M191:N191" si="2072">SUM(M192:M194)</f>
        <v>0</v>
      </c>
      <c r="N191" s="154">
        <f t="shared" si="2072"/>
        <v>0</v>
      </c>
      <c r="O191" s="154">
        <f>SUM(O192:O194)</f>
        <v>0</v>
      </c>
      <c r="P191" s="154">
        <f t="shared" ref="P191" si="2073">SUM(P192:P194)</f>
        <v>0</v>
      </c>
      <c r="Q191" s="154">
        <f t="shared" ref="Q191:R191" si="2074">SUM(Q192:Q194)</f>
        <v>0</v>
      </c>
      <c r="R191" s="154">
        <f t="shared" si="2074"/>
        <v>0</v>
      </c>
      <c r="S191" s="154">
        <f>SUM(S192:S194)</f>
        <v>0</v>
      </c>
      <c r="T191" s="154">
        <f t="shared" ref="T191" si="2075">SUM(T192:T194)</f>
        <v>0</v>
      </c>
      <c r="U191" s="154">
        <f t="shared" ref="U191:V191" si="2076">SUM(U192:U194)</f>
        <v>0</v>
      </c>
      <c r="V191" s="154">
        <f t="shared" si="2076"/>
        <v>0</v>
      </c>
      <c r="W191" s="154">
        <f t="shared" si="2070"/>
        <v>0</v>
      </c>
      <c r="X191" s="154">
        <f t="shared" si="2070"/>
        <v>0</v>
      </c>
      <c r="Y191" s="154">
        <f t="shared" si="2070"/>
        <v>0</v>
      </c>
      <c r="Z191" s="84">
        <f t="shared" si="2070"/>
        <v>0</v>
      </c>
      <c r="AA191" s="154">
        <f t="shared" si="2070"/>
        <v>0</v>
      </c>
      <c r="AB191" s="154">
        <f t="shared" si="2070"/>
        <v>0</v>
      </c>
      <c r="AC191" s="154">
        <f t="shared" si="2070"/>
        <v>0</v>
      </c>
      <c r="AD191" s="154">
        <f t="shared" si="2070"/>
        <v>0</v>
      </c>
      <c r="AE191" s="154">
        <f>SUM(AE192:AE194)</f>
        <v>0</v>
      </c>
      <c r="AF191" s="154">
        <f t="shared" ref="AF191:AH191" si="2077">SUM(AF192:AF194)</f>
        <v>0</v>
      </c>
      <c r="AG191" s="154">
        <f t="shared" si="2077"/>
        <v>0</v>
      </c>
      <c r="AH191" s="154">
        <f t="shared" si="2077"/>
        <v>0</v>
      </c>
      <c r="AI191" s="154">
        <f>SUM(AI192:AI194)</f>
        <v>0</v>
      </c>
      <c r="AJ191" s="154">
        <f t="shared" ref="AJ191:AL191" si="2078">SUM(AJ192:AJ194)</f>
        <v>0</v>
      </c>
      <c r="AK191" s="154">
        <f t="shared" si="2078"/>
        <v>0</v>
      </c>
      <c r="AL191" s="154">
        <f t="shared" si="2078"/>
        <v>0</v>
      </c>
      <c r="AM191" s="154">
        <f>SUM(AM192:AM194)</f>
        <v>0</v>
      </c>
      <c r="AN191" s="154">
        <f t="shared" ref="AN191:AP191" si="2079">SUM(AN192:AN194)</f>
        <v>0</v>
      </c>
      <c r="AO191" s="154">
        <f t="shared" si="2079"/>
        <v>0</v>
      </c>
      <c r="AP191" s="154">
        <f t="shared" si="2079"/>
        <v>0</v>
      </c>
      <c r="AQ191" s="154">
        <f t="shared" si="2070"/>
        <v>0</v>
      </c>
      <c r="AR191" s="154">
        <f t="shared" si="2070"/>
        <v>0</v>
      </c>
      <c r="AS191" s="154">
        <f t="shared" si="2070"/>
        <v>0</v>
      </c>
      <c r="AT191" s="84">
        <f t="shared" si="2070"/>
        <v>0</v>
      </c>
      <c r="AU191" s="154">
        <f>SUM(AU192:AU194)</f>
        <v>0</v>
      </c>
      <c r="AV191" s="154">
        <f t="shared" ref="AV191:AX191" si="2080">SUM(AV192:AV194)</f>
        <v>0</v>
      </c>
      <c r="AW191" s="154">
        <f t="shared" si="2080"/>
        <v>0</v>
      </c>
      <c r="AX191" s="154">
        <f t="shared" si="2080"/>
        <v>0</v>
      </c>
      <c r="AY191" s="154">
        <f>SUM(AY192:AY194)</f>
        <v>0</v>
      </c>
      <c r="AZ191" s="154">
        <f t="shared" ref="AZ191" si="2081">SUM(AZ192:AZ194)</f>
        <v>0</v>
      </c>
      <c r="BA191" s="154">
        <f t="shared" ref="BA191:BB191" si="2082">SUM(BA192:BA194)</f>
        <v>0</v>
      </c>
      <c r="BB191" s="154">
        <f t="shared" si="2082"/>
        <v>0</v>
      </c>
      <c r="BC191" s="154">
        <f>SUM(BC192:BC194)</f>
        <v>0</v>
      </c>
      <c r="BD191" s="154">
        <f t="shared" ref="BD191" si="2083">SUM(BD192:BD194)</f>
        <v>0</v>
      </c>
      <c r="BE191" s="154">
        <f t="shared" ref="BE191:BF191" si="2084">SUM(BE192:BE194)</f>
        <v>0</v>
      </c>
      <c r="BF191" s="154">
        <f t="shared" si="2084"/>
        <v>0</v>
      </c>
      <c r="BG191" s="154">
        <f>SUM(BG192:BG194)</f>
        <v>0</v>
      </c>
      <c r="BH191" s="154">
        <f t="shared" ref="BH191" si="2085">SUM(BH192:BH194)</f>
        <v>0</v>
      </c>
      <c r="BI191" s="154">
        <f t="shared" ref="BI191:BJ191" si="2086">SUM(BI192:BI194)</f>
        <v>0</v>
      </c>
      <c r="BJ191" s="154">
        <f t="shared" si="2086"/>
        <v>0</v>
      </c>
      <c r="BK191" s="154">
        <f t="shared" si="2070"/>
        <v>0</v>
      </c>
      <c r="BL191" s="154">
        <f t="shared" si="2070"/>
        <v>0</v>
      </c>
      <c r="BM191" s="154">
        <f t="shared" si="2070"/>
        <v>0</v>
      </c>
      <c r="BN191" s="154">
        <f t="shared" si="2070"/>
        <v>0</v>
      </c>
      <c r="BO191" s="170">
        <f t="shared" si="2070"/>
        <v>0</v>
      </c>
      <c r="BP191" s="154">
        <f t="shared" si="2070"/>
        <v>0</v>
      </c>
      <c r="BQ191" s="154">
        <f t="shared" si="2070"/>
        <v>0</v>
      </c>
      <c r="BR191" s="154">
        <f t="shared" si="2070"/>
        <v>0</v>
      </c>
      <c r="BS191" s="84">
        <f t="shared" si="2070"/>
        <v>0</v>
      </c>
      <c r="BT191" s="154">
        <f>SUM(BT192:BT194)</f>
        <v>0</v>
      </c>
      <c r="BU191" s="154">
        <f t="shared" ref="BU191" si="2087">SUM(BU192:BU194)</f>
        <v>0</v>
      </c>
      <c r="BV191" s="154">
        <f t="shared" ref="BV191:BW191" si="2088">SUM(BV192:BV194)</f>
        <v>0</v>
      </c>
      <c r="BW191" s="154">
        <f t="shared" si="2088"/>
        <v>0</v>
      </c>
      <c r="BX191" s="154">
        <f t="shared" ref="BX191:CA191" si="2089">SUM(BX192:BX194)</f>
        <v>0</v>
      </c>
      <c r="BY191" s="154">
        <f t="shared" si="2089"/>
        <v>0</v>
      </c>
      <c r="BZ191" s="154">
        <f t="shared" si="2089"/>
        <v>0</v>
      </c>
      <c r="CA191" s="126">
        <f t="shared" si="2089"/>
        <v>0</v>
      </c>
    </row>
    <row r="192" spans="1:79" ht="14.1" customHeight="1" x14ac:dyDescent="0.2">
      <c r="A192" s="125" t="s">
        <v>541</v>
      </c>
      <c r="B192" s="82"/>
      <c r="C192" s="78" t="s">
        <v>146</v>
      </c>
      <c r="D192" s="69" t="s">
        <v>133</v>
      </c>
      <c r="E192" s="86"/>
      <c r="G192" s="152"/>
      <c r="H192" s="152"/>
      <c r="I192" s="152"/>
      <c r="J192" s="152">
        <f t="shared" ref="J192:J194" si="2090">SUM(G192:I192)</f>
        <v>0</v>
      </c>
      <c r="K192" s="152"/>
      <c r="L192" s="152"/>
      <c r="M192" s="152"/>
      <c r="N192" s="152">
        <f t="shared" ref="N192:N194" si="2091">SUM(K192:M192)</f>
        <v>0</v>
      </c>
      <c r="O192" s="152"/>
      <c r="P192" s="152"/>
      <c r="Q192" s="152"/>
      <c r="R192" s="152">
        <f t="shared" ref="R192:R194" si="2092">SUM(O192:Q192)</f>
        <v>0</v>
      </c>
      <c r="S192" s="152"/>
      <c r="T192" s="152"/>
      <c r="U192" s="152"/>
      <c r="V192" s="152">
        <f t="shared" ref="V192:V194" si="2093">SUM(S192:U192)</f>
        <v>0</v>
      </c>
      <c r="W192" s="152">
        <f>G192-O192+S192+K192</f>
        <v>0</v>
      </c>
      <c r="X192" s="152">
        <f t="shared" ref="X192:X194" si="2094">H192-P192+T192+L192</f>
        <v>0</v>
      </c>
      <c r="Y192" s="152">
        <f t="shared" ref="Y192:Y194" si="2095">I192-Q192+U192+M192</f>
        <v>0</v>
      </c>
      <c r="Z192" s="168">
        <f>SUM(W192:Y192)</f>
        <v>0</v>
      </c>
      <c r="AA192" s="152"/>
      <c r="AB192" s="152"/>
      <c r="AC192" s="152"/>
      <c r="AD192" s="152">
        <f t="shared" ref="AD192:AD194" si="2096">SUM(AA192:AC192)</f>
        <v>0</v>
      </c>
      <c r="AE192" s="152"/>
      <c r="AF192" s="152"/>
      <c r="AG192" s="152"/>
      <c r="AH192" s="152">
        <f t="shared" ref="AH192:AH194" si="2097">SUM(AE192:AG192)</f>
        <v>0</v>
      </c>
      <c r="AI192" s="152"/>
      <c r="AJ192" s="152"/>
      <c r="AK192" s="152"/>
      <c r="AL192" s="152">
        <f t="shared" ref="AL192:AL194" si="2098">SUM(AI192:AK192)</f>
        <v>0</v>
      </c>
      <c r="AM192" s="152"/>
      <c r="AN192" s="152"/>
      <c r="AO192" s="152"/>
      <c r="AP192" s="152">
        <f t="shared" ref="AP192:AP194" si="2099">SUM(AM192:AO192)</f>
        <v>0</v>
      </c>
      <c r="AQ192" s="152">
        <f t="shared" ref="AQ192:AS194" si="2100">AA192+AE192+AI192+AM192</f>
        <v>0</v>
      </c>
      <c r="AR192" s="152">
        <f t="shared" si="2100"/>
        <v>0</v>
      </c>
      <c r="AS192" s="152">
        <f t="shared" si="2100"/>
        <v>0</v>
      </c>
      <c r="AT192" s="168">
        <f>SUM(AQ192:AS192)</f>
        <v>0</v>
      </c>
      <c r="AU192" s="152"/>
      <c r="AV192" s="152"/>
      <c r="AW192" s="152"/>
      <c r="AX192" s="152">
        <f t="shared" ref="AX192:AX194" si="2101">SUM(AU192:AW192)</f>
        <v>0</v>
      </c>
      <c r="AY192" s="152"/>
      <c r="AZ192" s="152"/>
      <c r="BA192" s="152"/>
      <c r="BB192" s="152">
        <f t="shared" ref="BB192:BB194" si="2102">SUM(AY192:BA192)</f>
        <v>0</v>
      </c>
      <c r="BC192" s="152"/>
      <c r="BD192" s="152"/>
      <c r="BE192" s="152"/>
      <c r="BF192" s="152">
        <f t="shared" ref="BF192:BF194" si="2103">SUM(BC192:BE192)</f>
        <v>0</v>
      </c>
      <c r="BG192" s="152"/>
      <c r="BH192" s="152"/>
      <c r="BI192" s="152"/>
      <c r="BJ192" s="152">
        <f t="shared" ref="BJ192:BJ194" si="2104">SUM(BG192:BI192)</f>
        <v>0</v>
      </c>
      <c r="BK192" s="152">
        <f t="shared" ref="BK192:BK194" si="2105">AU192+AY192+BC192+BG192</f>
        <v>0</v>
      </c>
      <c r="BL192" s="152">
        <f t="shared" ref="BL192:BL194" si="2106">AV192+AZ192+BD192+BH192</f>
        <v>0</v>
      </c>
      <c r="BM192" s="152">
        <f t="shared" ref="BM192:BM194" si="2107">AW192+BA192+BE192+BI192</f>
        <v>0</v>
      </c>
      <c r="BN192" s="152">
        <f>SUM(BK192:BM192)</f>
        <v>0</v>
      </c>
      <c r="BO192" s="168"/>
      <c r="BP192" s="152">
        <f t="shared" ref="BP192:BP194" si="2108">W192-AQ192</f>
        <v>0</v>
      </c>
      <c r="BQ192" s="152">
        <f t="shared" ref="BQ192:BQ194" si="2109">X192-AR192</f>
        <v>0</v>
      </c>
      <c r="BR192" s="152">
        <f t="shared" ref="BR192:BR194" si="2110">Y192-AS192</f>
        <v>0</v>
      </c>
      <c r="BS192" s="168">
        <f>SUM(BP192:BR192)</f>
        <v>0</v>
      </c>
      <c r="BT192" s="152"/>
      <c r="BU192" s="152"/>
      <c r="BV192" s="152"/>
      <c r="BW192" s="152">
        <f t="shared" ref="BW192:BW194" si="2111">SUM(BT192:BV192)</f>
        <v>0</v>
      </c>
      <c r="BX192" s="152">
        <f t="shared" ref="BX192:BX194" si="2112">AQ192-BK192-BT192</f>
        <v>0</v>
      </c>
      <c r="BY192" s="152">
        <f t="shared" ref="BY192:BY194" si="2113">AR192-BL192-BU192</f>
        <v>0</v>
      </c>
      <c r="BZ192" s="152">
        <f t="shared" ref="BZ192:BZ194" si="2114">AS192-BM192-BV192</f>
        <v>0</v>
      </c>
      <c r="CA192" s="587">
        <f t="shared" ref="CA192:CA194" si="2115">SUM(BX192:BZ192)</f>
        <v>0</v>
      </c>
    </row>
    <row r="193" spans="1:79" ht="14.1" customHeight="1" x14ac:dyDescent="0.2">
      <c r="A193" s="127" t="s">
        <v>542</v>
      </c>
      <c r="B193" s="568"/>
      <c r="C193" s="81" t="s">
        <v>147</v>
      </c>
      <c r="D193" s="901" t="s">
        <v>543</v>
      </c>
      <c r="E193" s="902"/>
      <c r="G193" s="152"/>
      <c r="H193" s="152"/>
      <c r="I193" s="152"/>
      <c r="J193" s="152">
        <f t="shared" si="2090"/>
        <v>0</v>
      </c>
      <c r="K193" s="152"/>
      <c r="L193" s="152"/>
      <c r="M193" s="152"/>
      <c r="N193" s="152">
        <f t="shared" si="2091"/>
        <v>0</v>
      </c>
      <c r="O193" s="152"/>
      <c r="P193" s="152"/>
      <c r="Q193" s="152"/>
      <c r="R193" s="152">
        <f t="shared" si="2092"/>
        <v>0</v>
      </c>
      <c r="S193" s="152"/>
      <c r="T193" s="152"/>
      <c r="U193" s="152"/>
      <c r="V193" s="152">
        <f t="shared" si="2093"/>
        <v>0</v>
      </c>
      <c r="W193" s="152">
        <f>G193-O193+S193+K193</f>
        <v>0</v>
      </c>
      <c r="X193" s="152">
        <f t="shared" si="2094"/>
        <v>0</v>
      </c>
      <c r="Y193" s="152">
        <f t="shared" si="2095"/>
        <v>0</v>
      </c>
      <c r="Z193" s="168">
        <f>SUM(W193:Y193)</f>
        <v>0</v>
      </c>
      <c r="AA193" s="152"/>
      <c r="AB193" s="152"/>
      <c r="AC193" s="152"/>
      <c r="AD193" s="152">
        <f t="shared" si="2096"/>
        <v>0</v>
      </c>
      <c r="AE193" s="152"/>
      <c r="AF193" s="152"/>
      <c r="AG193" s="152"/>
      <c r="AH193" s="152">
        <f t="shared" si="2097"/>
        <v>0</v>
      </c>
      <c r="AI193" s="152"/>
      <c r="AJ193" s="152"/>
      <c r="AK193" s="152"/>
      <c r="AL193" s="152">
        <f t="shared" si="2098"/>
        <v>0</v>
      </c>
      <c r="AM193" s="152"/>
      <c r="AN193" s="152"/>
      <c r="AO193" s="152"/>
      <c r="AP193" s="152">
        <f t="shared" si="2099"/>
        <v>0</v>
      </c>
      <c r="AQ193" s="152">
        <f t="shared" si="2100"/>
        <v>0</v>
      </c>
      <c r="AR193" s="152">
        <f t="shared" si="2100"/>
        <v>0</v>
      </c>
      <c r="AS193" s="152">
        <f t="shared" si="2100"/>
        <v>0</v>
      </c>
      <c r="AT193" s="168">
        <f>SUM(AQ193:AS193)</f>
        <v>0</v>
      </c>
      <c r="AU193" s="152"/>
      <c r="AV193" s="152"/>
      <c r="AW193" s="152"/>
      <c r="AX193" s="152">
        <f t="shared" si="2101"/>
        <v>0</v>
      </c>
      <c r="AY193" s="152"/>
      <c r="AZ193" s="152"/>
      <c r="BA193" s="152"/>
      <c r="BB193" s="152">
        <f t="shared" si="2102"/>
        <v>0</v>
      </c>
      <c r="BC193" s="152"/>
      <c r="BD193" s="152"/>
      <c r="BE193" s="152"/>
      <c r="BF193" s="152">
        <f t="shared" si="2103"/>
        <v>0</v>
      </c>
      <c r="BG193" s="152"/>
      <c r="BH193" s="152"/>
      <c r="BI193" s="152"/>
      <c r="BJ193" s="152">
        <f t="shared" si="2104"/>
        <v>0</v>
      </c>
      <c r="BK193" s="152">
        <f t="shared" si="2105"/>
        <v>0</v>
      </c>
      <c r="BL193" s="152">
        <f t="shared" si="2106"/>
        <v>0</v>
      </c>
      <c r="BM193" s="152">
        <f t="shared" si="2107"/>
        <v>0</v>
      </c>
      <c r="BN193" s="152">
        <f>SUM(BK193:BM193)</f>
        <v>0</v>
      </c>
      <c r="BO193" s="168"/>
      <c r="BP193" s="152">
        <f t="shared" si="2108"/>
        <v>0</v>
      </c>
      <c r="BQ193" s="152">
        <f t="shared" si="2109"/>
        <v>0</v>
      </c>
      <c r="BR193" s="152">
        <f t="shared" si="2110"/>
        <v>0</v>
      </c>
      <c r="BS193" s="168">
        <f>SUM(BP193:BR193)</f>
        <v>0</v>
      </c>
      <c r="BT193" s="152"/>
      <c r="BU193" s="152"/>
      <c r="BV193" s="152"/>
      <c r="BW193" s="152">
        <f t="shared" si="2111"/>
        <v>0</v>
      </c>
      <c r="BX193" s="152">
        <f t="shared" si="2112"/>
        <v>0</v>
      </c>
      <c r="BY193" s="152">
        <f t="shared" si="2113"/>
        <v>0</v>
      </c>
      <c r="BZ193" s="152">
        <f t="shared" si="2114"/>
        <v>0</v>
      </c>
      <c r="CA193" s="587">
        <f t="shared" si="2115"/>
        <v>0</v>
      </c>
    </row>
    <row r="194" spans="1:79" ht="14.1" customHeight="1" x14ac:dyDescent="0.2">
      <c r="A194" s="127" t="s">
        <v>544</v>
      </c>
      <c r="B194" s="82"/>
      <c r="C194" s="81" t="s">
        <v>149</v>
      </c>
      <c r="D194" s="901" t="s">
        <v>545</v>
      </c>
      <c r="E194" s="902"/>
      <c r="G194" s="152"/>
      <c r="H194" s="152"/>
      <c r="I194" s="152"/>
      <c r="J194" s="152">
        <f t="shared" si="2090"/>
        <v>0</v>
      </c>
      <c r="K194" s="152"/>
      <c r="L194" s="152"/>
      <c r="M194" s="152"/>
      <c r="N194" s="152">
        <f t="shared" si="2091"/>
        <v>0</v>
      </c>
      <c r="O194" s="152"/>
      <c r="P194" s="152"/>
      <c r="Q194" s="152"/>
      <c r="R194" s="152">
        <f t="shared" si="2092"/>
        <v>0</v>
      </c>
      <c r="S194" s="152"/>
      <c r="T194" s="152"/>
      <c r="U194" s="152"/>
      <c r="V194" s="152">
        <f t="shared" si="2093"/>
        <v>0</v>
      </c>
      <c r="W194" s="152">
        <f>G194-O194+S194+K194</f>
        <v>0</v>
      </c>
      <c r="X194" s="152">
        <f t="shared" si="2094"/>
        <v>0</v>
      </c>
      <c r="Y194" s="152">
        <f t="shared" si="2095"/>
        <v>0</v>
      </c>
      <c r="Z194" s="168">
        <f>SUM(W194:Y194)</f>
        <v>0</v>
      </c>
      <c r="AA194" s="152"/>
      <c r="AB194" s="152"/>
      <c r="AC194" s="152"/>
      <c r="AD194" s="152">
        <f t="shared" si="2096"/>
        <v>0</v>
      </c>
      <c r="AE194" s="152"/>
      <c r="AF194" s="152"/>
      <c r="AG194" s="152"/>
      <c r="AH194" s="152">
        <f t="shared" si="2097"/>
        <v>0</v>
      </c>
      <c r="AI194" s="152"/>
      <c r="AJ194" s="152"/>
      <c r="AK194" s="152"/>
      <c r="AL194" s="152">
        <f t="shared" si="2098"/>
        <v>0</v>
      </c>
      <c r="AM194" s="152"/>
      <c r="AN194" s="152"/>
      <c r="AO194" s="152"/>
      <c r="AP194" s="152">
        <f t="shared" si="2099"/>
        <v>0</v>
      </c>
      <c r="AQ194" s="152">
        <f t="shared" si="2100"/>
        <v>0</v>
      </c>
      <c r="AR194" s="152">
        <f t="shared" si="2100"/>
        <v>0</v>
      </c>
      <c r="AS194" s="152">
        <f t="shared" si="2100"/>
        <v>0</v>
      </c>
      <c r="AT194" s="168">
        <f>SUM(AQ194:AS194)</f>
        <v>0</v>
      </c>
      <c r="AU194" s="152"/>
      <c r="AV194" s="152"/>
      <c r="AW194" s="152"/>
      <c r="AX194" s="152">
        <f t="shared" si="2101"/>
        <v>0</v>
      </c>
      <c r="AY194" s="152"/>
      <c r="AZ194" s="152"/>
      <c r="BA194" s="152"/>
      <c r="BB194" s="152">
        <f t="shared" si="2102"/>
        <v>0</v>
      </c>
      <c r="BC194" s="152"/>
      <c r="BD194" s="152"/>
      <c r="BE194" s="152"/>
      <c r="BF194" s="152">
        <f t="shared" si="2103"/>
        <v>0</v>
      </c>
      <c r="BG194" s="152"/>
      <c r="BH194" s="152"/>
      <c r="BI194" s="152"/>
      <c r="BJ194" s="152">
        <f t="shared" si="2104"/>
        <v>0</v>
      </c>
      <c r="BK194" s="152">
        <f t="shared" si="2105"/>
        <v>0</v>
      </c>
      <c r="BL194" s="152">
        <f t="shared" si="2106"/>
        <v>0</v>
      </c>
      <c r="BM194" s="152">
        <f t="shared" si="2107"/>
        <v>0</v>
      </c>
      <c r="BN194" s="152">
        <f>SUM(BK194:BM194)</f>
        <v>0</v>
      </c>
      <c r="BO194" s="168"/>
      <c r="BP194" s="152">
        <f t="shared" si="2108"/>
        <v>0</v>
      </c>
      <c r="BQ194" s="152">
        <f t="shared" si="2109"/>
        <v>0</v>
      </c>
      <c r="BR194" s="152">
        <f t="shared" si="2110"/>
        <v>0</v>
      </c>
      <c r="BS194" s="168">
        <f>SUM(BP194:BR194)</f>
        <v>0</v>
      </c>
      <c r="BT194" s="152"/>
      <c r="BU194" s="152"/>
      <c r="BV194" s="152"/>
      <c r="BW194" s="152">
        <f t="shared" si="2111"/>
        <v>0</v>
      </c>
      <c r="BX194" s="152">
        <f t="shared" si="2112"/>
        <v>0</v>
      </c>
      <c r="BY194" s="152">
        <f t="shared" si="2113"/>
        <v>0</v>
      </c>
      <c r="BZ194" s="152">
        <f t="shared" si="2114"/>
        <v>0</v>
      </c>
      <c r="CA194" s="587">
        <f t="shared" si="2115"/>
        <v>0</v>
      </c>
    </row>
    <row r="195" spans="1:79" ht="14.1" customHeight="1" x14ac:dyDescent="0.2">
      <c r="A195" s="125" t="s">
        <v>135</v>
      </c>
      <c r="B195" s="74" t="s">
        <v>184</v>
      </c>
      <c r="C195" s="69" t="s">
        <v>136</v>
      </c>
      <c r="D195" s="69"/>
      <c r="E195" s="79"/>
      <c r="G195" s="154">
        <f>SUM(G196:G201)</f>
        <v>0</v>
      </c>
      <c r="H195" s="154">
        <f t="shared" ref="H195:I195" si="2116">SUM(H196:H201)</f>
        <v>54729.64</v>
      </c>
      <c r="I195" s="154">
        <f t="shared" si="2116"/>
        <v>0</v>
      </c>
      <c r="J195" s="154">
        <f t="shared" ref="J195:BS195" si="2117">SUM(J196:J201)</f>
        <v>54729.64</v>
      </c>
      <c r="K195" s="154">
        <f>SUM(K196:K201)</f>
        <v>0</v>
      </c>
      <c r="L195" s="154">
        <f t="shared" ref="L195" si="2118">SUM(L196:L201)</f>
        <v>0</v>
      </c>
      <c r="M195" s="154">
        <f t="shared" ref="M195:N195" si="2119">SUM(M196:M201)</f>
        <v>0</v>
      </c>
      <c r="N195" s="154">
        <f t="shared" si="2119"/>
        <v>0</v>
      </c>
      <c r="O195" s="154">
        <f>SUM(O196:O201)</f>
        <v>0</v>
      </c>
      <c r="P195" s="154">
        <f t="shared" ref="P195" si="2120">SUM(P196:P201)</f>
        <v>0</v>
      </c>
      <c r="Q195" s="154">
        <f t="shared" ref="Q195:R195" si="2121">SUM(Q196:Q201)</f>
        <v>0</v>
      </c>
      <c r="R195" s="154">
        <f t="shared" si="2121"/>
        <v>0</v>
      </c>
      <c r="S195" s="154">
        <f>SUM(S196:S201)</f>
        <v>0</v>
      </c>
      <c r="T195" s="154">
        <f t="shared" ref="T195" si="2122">SUM(T196:T201)</f>
        <v>0</v>
      </c>
      <c r="U195" s="154">
        <f t="shared" ref="U195:V195" si="2123">SUM(U196:U201)</f>
        <v>0</v>
      </c>
      <c r="V195" s="154">
        <f t="shared" si="2123"/>
        <v>0</v>
      </c>
      <c r="W195" s="154">
        <f t="shared" si="2117"/>
        <v>0</v>
      </c>
      <c r="X195" s="154">
        <f t="shared" si="2117"/>
        <v>54729.64</v>
      </c>
      <c r="Y195" s="154">
        <f t="shared" si="2117"/>
        <v>0</v>
      </c>
      <c r="Z195" s="84">
        <f t="shared" si="2117"/>
        <v>54729.64</v>
      </c>
      <c r="AA195" s="154">
        <f t="shared" si="2117"/>
        <v>0</v>
      </c>
      <c r="AB195" s="154">
        <f t="shared" si="2117"/>
        <v>2400</v>
      </c>
      <c r="AC195" s="154">
        <f t="shared" si="2117"/>
        <v>0</v>
      </c>
      <c r="AD195" s="154">
        <f t="shared" si="2117"/>
        <v>2400</v>
      </c>
      <c r="AE195" s="154">
        <f>SUM(AE196:AE201)</f>
        <v>0</v>
      </c>
      <c r="AF195" s="154">
        <f t="shared" ref="AF195:AH195" si="2124">SUM(AF196:AF201)</f>
        <v>21000</v>
      </c>
      <c r="AG195" s="154">
        <f t="shared" si="2124"/>
        <v>0</v>
      </c>
      <c r="AH195" s="154">
        <f t="shared" si="2124"/>
        <v>21000</v>
      </c>
      <c r="AI195" s="154">
        <f>SUM(AI196:AI201)</f>
        <v>0</v>
      </c>
      <c r="AJ195" s="154">
        <f t="shared" ref="AJ195:AL195" si="2125">SUM(AJ196:AJ201)</f>
        <v>14733.21</v>
      </c>
      <c r="AK195" s="154">
        <f t="shared" si="2125"/>
        <v>0</v>
      </c>
      <c r="AL195" s="154">
        <f t="shared" si="2125"/>
        <v>14733.21</v>
      </c>
      <c r="AM195" s="154">
        <f>SUM(AM196:AM201)</f>
        <v>0</v>
      </c>
      <c r="AN195" s="154">
        <f t="shared" ref="AN195:AP195" si="2126">SUM(AN196:AN201)</f>
        <v>0</v>
      </c>
      <c r="AO195" s="154">
        <f t="shared" si="2126"/>
        <v>0</v>
      </c>
      <c r="AP195" s="154">
        <f t="shared" si="2126"/>
        <v>0</v>
      </c>
      <c r="AQ195" s="154">
        <f t="shared" si="2117"/>
        <v>0</v>
      </c>
      <c r="AR195" s="154">
        <f t="shared" si="2117"/>
        <v>38133.21</v>
      </c>
      <c r="AS195" s="154">
        <f t="shared" si="2117"/>
        <v>0</v>
      </c>
      <c r="AT195" s="84">
        <f t="shared" si="2117"/>
        <v>38133.21</v>
      </c>
      <c r="AU195" s="154">
        <f>SUM(AU196:AU201)</f>
        <v>0</v>
      </c>
      <c r="AV195" s="154">
        <f t="shared" ref="AV195:AX195" si="2127">SUM(AV196:AV201)</f>
        <v>2400</v>
      </c>
      <c r="AW195" s="154">
        <f t="shared" si="2127"/>
        <v>0</v>
      </c>
      <c r="AX195" s="154">
        <f t="shared" si="2127"/>
        <v>2400</v>
      </c>
      <c r="AY195" s="154">
        <f>SUM(AY196:AY201)</f>
        <v>0</v>
      </c>
      <c r="AZ195" s="154">
        <f t="shared" ref="AZ195" si="2128">SUM(AZ196:AZ201)</f>
        <v>21000</v>
      </c>
      <c r="BA195" s="154">
        <f t="shared" ref="BA195:BB195" si="2129">SUM(BA196:BA201)</f>
        <v>0</v>
      </c>
      <c r="BB195" s="154">
        <f t="shared" si="2129"/>
        <v>21000</v>
      </c>
      <c r="BC195" s="154">
        <f>SUM(BC196:BC201)</f>
        <v>0</v>
      </c>
      <c r="BD195" s="154">
        <f t="shared" ref="BD195" si="2130">SUM(BD196:BD201)</f>
        <v>14733.21</v>
      </c>
      <c r="BE195" s="154">
        <f t="shared" ref="BE195:BF195" si="2131">SUM(BE196:BE201)</f>
        <v>0</v>
      </c>
      <c r="BF195" s="154">
        <f t="shared" si="2131"/>
        <v>14733.21</v>
      </c>
      <c r="BG195" s="154">
        <f>SUM(BG196:BG201)</f>
        <v>0</v>
      </c>
      <c r="BH195" s="154">
        <f t="shared" ref="BH195" si="2132">SUM(BH196:BH201)</f>
        <v>0</v>
      </c>
      <c r="BI195" s="154">
        <f t="shared" ref="BI195:BJ195" si="2133">SUM(BI196:BI201)</f>
        <v>0</v>
      </c>
      <c r="BJ195" s="154">
        <f t="shared" si="2133"/>
        <v>0</v>
      </c>
      <c r="BK195" s="154">
        <f t="shared" si="2117"/>
        <v>0</v>
      </c>
      <c r="BL195" s="154">
        <f t="shared" si="2117"/>
        <v>38133.21</v>
      </c>
      <c r="BM195" s="154">
        <f t="shared" si="2117"/>
        <v>0</v>
      </c>
      <c r="BN195" s="154">
        <f t="shared" si="2117"/>
        <v>38133.21</v>
      </c>
      <c r="BO195" s="170">
        <f t="shared" si="2117"/>
        <v>0</v>
      </c>
      <c r="BP195" s="154">
        <f t="shared" si="2117"/>
        <v>0</v>
      </c>
      <c r="BQ195" s="154">
        <f t="shared" si="2117"/>
        <v>16596.43</v>
      </c>
      <c r="BR195" s="154">
        <f t="shared" si="2117"/>
        <v>0</v>
      </c>
      <c r="BS195" s="84">
        <f t="shared" si="2117"/>
        <v>16596.43</v>
      </c>
      <c r="BT195" s="154">
        <f>SUM(BT196:BT201)</f>
        <v>0</v>
      </c>
      <c r="BU195" s="154">
        <f t="shared" ref="BU195" si="2134">SUM(BU196:BU201)</f>
        <v>0</v>
      </c>
      <c r="BV195" s="154">
        <f t="shared" ref="BV195:BW195" si="2135">SUM(BV196:BV201)</f>
        <v>0</v>
      </c>
      <c r="BW195" s="154">
        <f t="shared" si="2135"/>
        <v>0</v>
      </c>
      <c r="BX195" s="154">
        <f t="shared" ref="BX195:CA195" si="2136">SUM(BX196:BX201)</f>
        <v>0</v>
      </c>
      <c r="BY195" s="154">
        <f t="shared" si="2136"/>
        <v>0</v>
      </c>
      <c r="BZ195" s="154">
        <f t="shared" si="2136"/>
        <v>0</v>
      </c>
      <c r="CA195" s="126">
        <f t="shared" si="2136"/>
        <v>0</v>
      </c>
    </row>
    <row r="196" spans="1:79" ht="14.1" customHeight="1" x14ac:dyDescent="0.2">
      <c r="A196" s="127" t="s">
        <v>137</v>
      </c>
      <c r="B196" s="81"/>
      <c r="C196" s="78" t="s">
        <v>146</v>
      </c>
      <c r="D196" s="901" t="s">
        <v>546</v>
      </c>
      <c r="E196" s="902"/>
      <c r="G196" s="152"/>
      <c r="H196" s="152"/>
      <c r="I196" s="152"/>
      <c r="J196" s="152">
        <f t="shared" ref="J196:J202" si="2137">SUM(G196:I196)</f>
        <v>0</v>
      </c>
      <c r="K196" s="152"/>
      <c r="L196" s="152"/>
      <c r="M196" s="152"/>
      <c r="N196" s="152">
        <f t="shared" ref="N196:N202" si="2138">SUM(K196:M196)</f>
        <v>0</v>
      </c>
      <c r="O196" s="152"/>
      <c r="P196" s="152"/>
      <c r="Q196" s="152"/>
      <c r="R196" s="152">
        <f t="shared" ref="R196:R202" si="2139">SUM(O196:Q196)</f>
        <v>0</v>
      </c>
      <c r="S196" s="152"/>
      <c r="T196" s="152"/>
      <c r="U196" s="152"/>
      <c r="V196" s="152">
        <f t="shared" ref="V196:V202" si="2140">SUM(S196:U196)</f>
        <v>0</v>
      </c>
      <c r="W196" s="152">
        <f t="shared" ref="W196:W202" si="2141">G196-O196+S196+K196</f>
        <v>0</v>
      </c>
      <c r="X196" s="152">
        <f t="shared" ref="X196:X202" si="2142">H196-P196+T196+L196</f>
        <v>0</v>
      </c>
      <c r="Y196" s="152">
        <f t="shared" ref="Y196:Y202" si="2143">I196-Q196+U196+M196</f>
        <v>0</v>
      </c>
      <c r="Z196" s="168">
        <f t="shared" ref="Z196:Z202" si="2144">SUM(W196:Y196)</f>
        <v>0</v>
      </c>
      <c r="AA196" s="152"/>
      <c r="AB196" s="152"/>
      <c r="AC196" s="152"/>
      <c r="AD196" s="152">
        <f t="shared" ref="AD196:AD202" si="2145">SUM(AA196:AC196)</f>
        <v>0</v>
      </c>
      <c r="AE196" s="152"/>
      <c r="AF196" s="152"/>
      <c r="AG196" s="152"/>
      <c r="AH196" s="152">
        <f t="shared" ref="AH196:AH202" si="2146">SUM(AE196:AG196)</f>
        <v>0</v>
      </c>
      <c r="AI196" s="152"/>
      <c r="AJ196" s="152"/>
      <c r="AK196" s="152"/>
      <c r="AL196" s="152">
        <f t="shared" ref="AL196:AL202" si="2147">SUM(AI196:AK196)</f>
        <v>0</v>
      </c>
      <c r="AM196" s="152"/>
      <c r="AN196" s="152"/>
      <c r="AO196" s="152"/>
      <c r="AP196" s="152">
        <f t="shared" ref="AP196:AP202" si="2148">SUM(AM196:AO196)</f>
        <v>0</v>
      </c>
      <c r="AQ196" s="152">
        <f t="shared" ref="AQ196:AS202" si="2149">AA196+AE196+AI196+AM196</f>
        <v>0</v>
      </c>
      <c r="AR196" s="152">
        <f t="shared" si="2149"/>
        <v>0</v>
      </c>
      <c r="AS196" s="152">
        <f t="shared" si="2149"/>
        <v>0</v>
      </c>
      <c r="AT196" s="168">
        <f t="shared" ref="AT196:AT202" si="2150">SUM(AQ196:AS196)</f>
        <v>0</v>
      </c>
      <c r="AU196" s="152"/>
      <c r="AV196" s="152"/>
      <c r="AW196" s="152"/>
      <c r="AX196" s="152">
        <f t="shared" ref="AX196:AX202" si="2151">SUM(AU196:AW196)</f>
        <v>0</v>
      </c>
      <c r="AY196" s="152"/>
      <c r="AZ196" s="152"/>
      <c r="BA196" s="152"/>
      <c r="BB196" s="152">
        <f t="shared" ref="BB196:BB202" si="2152">SUM(AY196:BA196)</f>
        <v>0</v>
      </c>
      <c r="BC196" s="152"/>
      <c r="BD196" s="152"/>
      <c r="BE196" s="152"/>
      <c r="BF196" s="152">
        <f t="shared" ref="BF196:BF202" si="2153">SUM(BC196:BE196)</f>
        <v>0</v>
      </c>
      <c r="BG196" s="152"/>
      <c r="BH196" s="152"/>
      <c r="BI196" s="152"/>
      <c r="BJ196" s="152">
        <f t="shared" ref="BJ196:BJ202" si="2154">SUM(BG196:BI196)</f>
        <v>0</v>
      </c>
      <c r="BK196" s="152">
        <f t="shared" ref="BK196:BK202" si="2155">AU196+AY196+BC196+BG196</f>
        <v>0</v>
      </c>
      <c r="BL196" s="152">
        <f t="shared" ref="BL196:BL202" si="2156">AV196+AZ196+BD196+BH196</f>
        <v>0</v>
      </c>
      <c r="BM196" s="152">
        <f t="shared" ref="BM196:BM202" si="2157">AW196+BA196+BE196+BI196</f>
        <v>0</v>
      </c>
      <c r="BN196" s="152">
        <f t="shared" ref="BN196:BN202" si="2158">SUM(BK196:BM196)</f>
        <v>0</v>
      </c>
      <c r="BO196" s="168"/>
      <c r="BP196" s="152">
        <f t="shared" ref="BP196:BP202" si="2159">W196-AQ196</f>
        <v>0</v>
      </c>
      <c r="BQ196" s="152">
        <f t="shared" ref="BQ196:BQ202" si="2160">X196-AR196</f>
        <v>0</v>
      </c>
      <c r="BR196" s="152">
        <f t="shared" ref="BR196:BR202" si="2161">Y196-AS196</f>
        <v>0</v>
      </c>
      <c r="BS196" s="168">
        <f t="shared" ref="BS196:BS202" si="2162">SUM(BP196:BR196)</f>
        <v>0</v>
      </c>
      <c r="BT196" s="152"/>
      <c r="BU196" s="152"/>
      <c r="BV196" s="152"/>
      <c r="BW196" s="152">
        <f t="shared" ref="BW196:BW202" si="2163">SUM(BT196:BV196)</f>
        <v>0</v>
      </c>
      <c r="BX196" s="152">
        <f t="shared" ref="BX196:BX202" si="2164">AQ196-BK196-BT196</f>
        <v>0</v>
      </c>
      <c r="BY196" s="152">
        <f t="shared" ref="BY196:BY202" si="2165">AR196-BL196-BU196</f>
        <v>0</v>
      </c>
      <c r="BZ196" s="152">
        <f t="shared" ref="BZ196:BZ202" si="2166">AS196-BM196-BV196</f>
        <v>0</v>
      </c>
      <c r="CA196" s="587">
        <f t="shared" ref="CA196:CA202" si="2167">SUM(BX196:BZ196)</f>
        <v>0</v>
      </c>
    </row>
    <row r="197" spans="1:79" ht="14.1" customHeight="1" x14ac:dyDescent="0.2">
      <c r="A197" s="127" t="s">
        <v>138</v>
      </c>
      <c r="B197" s="81"/>
      <c r="C197" s="81" t="s">
        <v>147</v>
      </c>
      <c r="D197" s="901" t="s">
        <v>547</v>
      </c>
      <c r="E197" s="902"/>
      <c r="G197" s="152"/>
      <c r="H197" s="152"/>
      <c r="I197" s="152"/>
      <c r="J197" s="152">
        <f t="shared" si="2137"/>
        <v>0</v>
      </c>
      <c r="K197" s="152"/>
      <c r="L197" s="152"/>
      <c r="M197" s="152"/>
      <c r="N197" s="152">
        <f t="shared" si="2138"/>
        <v>0</v>
      </c>
      <c r="O197" s="152"/>
      <c r="P197" s="152"/>
      <c r="Q197" s="152"/>
      <c r="R197" s="152">
        <f t="shared" si="2139"/>
        <v>0</v>
      </c>
      <c r="S197" s="152"/>
      <c r="T197" s="152"/>
      <c r="U197" s="152"/>
      <c r="V197" s="152">
        <f t="shared" si="2140"/>
        <v>0</v>
      </c>
      <c r="W197" s="152">
        <f t="shared" si="2141"/>
        <v>0</v>
      </c>
      <c r="X197" s="152">
        <f t="shared" si="2142"/>
        <v>0</v>
      </c>
      <c r="Y197" s="152">
        <f t="shared" si="2143"/>
        <v>0</v>
      </c>
      <c r="Z197" s="168">
        <f t="shared" si="2144"/>
        <v>0</v>
      </c>
      <c r="AA197" s="152"/>
      <c r="AB197" s="152"/>
      <c r="AC197" s="152"/>
      <c r="AD197" s="152">
        <f t="shared" si="2145"/>
        <v>0</v>
      </c>
      <c r="AE197" s="152"/>
      <c r="AF197" s="152"/>
      <c r="AG197" s="152"/>
      <c r="AH197" s="152">
        <f t="shared" si="2146"/>
        <v>0</v>
      </c>
      <c r="AI197" s="152"/>
      <c r="AJ197" s="152"/>
      <c r="AK197" s="152"/>
      <c r="AL197" s="152">
        <f t="shared" si="2147"/>
        <v>0</v>
      </c>
      <c r="AM197" s="152"/>
      <c r="AN197" s="152"/>
      <c r="AO197" s="152"/>
      <c r="AP197" s="152">
        <f t="shared" si="2148"/>
        <v>0</v>
      </c>
      <c r="AQ197" s="152">
        <f t="shared" si="2149"/>
        <v>0</v>
      </c>
      <c r="AR197" s="152">
        <f t="shared" si="2149"/>
        <v>0</v>
      </c>
      <c r="AS197" s="152">
        <f t="shared" si="2149"/>
        <v>0</v>
      </c>
      <c r="AT197" s="168">
        <f t="shared" si="2150"/>
        <v>0</v>
      </c>
      <c r="AU197" s="152"/>
      <c r="AV197" s="152"/>
      <c r="AW197" s="152"/>
      <c r="AX197" s="152">
        <f t="shared" si="2151"/>
        <v>0</v>
      </c>
      <c r="AY197" s="152"/>
      <c r="AZ197" s="152"/>
      <c r="BA197" s="152"/>
      <c r="BB197" s="152">
        <f t="shared" si="2152"/>
        <v>0</v>
      </c>
      <c r="BC197" s="152"/>
      <c r="BD197" s="152"/>
      <c r="BE197" s="152"/>
      <c r="BF197" s="152">
        <f t="shared" si="2153"/>
        <v>0</v>
      </c>
      <c r="BG197" s="152"/>
      <c r="BH197" s="152"/>
      <c r="BI197" s="152"/>
      <c r="BJ197" s="152">
        <f t="shared" si="2154"/>
        <v>0</v>
      </c>
      <c r="BK197" s="152">
        <f t="shared" si="2155"/>
        <v>0</v>
      </c>
      <c r="BL197" s="152">
        <f t="shared" si="2156"/>
        <v>0</v>
      </c>
      <c r="BM197" s="152">
        <f t="shared" si="2157"/>
        <v>0</v>
      </c>
      <c r="BN197" s="152">
        <f t="shared" si="2158"/>
        <v>0</v>
      </c>
      <c r="BO197" s="168"/>
      <c r="BP197" s="152">
        <f t="shared" si="2159"/>
        <v>0</v>
      </c>
      <c r="BQ197" s="152">
        <f t="shared" si="2160"/>
        <v>0</v>
      </c>
      <c r="BR197" s="152">
        <f t="shared" si="2161"/>
        <v>0</v>
      </c>
      <c r="BS197" s="168">
        <f t="shared" si="2162"/>
        <v>0</v>
      </c>
      <c r="BT197" s="152"/>
      <c r="BU197" s="152"/>
      <c r="BV197" s="152"/>
      <c r="BW197" s="152">
        <f t="shared" si="2163"/>
        <v>0</v>
      </c>
      <c r="BX197" s="152">
        <f t="shared" si="2164"/>
        <v>0</v>
      </c>
      <c r="BY197" s="152">
        <f t="shared" si="2165"/>
        <v>0</v>
      </c>
      <c r="BZ197" s="152">
        <f t="shared" si="2166"/>
        <v>0</v>
      </c>
      <c r="CA197" s="587">
        <f t="shared" si="2167"/>
        <v>0</v>
      </c>
    </row>
    <row r="198" spans="1:79" ht="14.1" customHeight="1" x14ac:dyDescent="0.2">
      <c r="A198" s="127" t="s">
        <v>139</v>
      </c>
      <c r="B198" s="81"/>
      <c r="C198" s="81" t="s">
        <v>149</v>
      </c>
      <c r="D198" s="901" t="s">
        <v>548</v>
      </c>
      <c r="E198" s="902"/>
      <c r="G198" s="152"/>
      <c r="H198" s="152"/>
      <c r="I198" s="152"/>
      <c r="J198" s="152">
        <f t="shared" si="2137"/>
        <v>0</v>
      </c>
      <c r="K198" s="152"/>
      <c r="L198" s="152"/>
      <c r="M198" s="152"/>
      <c r="N198" s="152">
        <f t="shared" si="2138"/>
        <v>0</v>
      </c>
      <c r="O198" s="152"/>
      <c r="P198" s="152"/>
      <c r="Q198" s="152"/>
      <c r="R198" s="152">
        <f t="shared" si="2139"/>
        <v>0</v>
      </c>
      <c r="S198" s="152"/>
      <c r="T198" s="152"/>
      <c r="U198" s="152"/>
      <c r="V198" s="152">
        <f t="shared" si="2140"/>
        <v>0</v>
      </c>
      <c r="W198" s="152">
        <f t="shared" si="2141"/>
        <v>0</v>
      </c>
      <c r="X198" s="152">
        <f t="shared" si="2142"/>
        <v>0</v>
      </c>
      <c r="Y198" s="152">
        <f t="shared" si="2143"/>
        <v>0</v>
      </c>
      <c r="Z198" s="168">
        <f t="shared" si="2144"/>
        <v>0</v>
      </c>
      <c r="AA198" s="152"/>
      <c r="AB198" s="152"/>
      <c r="AC198" s="152"/>
      <c r="AD198" s="152">
        <f t="shared" si="2145"/>
        <v>0</v>
      </c>
      <c r="AE198" s="152"/>
      <c r="AF198" s="152"/>
      <c r="AG198" s="152"/>
      <c r="AH198" s="152">
        <f t="shared" si="2146"/>
        <v>0</v>
      </c>
      <c r="AI198" s="152"/>
      <c r="AJ198" s="152"/>
      <c r="AK198" s="152"/>
      <c r="AL198" s="152">
        <f t="shared" si="2147"/>
        <v>0</v>
      </c>
      <c r="AM198" s="152"/>
      <c r="AN198" s="152"/>
      <c r="AO198" s="152"/>
      <c r="AP198" s="152">
        <f t="shared" si="2148"/>
        <v>0</v>
      </c>
      <c r="AQ198" s="152">
        <f t="shared" si="2149"/>
        <v>0</v>
      </c>
      <c r="AR198" s="152">
        <f t="shared" si="2149"/>
        <v>0</v>
      </c>
      <c r="AS198" s="152">
        <f t="shared" si="2149"/>
        <v>0</v>
      </c>
      <c r="AT198" s="168">
        <f t="shared" si="2150"/>
        <v>0</v>
      </c>
      <c r="AU198" s="152"/>
      <c r="AV198" s="152"/>
      <c r="AW198" s="152"/>
      <c r="AX198" s="152">
        <f t="shared" si="2151"/>
        <v>0</v>
      </c>
      <c r="AY198" s="152"/>
      <c r="AZ198" s="152"/>
      <c r="BA198" s="152"/>
      <c r="BB198" s="152">
        <f t="shared" si="2152"/>
        <v>0</v>
      </c>
      <c r="BC198" s="152"/>
      <c r="BD198" s="152"/>
      <c r="BE198" s="152"/>
      <c r="BF198" s="152">
        <f t="shared" si="2153"/>
        <v>0</v>
      </c>
      <c r="BG198" s="152"/>
      <c r="BH198" s="152"/>
      <c r="BI198" s="152"/>
      <c r="BJ198" s="152">
        <f t="shared" si="2154"/>
        <v>0</v>
      </c>
      <c r="BK198" s="152">
        <f t="shared" si="2155"/>
        <v>0</v>
      </c>
      <c r="BL198" s="152">
        <f t="shared" si="2156"/>
        <v>0</v>
      </c>
      <c r="BM198" s="152">
        <f t="shared" si="2157"/>
        <v>0</v>
      </c>
      <c r="BN198" s="152">
        <f t="shared" si="2158"/>
        <v>0</v>
      </c>
      <c r="BO198" s="168"/>
      <c r="BP198" s="152">
        <f t="shared" si="2159"/>
        <v>0</v>
      </c>
      <c r="BQ198" s="152">
        <f t="shared" si="2160"/>
        <v>0</v>
      </c>
      <c r="BR198" s="152">
        <f t="shared" si="2161"/>
        <v>0</v>
      </c>
      <c r="BS198" s="168">
        <f t="shared" si="2162"/>
        <v>0</v>
      </c>
      <c r="BT198" s="152"/>
      <c r="BU198" s="152"/>
      <c r="BV198" s="152"/>
      <c r="BW198" s="152">
        <f t="shared" si="2163"/>
        <v>0</v>
      </c>
      <c r="BX198" s="152">
        <f t="shared" si="2164"/>
        <v>0</v>
      </c>
      <c r="BY198" s="152">
        <f t="shared" si="2165"/>
        <v>0</v>
      </c>
      <c r="BZ198" s="152">
        <f t="shared" si="2166"/>
        <v>0</v>
      </c>
      <c r="CA198" s="587">
        <f t="shared" si="2167"/>
        <v>0</v>
      </c>
    </row>
    <row r="199" spans="1:79" ht="14.1" customHeight="1" x14ac:dyDescent="0.2">
      <c r="A199" s="127" t="s">
        <v>140</v>
      </c>
      <c r="B199" s="81"/>
      <c r="C199" s="81" t="s">
        <v>150</v>
      </c>
      <c r="D199" s="901" t="s">
        <v>549</v>
      </c>
      <c r="E199" s="902"/>
      <c r="G199" s="152"/>
      <c r="H199" s="152">
        <v>54729.64</v>
      </c>
      <c r="I199" s="152"/>
      <c r="J199" s="152">
        <f t="shared" si="2137"/>
        <v>54729.64</v>
      </c>
      <c r="K199" s="152"/>
      <c r="L199" s="152"/>
      <c r="M199" s="152"/>
      <c r="N199" s="152">
        <f t="shared" si="2138"/>
        <v>0</v>
      </c>
      <c r="O199" s="152"/>
      <c r="P199" s="152"/>
      <c r="Q199" s="152"/>
      <c r="R199" s="152">
        <f t="shared" si="2139"/>
        <v>0</v>
      </c>
      <c r="S199" s="152"/>
      <c r="T199" s="152"/>
      <c r="U199" s="152"/>
      <c r="V199" s="152">
        <f t="shared" si="2140"/>
        <v>0</v>
      </c>
      <c r="W199" s="152">
        <f t="shared" si="2141"/>
        <v>0</v>
      </c>
      <c r="X199" s="152">
        <f t="shared" si="2142"/>
        <v>54729.64</v>
      </c>
      <c r="Y199" s="152">
        <f t="shared" si="2143"/>
        <v>0</v>
      </c>
      <c r="Z199" s="168">
        <f t="shared" si="2144"/>
        <v>54729.64</v>
      </c>
      <c r="AA199" s="152"/>
      <c r="AB199" s="152">
        <v>2400</v>
      </c>
      <c r="AC199" s="152"/>
      <c r="AD199" s="152">
        <f t="shared" si="2145"/>
        <v>2400</v>
      </c>
      <c r="AE199" s="152"/>
      <c r="AF199" s="152">
        <f>5000+1000+15000</f>
        <v>21000</v>
      </c>
      <c r="AG199" s="152"/>
      <c r="AH199" s="152">
        <f t="shared" si="2146"/>
        <v>21000</v>
      </c>
      <c r="AI199" s="152"/>
      <c r="AJ199" s="152">
        <f>11655.47+3077.74</f>
        <v>14733.21</v>
      </c>
      <c r="AK199" s="152"/>
      <c r="AL199" s="152">
        <f t="shared" si="2147"/>
        <v>14733.21</v>
      </c>
      <c r="AM199" s="152"/>
      <c r="AN199" s="152"/>
      <c r="AO199" s="152"/>
      <c r="AP199" s="152">
        <f t="shared" si="2148"/>
        <v>0</v>
      </c>
      <c r="AQ199" s="152">
        <f t="shared" si="2149"/>
        <v>0</v>
      </c>
      <c r="AR199" s="152">
        <f t="shared" si="2149"/>
        <v>38133.21</v>
      </c>
      <c r="AS199" s="152">
        <f t="shared" si="2149"/>
        <v>0</v>
      </c>
      <c r="AT199" s="168">
        <f t="shared" si="2150"/>
        <v>38133.21</v>
      </c>
      <c r="AU199" s="152"/>
      <c r="AV199" s="152">
        <v>2400</v>
      </c>
      <c r="AW199" s="152"/>
      <c r="AX199" s="152">
        <f t="shared" si="2151"/>
        <v>2400</v>
      </c>
      <c r="AY199" s="152"/>
      <c r="AZ199" s="152">
        <f>5000+1000+15000</f>
        <v>21000</v>
      </c>
      <c r="BA199" s="152"/>
      <c r="BB199" s="152">
        <f t="shared" si="2152"/>
        <v>21000</v>
      </c>
      <c r="BC199" s="152"/>
      <c r="BD199" s="152">
        <f>11655.47+3077.74</f>
        <v>14733.21</v>
      </c>
      <c r="BE199" s="152"/>
      <c r="BF199" s="152">
        <f t="shared" si="2153"/>
        <v>14733.21</v>
      </c>
      <c r="BG199" s="152"/>
      <c r="BH199" s="152"/>
      <c r="BI199" s="152"/>
      <c r="BJ199" s="152">
        <f t="shared" si="2154"/>
        <v>0</v>
      </c>
      <c r="BK199" s="152">
        <f t="shared" si="2155"/>
        <v>0</v>
      </c>
      <c r="BL199" s="152">
        <f t="shared" si="2156"/>
        <v>38133.21</v>
      </c>
      <c r="BM199" s="152">
        <f t="shared" si="2157"/>
        <v>0</v>
      </c>
      <c r="BN199" s="152">
        <f t="shared" si="2158"/>
        <v>38133.21</v>
      </c>
      <c r="BO199" s="168"/>
      <c r="BP199" s="152">
        <f t="shared" si="2159"/>
        <v>0</v>
      </c>
      <c r="BQ199" s="152">
        <f t="shared" si="2160"/>
        <v>16596.43</v>
      </c>
      <c r="BR199" s="152">
        <f t="shared" si="2161"/>
        <v>0</v>
      </c>
      <c r="BS199" s="168">
        <f t="shared" si="2162"/>
        <v>16596.43</v>
      </c>
      <c r="BT199" s="152"/>
      <c r="BU199" s="152"/>
      <c r="BV199" s="152"/>
      <c r="BW199" s="152">
        <f t="shared" si="2163"/>
        <v>0</v>
      </c>
      <c r="BX199" s="152">
        <f t="shared" si="2164"/>
        <v>0</v>
      </c>
      <c r="BY199" s="152">
        <f t="shared" si="2165"/>
        <v>0</v>
      </c>
      <c r="BZ199" s="152">
        <f t="shared" si="2166"/>
        <v>0</v>
      </c>
      <c r="CA199" s="587">
        <f t="shared" si="2167"/>
        <v>0</v>
      </c>
    </row>
    <row r="200" spans="1:79" ht="14.1" customHeight="1" x14ac:dyDescent="0.2">
      <c r="A200" s="127" t="s">
        <v>141</v>
      </c>
      <c r="B200" s="81"/>
      <c r="C200" s="81" t="s">
        <v>200</v>
      </c>
      <c r="D200" s="69" t="s">
        <v>550</v>
      </c>
      <c r="E200" s="83"/>
      <c r="G200" s="152"/>
      <c r="H200" s="152"/>
      <c r="I200" s="152"/>
      <c r="J200" s="152">
        <f t="shared" si="2137"/>
        <v>0</v>
      </c>
      <c r="K200" s="152"/>
      <c r="L200" s="152"/>
      <c r="M200" s="152"/>
      <c r="N200" s="152">
        <f t="shared" si="2138"/>
        <v>0</v>
      </c>
      <c r="O200" s="152"/>
      <c r="P200" s="152"/>
      <c r="Q200" s="152"/>
      <c r="R200" s="152">
        <f t="shared" si="2139"/>
        <v>0</v>
      </c>
      <c r="S200" s="152"/>
      <c r="T200" s="152"/>
      <c r="U200" s="152"/>
      <c r="V200" s="152">
        <f t="shared" si="2140"/>
        <v>0</v>
      </c>
      <c r="W200" s="152">
        <f t="shared" si="2141"/>
        <v>0</v>
      </c>
      <c r="X200" s="152">
        <f t="shared" si="2142"/>
        <v>0</v>
      </c>
      <c r="Y200" s="152">
        <f t="shared" si="2143"/>
        <v>0</v>
      </c>
      <c r="Z200" s="168">
        <f t="shared" si="2144"/>
        <v>0</v>
      </c>
      <c r="AA200" s="152"/>
      <c r="AB200" s="152"/>
      <c r="AC200" s="152"/>
      <c r="AD200" s="152">
        <f t="shared" si="2145"/>
        <v>0</v>
      </c>
      <c r="AE200" s="152"/>
      <c r="AF200" s="152"/>
      <c r="AG200" s="152"/>
      <c r="AH200" s="152">
        <f t="shared" si="2146"/>
        <v>0</v>
      </c>
      <c r="AI200" s="152"/>
      <c r="AJ200" s="152"/>
      <c r="AK200" s="152"/>
      <c r="AL200" s="152">
        <f t="shared" si="2147"/>
        <v>0</v>
      </c>
      <c r="AM200" s="152"/>
      <c r="AN200" s="152"/>
      <c r="AO200" s="152"/>
      <c r="AP200" s="152">
        <f t="shared" si="2148"/>
        <v>0</v>
      </c>
      <c r="AQ200" s="152">
        <f t="shared" si="2149"/>
        <v>0</v>
      </c>
      <c r="AR200" s="152">
        <f t="shared" si="2149"/>
        <v>0</v>
      </c>
      <c r="AS200" s="152">
        <f t="shared" si="2149"/>
        <v>0</v>
      </c>
      <c r="AT200" s="168">
        <f t="shared" si="2150"/>
        <v>0</v>
      </c>
      <c r="AU200" s="152"/>
      <c r="AV200" s="152"/>
      <c r="AW200" s="152"/>
      <c r="AX200" s="152">
        <f t="shared" si="2151"/>
        <v>0</v>
      </c>
      <c r="AY200" s="152"/>
      <c r="AZ200" s="152"/>
      <c r="BA200" s="152"/>
      <c r="BB200" s="152">
        <f t="shared" si="2152"/>
        <v>0</v>
      </c>
      <c r="BC200" s="152"/>
      <c r="BD200" s="152"/>
      <c r="BE200" s="152"/>
      <c r="BF200" s="152">
        <f t="shared" si="2153"/>
        <v>0</v>
      </c>
      <c r="BG200" s="152"/>
      <c r="BH200" s="152"/>
      <c r="BI200" s="152"/>
      <c r="BJ200" s="152">
        <f t="shared" si="2154"/>
        <v>0</v>
      </c>
      <c r="BK200" s="152">
        <f t="shared" si="2155"/>
        <v>0</v>
      </c>
      <c r="BL200" s="152">
        <f t="shared" si="2156"/>
        <v>0</v>
      </c>
      <c r="BM200" s="152">
        <f t="shared" si="2157"/>
        <v>0</v>
      </c>
      <c r="BN200" s="152">
        <f t="shared" si="2158"/>
        <v>0</v>
      </c>
      <c r="BO200" s="168"/>
      <c r="BP200" s="152">
        <f t="shared" si="2159"/>
        <v>0</v>
      </c>
      <c r="BQ200" s="152">
        <f t="shared" si="2160"/>
        <v>0</v>
      </c>
      <c r="BR200" s="152">
        <f t="shared" si="2161"/>
        <v>0</v>
      </c>
      <c r="BS200" s="168">
        <f t="shared" si="2162"/>
        <v>0</v>
      </c>
      <c r="BT200" s="152"/>
      <c r="BU200" s="152"/>
      <c r="BV200" s="152"/>
      <c r="BW200" s="152">
        <f t="shared" si="2163"/>
        <v>0</v>
      </c>
      <c r="BX200" s="152">
        <f t="shared" si="2164"/>
        <v>0</v>
      </c>
      <c r="BY200" s="152">
        <f t="shared" si="2165"/>
        <v>0</v>
      </c>
      <c r="BZ200" s="152">
        <f t="shared" si="2166"/>
        <v>0</v>
      </c>
      <c r="CA200" s="587">
        <f t="shared" si="2167"/>
        <v>0</v>
      </c>
    </row>
    <row r="201" spans="1:79" ht="14.1" customHeight="1" x14ac:dyDescent="0.2">
      <c r="A201" s="127" t="s">
        <v>142</v>
      </c>
      <c r="B201" s="81"/>
      <c r="C201" s="81" t="s">
        <v>201</v>
      </c>
      <c r="D201" s="901" t="s">
        <v>551</v>
      </c>
      <c r="E201" s="902"/>
      <c r="G201" s="152"/>
      <c r="H201" s="152"/>
      <c r="I201" s="152"/>
      <c r="J201" s="152">
        <f t="shared" si="2137"/>
        <v>0</v>
      </c>
      <c r="K201" s="152"/>
      <c r="L201" s="152"/>
      <c r="M201" s="152"/>
      <c r="N201" s="152">
        <f t="shared" si="2138"/>
        <v>0</v>
      </c>
      <c r="O201" s="152"/>
      <c r="P201" s="152"/>
      <c r="Q201" s="152"/>
      <c r="R201" s="152">
        <f t="shared" si="2139"/>
        <v>0</v>
      </c>
      <c r="S201" s="152"/>
      <c r="T201" s="152"/>
      <c r="U201" s="152"/>
      <c r="V201" s="152">
        <f t="shared" si="2140"/>
        <v>0</v>
      </c>
      <c r="W201" s="152">
        <f t="shared" si="2141"/>
        <v>0</v>
      </c>
      <c r="X201" s="152">
        <f t="shared" si="2142"/>
        <v>0</v>
      </c>
      <c r="Y201" s="152">
        <f t="shared" si="2143"/>
        <v>0</v>
      </c>
      <c r="Z201" s="168">
        <f t="shared" si="2144"/>
        <v>0</v>
      </c>
      <c r="AA201" s="152"/>
      <c r="AB201" s="152"/>
      <c r="AC201" s="152"/>
      <c r="AD201" s="152">
        <f t="shared" si="2145"/>
        <v>0</v>
      </c>
      <c r="AE201" s="152"/>
      <c r="AF201" s="152"/>
      <c r="AG201" s="152"/>
      <c r="AH201" s="152">
        <f t="shared" si="2146"/>
        <v>0</v>
      </c>
      <c r="AI201" s="152"/>
      <c r="AJ201" s="152"/>
      <c r="AK201" s="152"/>
      <c r="AL201" s="152">
        <f t="shared" si="2147"/>
        <v>0</v>
      </c>
      <c r="AM201" s="152"/>
      <c r="AN201" s="152"/>
      <c r="AO201" s="152"/>
      <c r="AP201" s="152">
        <f t="shared" si="2148"/>
        <v>0</v>
      </c>
      <c r="AQ201" s="152">
        <f t="shared" si="2149"/>
        <v>0</v>
      </c>
      <c r="AR201" s="152">
        <f t="shared" si="2149"/>
        <v>0</v>
      </c>
      <c r="AS201" s="152">
        <f t="shared" si="2149"/>
        <v>0</v>
      </c>
      <c r="AT201" s="168">
        <f t="shared" si="2150"/>
        <v>0</v>
      </c>
      <c r="AU201" s="152"/>
      <c r="AV201" s="152"/>
      <c r="AW201" s="152"/>
      <c r="AX201" s="152">
        <f t="shared" si="2151"/>
        <v>0</v>
      </c>
      <c r="AY201" s="152"/>
      <c r="AZ201" s="152"/>
      <c r="BA201" s="152"/>
      <c r="BB201" s="152">
        <f t="shared" si="2152"/>
        <v>0</v>
      </c>
      <c r="BC201" s="152"/>
      <c r="BD201" s="152"/>
      <c r="BE201" s="152"/>
      <c r="BF201" s="152">
        <f t="shared" si="2153"/>
        <v>0</v>
      </c>
      <c r="BG201" s="152"/>
      <c r="BH201" s="152"/>
      <c r="BI201" s="152"/>
      <c r="BJ201" s="152">
        <f t="shared" si="2154"/>
        <v>0</v>
      </c>
      <c r="BK201" s="152">
        <f t="shared" si="2155"/>
        <v>0</v>
      </c>
      <c r="BL201" s="152">
        <f t="shared" si="2156"/>
        <v>0</v>
      </c>
      <c r="BM201" s="152">
        <f t="shared" si="2157"/>
        <v>0</v>
      </c>
      <c r="BN201" s="152">
        <f t="shared" si="2158"/>
        <v>0</v>
      </c>
      <c r="BO201" s="168"/>
      <c r="BP201" s="152">
        <f t="shared" si="2159"/>
        <v>0</v>
      </c>
      <c r="BQ201" s="152">
        <f t="shared" si="2160"/>
        <v>0</v>
      </c>
      <c r="BR201" s="152">
        <f t="shared" si="2161"/>
        <v>0</v>
      </c>
      <c r="BS201" s="168">
        <f t="shared" si="2162"/>
        <v>0</v>
      </c>
      <c r="BT201" s="152"/>
      <c r="BU201" s="152"/>
      <c r="BV201" s="152"/>
      <c r="BW201" s="152">
        <f t="shared" si="2163"/>
        <v>0</v>
      </c>
      <c r="BX201" s="152">
        <f t="shared" si="2164"/>
        <v>0</v>
      </c>
      <c r="BY201" s="152">
        <f t="shared" si="2165"/>
        <v>0</v>
      </c>
      <c r="BZ201" s="152">
        <f t="shared" si="2166"/>
        <v>0</v>
      </c>
      <c r="CA201" s="587">
        <f t="shared" si="2167"/>
        <v>0</v>
      </c>
    </row>
    <row r="202" spans="1:79" ht="14.1" customHeight="1" x14ac:dyDescent="0.2">
      <c r="A202" s="125" t="s">
        <v>143</v>
      </c>
      <c r="B202" s="77" t="s">
        <v>144</v>
      </c>
      <c r="C202" s="69" t="s">
        <v>552</v>
      </c>
      <c r="D202" s="565"/>
      <c r="E202" s="566"/>
      <c r="G202" s="154"/>
      <c r="H202" s="154"/>
      <c r="I202" s="154"/>
      <c r="J202" s="154">
        <f t="shared" si="2137"/>
        <v>0</v>
      </c>
      <c r="K202" s="154"/>
      <c r="L202" s="154"/>
      <c r="M202" s="154"/>
      <c r="N202" s="154">
        <f t="shared" si="2138"/>
        <v>0</v>
      </c>
      <c r="O202" s="154"/>
      <c r="P202" s="154"/>
      <c r="Q202" s="154"/>
      <c r="R202" s="154">
        <f t="shared" si="2139"/>
        <v>0</v>
      </c>
      <c r="S202" s="154"/>
      <c r="T202" s="154"/>
      <c r="U202" s="154"/>
      <c r="V202" s="154">
        <f t="shared" si="2140"/>
        <v>0</v>
      </c>
      <c r="W202" s="154">
        <f t="shared" si="2141"/>
        <v>0</v>
      </c>
      <c r="X202" s="154">
        <f t="shared" si="2142"/>
        <v>0</v>
      </c>
      <c r="Y202" s="154">
        <f t="shared" si="2143"/>
        <v>0</v>
      </c>
      <c r="Z202" s="170">
        <f t="shared" si="2144"/>
        <v>0</v>
      </c>
      <c r="AA202" s="154"/>
      <c r="AB202" s="154"/>
      <c r="AC202" s="154"/>
      <c r="AD202" s="154">
        <f t="shared" si="2145"/>
        <v>0</v>
      </c>
      <c r="AE202" s="154"/>
      <c r="AF202" s="154"/>
      <c r="AG202" s="154"/>
      <c r="AH202" s="154">
        <f t="shared" si="2146"/>
        <v>0</v>
      </c>
      <c r="AI202" s="154"/>
      <c r="AJ202" s="154"/>
      <c r="AK202" s="154"/>
      <c r="AL202" s="154">
        <f t="shared" si="2147"/>
        <v>0</v>
      </c>
      <c r="AM202" s="154"/>
      <c r="AN202" s="154"/>
      <c r="AO202" s="154"/>
      <c r="AP202" s="154">
        <f t="shared" si="2148"/>
        <v>0</v>
      </c>
      <c r="AQ202" s="154">
        <f t="shared" si="2149"/>
        <v>0</v>
      </c>
      <c r="AR202" s="154">
        <f t="shared" si="2149"/>
        <v>0</v>
      </c>
      <c r="AS202" s="154">
        <f t="shared" si="2149"/>
        <v>0</v>
      </c>
      <c r="AT202" s="170">
        <f t="shared" si="2150"/>
        <v>0</v>
      </c>
      <c r="AU202" s="154"/>
      <c r="AV202" s="154"/>
      <c r="AW202" s="154"/>
      <c r="AX202" s="154">
        <f t="shared" si="2151"/>
        <v>0</v>
      </c>
      <c r="AY202" s="154"/>
      <c r="AZ202" s="154"/>
      <c r="BA202" s="154"/>
      <c r="BB202" s="154">
        <f t="shared" si="2152"/>
        <v>0</v>
      </c>
      <c r="BC202" s="154"/>
      <c r="BD202" s="154"/>
      <c r="BE202" s="154"/>
      <c r="BF202" s="154">
        <f t="shared" si="2153"/>
        <v>0</v>
      </c>
      <c r="BG202" s="154"/>
      <c r="BH202" s="154"/>
      <c r="BI202" s="154"/>
      <c r="BJ202" s="154">
        <f t="shared" si="2154"/>
        <v>0</v>
      </c>
      <c r="BK202" s="154">
        <f t="shared" si="2155"/>
        <v>0</v>
      </c>
      <c r="BL202" s="154">
        <f t="shared" si="2156"/>
        <v>0</v>
      </c>
      <c r="BM202" s="154">
        <f t="shared" si="2157"/>
        <v>0</v>
      </c>
      <c r="BN202" s="154">
        <f t="shared" si="2158"/>
        <v>0</v>
      </c>
      <c r="BO202" s="170"/>
      <c r="BP202" s="154">
        <f t="shared" si="2159"/>
        <v>0</v>
      </c>
      <c r="BQ202" s="154">
        <f t="shared" si="2160"/>
        <v>0</v>
      </c>
      <c r="BR202" s="154">
        <f t="shared" si="2161"/>
        <v>0</v>
      </c>
      <c r="BS202" s="170">
        <f t="shared" si="2162"/>
        <v>0</v>
      </c>
      <c r="BT202" s="154"/>
      <c r="BU202" s="154"/>
      <c r="BV202" s="154"/>
      <c r="BW202" s="154">
        <f t="shared" si="2163"/>
        <v>0</v>
      </c>
      <c r="BX202" s="154">
        <f t="shared" si="2164"/>
        <v>0</v>
      </c>
      <c r="BY202" s="154">
        <f t="shared" si="2165"/>
        <v>0</v>
      </c>
      <c r="BZ202" s="154">
        <f t="shared" si="2166"/>
        <v>0</v>
      </c>
      <c r="CA202" s="126">
        <f t="shared" si="2167"/>
        <v>0</v>
      </c>
    </row>
    <row r="203" spans="1:79" ht="14.1" customHeight="1" x14ac:dyDescent="0.2">
      <c r="A203" s="526" t="s">
        <v>553</v>
      </c>
      <c r="B203" s="564">
        <v>2</v>
      </c>
      <c r="C203" s="523" t="s">
        <v>145</v>
      </c>
      <c r="D203" s="560"/>
      <c r="E203" s="528"/>
      <c r="F203" s="525"/>
      <c r="G203" s="555">
        <f>SUM(G204:G207)</f>
        <v>0</v>
      </c>
      <c r="H203" s="555">
        <f t="shared" ref="H203:I203" si="2168">SUM(H204:H207)</f>
        <v>0</v>
      </c>
      <c r="I203" s="555">
        <f t="shared" si="2168"/>
        <v>0</v>
      </c>
      <c r="J203" s="555">
        <f t="shared" ref="J203:BS203" si="2169">SUM(J204:J207)</f>
        <v>0</v>
      </c>
      <c r="K203" s="555">
        <f>SUM(K204:K207)</f>
        <v>0</v>
      </c>
      <c r="L203" s="555">
        <f t="shared" ref="L203" si="2170">SUM(L204:L207)</f>
        <v>0</v>
      </c>
      <c r="M203" s="555">
        <f t="shared" ref="M203:N203" si="2171">SUM(M204:M207)</f>
        <v>0</v>
      </c>
      <c r="N203" s="555">
        <f t="shared" si="2171"/>
        <v>0</v>
      </c>
      <c r="O203" s="555">
        <f>SUM(O204:O207)</f>
        <v>0</v>
      </c>
      <c r="P203" s="555">
        <f t="shared" ref="P203" si="2172">SUM(P204:P207)</f>
        <v>0</v>
      </c>
      <c r="Q203" s="555">
        <f t="shared" ref="Q203:R203" si="2173">SUM(Q204:Q207)</f>
        <v>0</v>
      </c>
      <c r="R203" s="555">
        <f t="shared" si="2173"/>
        <v>0</v>
      </c>
      <c r="S203" s="555">
        <f>SUM(S204:S207)</f>
        <v>0</v>
      </c>
      <c r="T203" s="555">
        <f t="shared" ref="T203" si="2174">SUM(T204:T207)</f>
        <v>0</v>
      </c>
      <c r="U203" s="555">
        <f t="shared" ref="U203:V203" si="2175">SUM(U204:U207)</f>
        <v>0</v>
      </c>
      <c r="V203" s="555">
        <f t="shared" si="2175"/>
        <v>0</v>
      </c>
      <c r="W203" s="555">
        <f t="shared" si="2169"/>
        <v>0</v>
      </c>
      <c r="X203" s="555">
        <f t="shared" si="2169"/>
        <v>0</v>
      </c>
      <c r="Y203" s="555">
        <f t="shared" si="2169"/>
        <v>0</v>
      </c>
      <c r="Z203" s="556">
        <f t="shared" si="2169"/>
        <v>0</v>
      </c>
      <c r="AA203" s="555">
        <f t="shared" si="2169"/>
        <v>0</v>
      </c>
      <c r="AB203" s="555">
        <f t="shared" si="2169"/>
        <v>0</v>
      </c>
      <c r="AC203" s="555">
        <f t="shared" si="2169"/>
        <v>0</v>
      </c>
      <c r="AD203" s="555">
        <f t="shared" si="2169"/>
        <v>0</v>
      </c>
      <c r="AE203" s="555">
        <f>SUM(AE204:AE207)</f>
        <v>0</v>
      </c>
      <c r="AF203" s="555">
        <f t="shared" ref="AF203:AH203" si="2176">SUM(AF204:AF207)</f>
        <v>0</v>
      </c>
      <c r="AG203" s="555">
        <f t="shared" si="2176"/>
        <v>0</v>
      </c>
      <c r="AH203" s="555">
        <f t="shared" si="2176"/>
        <v>0</v>
      </c>
      <c r="AI203" s="555">
        <f>SUM(AI204:AI207)</f>
        <v>0</v>
      </c>
      <c r="AJ203" s="555">
        <f t="shared" ref="AJ203:AL203" si="2177">SUM(AJ204:AJ207)</f>
        <v>0</v>
      </c>
      <c r="AK203" s="555">
        <f t="shared" si="2177"/>
        <v>0</v>
      </c>
      <c r="AL203" s="555">
        <f t="shared" si="2177"/>
        <v>0</v>
      </c>
      <c r="AM203" s="555">
        <f>SUM(AM204:AM207)</f>
        <v>0</v>
      </c>
      <c r="AN203" s="555">
        <f t="shared" ref="AN203:AP203" si="2178">SUM(AN204:AN207)</f>
        <v>0</v>
      </c>
      <c r="AO203" s="555">
        <f t="shared" si="2178"/>
        <v>0</v>
      </c>
      <c r="AP203" s="555">
        <f t="shared" si="2178"/>
        <v>0</v>
      </c>
      <c r="AQ203" s="555">
        <f t="shared" si="2169"/>
        <v>0</v>
      </c>
      <c r="AR203" s="555">
        <f t="shared" si="2169"/>
        <v>0</v>
      </c>
      <c r="AS203" s="555">
        <f t="shared" si="2169"/>
        <v>0</v>
      </c>
      <c r="AT203" s="556">
        <f t="shared" si="2169"/>
        <v>0</v>
      </c>
      <c r="AU203" s="555">
        <f>SUM(AU204:AU207)</f>
        <v>0</v>
      </c>
      <c r="AV203" s="555">
        <f t="shared" ref="AV203:AX203" si="2179">SUM(AV204:AV207)</f>
        <v>0</v>
      </c>
      <c r="AW203" s="555">
        <f t="shared" si="2179"/>
        <v>0</v>
      </c>
      <c r="AX203" s="555">
        <f t="shared" si="2179"/>
        <v>0</v>
      </c>
      <c r="AY203" s="555">
        <f>SUM(AY204:AY207)</f>
        <v>0</v>
      </c>
      <c r="AZ203" s="555">
        <f t="shared" ref="AZ203" si="2180">SUM(AZ204:AZ207)</f>
        <v>0</v>
      </c>
      <c r="BA203" s="555">
        <f t="shared" ref="BA203:BB203" si="2181">SUM(BA204:BA207)</f>
        <v>0</v>
      </c>
      <c r="BB203" s="555">
        <f t="shared" si="2181"/>
        <v>0</v>
      </c>
      <c r="BC203" s="555">
        <f>SUM(BC204:BC207)</f>
        <v>0</v>
      </c>
      <c r="BD203" s="555">
        <f t="shared" ref="BD203" si="2182">SUM(BD204:BD207)</f>
        <v>0</v>
      </c>
      <c r="BE203" s="555">
        <f t="shared" ref="BE203:BF203" si="2183">SUM(BE204:BE207)</f>
        <v>0</v>
      </c>
      <c r="BF203" s="555">
        <f t="shared" si="2183"/>
        <v>0</v>
      </c>
      <c r="BG203" s="555">
        <f>SUM(BG204:BG207)</f>
        <v>0</v>
      </c>
      <c r="BH203" s="555">
        <f t="shared" ref="BH203" si="2184">SUM(BH204:BH207)</f>
        <v>0</v>
      </c>
      <c r="BI203" s="555">
        <f t="shared" ref="BI203:BJ203" si="2185">SUM(BI204:BI207)</f>
        <v>0</v>
      </c>
      <c r="BJ203" s="555">
        <f t="shared" si="2185"/>
        <v>0</v>
      </c>
      <c r="BK203" s="555">
        <f t="shared" si="2169"/>
        <v>0</v>
      </c>
      <c r="BL203" s="555">
        <f t="shared" si="2169"/>
        <v>0</v>
      </c>
      <c r="BM203" s="555">
        <f t="shared" si="2169"/>
        <v>0</v>
      </c>
      <c r="BN203" s="555">
        <f t="shared" si="2169"/>
        <v>0</v>
      </c>
      <c r="BO203" s="557">
        <f t="shared" si="2169"/>
        <v>0</v>
      </c>
      <c r="BP203" s="555">
        <f t="shared" si="2169"/>
        <v>0</v>
      </c>
      <c r="BQ203" s="555">
        <f t="shared" si="2169"/>
        <v>0</v>
      </c>
      <c r="BR203" s="555">
        <f t="shared" si="2169"/>
        <v>0</v>
      </c>
      <c r="BS203" s="556">
        <f t="shared" si="2169"/>
        <v>0</v>
      </c>
      <c r="BT203" s="555">
        <f>SUM(BT204:BT207)</f>
        <v>0</v>
      </c>
      <c r="BU203" s="555">
        <f t="shared" ref="BU203" si="2186">SUM(BU204:BU207)</f>
        <v>0</v>
      </c>
      <c r="BV203" s="555">
        <f t="shared" ref="BV203:BW203" si="2187">SUM(BV204:BV207)</f>
        <v>0</v>
      </c>
      <c r="BW203" s="555">
        <f t="shared" si="2187"/>
        <v>0</v>
      </c>
      <c r="BX203" s="555">
        <f t="shared" ref="BX203:CA203" si="2188">SUM(BX204:BX207)</f>
        <v>0</v>
      </c>
      <c r="BY203" s="555">
        <f t="shared" si="2188"/>
        <v>0</v>
      </c>
      <c r="BZ203" s="555">
        <f t="shared" si="2188"/>
        <v>0</v>
      </c>
      <c r="CA203" s="558">
        <f t="shared" si="2188"/>
        <v>0</v>
      </c>
    </row>
    <row r="204" spans="1:79" ht="14.1" customHeight="1" x14ac:dyDescent="0.2">
      <c r="A204" s="128" t="s">
        <v>554</v>
      </c>
      <c r="B204" s="78" t="s">
        <v>524</v>
      </c>
      <c r="C204" s="906" t="s">
        <v>555</v>
      </c>
      <c r="D204" s="906"/>
      <c r="E204" s="906"/>
      <c r="G204" s="152"/>
      <c r="H204" s="152"/>
      <c r="I204" s="152"/>
      <c r="J204" s="152">
        <f t="shared" ref="J204:J207" si="2189">SUM(G204:I204)</f>
        <v>0</v>
      </c>
      <c r="K204" s="152"/>
      <c r="L204" s="152"/>
      <c r="M204" s="152"/>
      <c r="N204" s="152">
        <f t="shared" ref="N204:N207" si="2190">SUM(K204:M204)</f>
        <v>0</v>
      </c>
      <c r="O204" s="152"/>
      <c r="P204" s="152"/>
      <c r="Q204" s="152"/>
      <c r="R204" s="152">
        <f t="shared" ref="R204:R207" si="2191">SUM(O204:Q204)</f>
        <v>0</v>
      </c>
      <c r="S204" s="152"/>
      <c r="T204" s="152"/>
      <c r="U204" s="152"/>
      <c r="V204" s="152">
        <f t="shared" ref="V204:V207" si="2192">SUM(S204:U204)</f>
        <v>0</v>
      </c>
      <c r="W204" s="152">
        <f>G204-O204+S204+K204</f>
        <v>0</v>
      </c>
      <c r="X204" s="152">
        <f t="shared" ref="X204:X207" si="2193">H204-P204+T204+L204</f>
        <v>0</v>
      </c>
      <c r="Y204" s="152">
        <f t="shared" ref="Y204:Y207" si="2194">I204-Q204+U204+M204</f>
        <v>0</v>
      </c>
      <c r="Z204" s="168">
        <f>SUM(W204:Y204)</f>
        <v>0</v>
      </c>
      <c r="AA204" s="152"/>
      <c r="AB204" s="152"/>
      <c r="AC204" s="152"/>
      <c r="AD204" s="152">
        <f t="shared" ref="AD204:AD207" si="2195">SUM(AA204:AC204)</f>
        <v>0</v>
      </c>
      <c r="AE204" s="152"/>
      <c r="AF204" s="152"/>
      <c r="AG204" s="152"/>
      <c r="AH204" s="152">
        <f t="shared" ref="AH204:AH207" si="2196">SUM(AE204:AG204)</f>
        <v>0</v>
      </c>
      <c r="AI204" s="152"/>
      <c r="AJ204" s="152"/>
      <c r="AK204" s="152"/>
      <c r="AL204" s="152">
        <f t="shared" ref="AL204:AL207" si="2197">SUM(AI204:AK204)</f>
        <v>0</v>
      </c>
      <c r="AM204" s="152"/>
      <c r="AN204" s="152"/>
      <c r="AO204" s="152"/>
      <c r="AP204" s="152">
        <f t="shared" ref="AP204:AP207" si="2198">SUM(AM204:AO204)</f>
        <v>0</v>
      </c>
      <c r="AQ204" s="152">
        <f t="shared" ref="AQ204:AS207" si="2199">AA204+AE204+AI204+AM204</f>
        <v>0</v>
      </c>
      <c r="AR204" s="152">
        <f t="shared" si="2199"/>
        <v>0</v>
      </c>
      <c r="AS204" s="152">
        <f t="shared" si="2199"/>
        <v>0</v>
      </c>
      <c r="AT204" s="168">
        <f>SUM(AQ204:AS204)</f>
        <v>0</v>
      </c>
      <c r="AU204" s="152"/>
      <c r="AV204" s="152"/>
      <c r="AW204" s="152"/>
      <c r="AX204" s="152">
        <f t="shared" ref="AX204:AX207" si="2200">SUM(AU204:AW204)</f>
        <v>0</v>
      </c>
      <c r="AY204" s="152"/>
      <c r="AZ204" s="152"/>
      <c r="BA204" s="152"/>
      <c r="BB204" s="152">
        <f t="shared" ref="BB204:BB207" si="2201">SUM(AY204:BA204)</f>
        <v>0</v>
      </c>
      <c r="BC204" s="152"/>
      <c r="BD204" s="152"/>
      <c r="BE204" s="152"/>
      <c r="BF204" s="152">
        <f t="shared" ref="BF204:BF207" si="2202">SUM(BC204:BE204)</f>
        <v>0</v>
      </c>
      <c r="BG204" s="152"/>
      <c r="BH204" s="152"/>
      <c r="BI204" s="152"/>
      <c r="BJ204" s="152">
        <f t="shared" ref="BJ204:BJ207" si="2203">SUM(BG204:BI204)</f>
        <v>0</v>
      </c>
      <c r="BK204" s="152">
        <f t="shared" ref="BK204:BK207" si="2204">AU204+AY204+BC204+BG204</f>
        <v>0</v>
      </c>
      <c r="BL204" s="152">
        <f t="shared" ref="BL204:BL207" si="2205">AV204+AZ204+BD204+BH204</f>
        <v>0</v>
      </c>
      <c r="BM204" s="152">
        <f t="shared" ref="BM204:BM207" si="2206">AW204+BA204+BE204+BI204</f>
        <v>0</v>
      </c>
      <c r="BN204" s="152">
        <f>SUM(BK204:BM204)</f>
        <v>0</v>
      </c>
      <c r="BO204" s="168"/>
      <c r="BP204" s="152">
        <f t="shared" ref="BP204:BP207" si="2207">W204-AQ204</f>
        <v>0</v>
      </c>
      <c r="BQ204" s="152">
        <f t="shared" ref="BQ204:BQ207" si="2208">X204-AR204</f>
        <v>0</v>
      </c>
      <c r="BR204" s="152">
        <f t="shared" ref="BR204:BR207" si="2209">Y204-AS204</f>
        <v>0</v>
      </c>
      <c r="BS204" s="168">
        <f>SUM(BP204:BR204)</f>
        <v>0</v>
      </c>
      <c r="BT204" s="152"/>
      <c r="BU204" s="152"/>
      <c r="BV204" s="152"/>
      <c r="BW204" s="152">
        <f t="shared" ref="BW204:BW207" si="2210">SUM(BT204:BV204)</f>
        <v>0</v>
      </c>
      <c r="BX204" s="152">
        <f t="shared" ref="BX204:BX207" si="2211">AQ204-BK204-BT204</f>
        <v>0</v>
      </c>
      <c r="BY204" s="152">
        <f t="shared" ref="BY204:BY207" si="2212">AR204-BL204-BU204</f>
        <v>0</v>
      </c>
      <c r="BZ204" s="152">
        <f t="shared" ref="BZ204:BZ207" si="2213">AS204-BM204-BV204</f>
        <v>0</v>
      </c>
      <c r="CA204" s="587">
        <f t="shared" ref="CA204:CA207" si="2214">SUM(BX204:BZ204)</f>
        <v>0</v>
      </c>
    </row>
    <row r="205" spans="1:79" ht="14.1" customHeight="1" x14ac:dyDescent="0.2">
      <c r="A205" s="128" t="s">
        <v>556</v>
      </c>
      <c r="B205" s="78" t="s">
        <v>536</v>
      </c>
      <c r="C205" s="906" t="s">
        <v>148</v>
      </c>
      <c r="D205" s="906"/>
      <c r="E205" s="906"/>
      <c r="G205" s="152"/>
      <c r="H205" s="152"/>
      <c r="I205" s="152"/>
      <c r="J205" s="152">
        <f t="shared" si="2189"/>
        <v>0</v>
      </c>
      <c r="K205" s="152"/>
      <c r="L205" s="152"/>
      <c r="M205" s="152"/>
      <c r="N205" s="152">
        <f t="shared" si="2190"/>
        <v>0</v>
      </c>
      <c r="O205" s="152"/>
      <c r="P205" s="152"/>
      <c r="Q205" s="152"/>
      <c r="R205" s="152">
        <f t="shared" si="2191"/>
        <v>0</v>
      </c>
      <c r="S205" s="152"/>
      <c r="T205" s="152"/>
      <c r="U205" s="152"/>
      <c r="V205" s="152">
        <f t="shared" si="2192"/>
        <v>0</v>
      </c>
      <c r="W205" s="152">
        <f>G205-O205+S205+K205</f>
        <v>0</v>
      </c>
      <c r="X205" s="152">
        <f t="shared" si="2193"/>
        <v>0</v>
      </c>
      <c r="Y205" s="152">
        <f t="shared" si="2194"/>
        <v>0</v>
      </c>
      <c r="Z205" s="168">
        <f>SUM(W205:Y205)</f>
        <v>0</v>
      </c>
      <c r="AA205" s="152"/>
      <c r="AB205" s="152"/>
      <c r="AC205" s="152"/>
      <c r="AD205" s="152">
        <f t="shared" si="2195"/>
        <v>0</v>
      </c>
      <c r="AE205" s="152"/>
      <c r="AF205" s="152"/>
      <c r="AG205" s="152"/>
      <c r="AH205" s="152">
        <f t="shared" si="2196"/>
        <v>0</v>
      </c>
      <c r="AI205" s="152"/>
      <c r="AJ205" s="152"/>
      <c r="AK205" s="152"/>
      <c r="AL205" s="152">
        <f t="shared" si="2197"/>
        <v>0</v>
      </c>
      <c r="AM205" s="152"/>
      <c r="AN205" s="152"/>
      <c r="AO205" s="152"/>
      <c r="AP205" s="152">
        <f t="shared" si="2198"/>
        <v>0</v>
      </c>
      <c r="AQ205" s="152">
        <f t="shared" si="2199"/>
        <v>0</v>
      </c>
      <c r="AR205" s="152">
        <f t="shared" si="2199"/>
        <v>0</v>
      </c>
      <c r="AS205" s="152">
        <f t="shared" si="2199"/>
        <v>0</v>
      </c>
      <c r="AT205" s="168">
        <f>SUM(AQ205:AS205)</f>
        <v>0</v>
      </c>
      <c r="AU205" s="152"/>
      <c r="AV205" s="152"/>
      <c r="AW205" s="152"/>
      <c r="AX205" s="152">
        <f t="shared" si="2200"/>
        <v>0</v>
      </c>
      <c r="AY205" s="152"/>
      <c r="AZ205" s="152"/>
      <c r="BA205" s="152"/>
      <c r="BB205" s="152">
        <f t="shared" si="2201"/>
        <v>0</v>
      </c>
      <c r="BC205" s="152"/>
      <c r="BD205" s="152"/>
      <c r="BE205" s="152"/>
      <c r="BF205" s="152">
        <f t="shared" si="2202"/>
        <v>0</v>
      </c>
      <c r="BG205" s="152"/>
      <c r="BH205" s="152"/>
      <c r="BI205" s="152"/>
      <c r="BJ205" s="152">
        <f t="shared" si="2203"/>
        <v>0</v>
      </c>
      <c r="BK205" s="152">
        <f t="shared" si="2204"/>
        <v>0</v>
      </c>
      <c r="BL205" s="152">
        <f t="shared" si="2205"/>
        <v>0</v>
      </c>
      <c r="BM205" s="152">
        <f t="shared" si="2206"/>
        <v>0</v>
      </c>
      <c r="BN205" s="152">
        <f>SUM(BK205:BM205)</f>
        <v>0</v>
      </c>
      <c r="BO205" s="168"/>
      <c r="BP205" s="152">
        <f t="shared" si="2207"/>
        <v>0</v>
      </c>
      <c r="BQ205" s="152">
        <f t="shared" si="2208"/>
        <v>0</v>
      </c>
      <c r="BR205" s="152">
        <f t="shared" si="2209"/>
        <v>0</v>
      </c>
      <c r="BS205" s="168">
        <f>SUM(BP205:BR205)</f>
        <v>0</v>
      </c>
      <c r="BT205" s="152"/>
      <c r="BU205" s="152"/>
      <c r="BV205" s="152"/>
      <c r="BW205" s="152">
        <f t="shared" si="2210"/>
        <v>0</v>
      </c>
      <c r="BX205" s="152">
        <f t="shared" si="2211"/>
        <v>0</v>
      </c>
      <c r="BY205" s="152">
        <f t="shared" si="2212"/>
        <v>0</v>
      </c>
      <c r="BZ205" s="152">
        <f t="shared" si="2213"/>
        <v>0</v>
      </c>
      <c r="CA205" s="587">
        <f t="shared" si="2214"/>
        <v>0</v>
      </c>
    </row>
    <row r="206" spans="1:79" ht="30.75" customHeight="1" x14ac:dyDescent="0.2">
      <c r="A206" s="128" t="s">
        <v>557</v>
      </c>
      <c r="B206" s="78" t="s">
        <v>184</v>
      </c>
      <c r="C206" s="899" t="s">
        <v>665</v>
      </c>
      <c r="D206" s="899"/>
      <c r="E206" s="899"/>
      <c r="F206" s="568"/>
      <c r="G206" s="152"/>
      <c r="H206" s="152"/>
      <c r="I206" s="152"/>
      <c r="J206" s="152">
        <f t="shared" si="2189"/>
        <v>0</v>
      </c>
      <c r="K206" s="152"/>
      <c r="L206" s="152"/>
      <c r="M206" s="152"/>
      <c r="N206" s="152">
        <f t="shared" si="2190"/>
        <v>0</v>
      </c>
      <c r="O206" s="152"/>
      <c r="P206" s="152"/>
      <c r="Q206" s="152"/>
      <c r="R206" s="152">
        <f t="shared" si="2191"/>
        <v>0</v>
      </c>
      <c r="S206" s="152"/>
      <c r="T206" s="152"/>
      <c r="U206" s="152"/>
      <c r="V206" s="152">
        <f t="shared" si="2192"/>
        <v>0</v>
      </c>
      <c r="W206" s="152">
        <f>G206-O206+S206+K206</f>
        <v>0</v>
      </c>
      <c r="X206" s="152">
        <f t="shared" si="2193"/>
        <v>0</v>
      </c>
      <c r="Y206" s="152">
        <f t="shared" si="2194"/>
        <v>0</v>
      </c>
      <c r="Z206" s="168">
        <f>SUM(W206:Y206)</f>
        <v>0</v>
      </c>
      <c r="AA206" s="152"/>
      <c r="AB206" s="152"/>
      <c r="AC206" s="152"/>
      <c r="AD206" s="152">
        <f t="shared" si="2195"/>
        <v>0</v>
      </c>
      <c r="AE206" s="152"/>
      <c r="AF206" s="152"/>
      <c r="AG206" s="152"/>
      <c r="AH206" s="152">
        <f t="shared" si="2196"/>
        <v>0</v>
      </c>
      <c r="AI206" s="152"/>
      <c r="AJ206" s="152"/>
      <c r="AK206" s="152"/>
      <c r="AL206" s="152">
        <f t="shared" si="2197"/>
        <v>0</v>
      </c>
      <c r="AM206" s="152"/>
      <c r="AN206" s="152"/>
      <c r="AO206" s="152"/>
      <c r="AP206" s="152">
        <f t="shared" si="2198"/>
        <v>0</v>
      </c>
      <c r="AQ206" s="152">
        <f t="shared" si="2199"/>
        <v>0</v>
      </c>
      <c r="AR206" s="152">
        <f t="shared" si="2199"/>
        <v>0</v>
      </c>
      <c r="AS206" s="152">
        <f t="shared" si="2199"/>
        <v>0</v>
      </c>
      <c r="AT206" s="168">
        <f>SUM(AQ206:AS206)</f>
        <v>0</v>
      </c>
      <c r="AU206" s="152"/>
      <c r="AV206" s="152"/>
      <c r="AW206" s="152"/>
      <c r="AX206" s="152">
        <f t="shared" si="2200"/>
        <v>0</v>
      </c>
      <c r="AY206" s="152"/>
      <c r="AZ206" s="152"/>
      <c r="BA206" s="152"/>
      <c r="BB206" s="152">
        <f t="shared" si="2201"/>
        <v>0</v>
      </c>
      <c r="BC206" s="152"/>
      <c r="BD206" s="152"/>
      <c r="BE206" s="152"/>
      <c r="BF206" s="152">
        <f t="shared" si="2202"/>
        <v>0</v>
      </c>
      <c r="BG206" s="152"/>
      <c r="BH206" s="152"/>
      <c r="BI206" s="152"/>
      <c r="BJ206" s="152">
        <f t="shared" si="2203"/>
        <v>0</v>
      </c>
      <c r="BK206" s="152">
        <f t="shared" si="2204"/>
        <v>0</v>
      </c>
      <c r="BL206" s="152">
        <f t="shared" si="2205"/>
        <v>0</v>
      </c>
      <c r="BM206" s="152">
        <f t="shared" si="2206"/>
        <v>0</v>
      </c>
      <c r="BN206" s="152">
        <f>SUM(BK206:BM206)</f>
        <v>0</v>
      </c>
      <c r="BO206" s="168"/>
      <c r="BP206" s="152">
        <f t="shared" si="2207"/>
        <v>0</v>
      </c>
      <c r="BQ206" s="152">
        <f t="shared" si="2208"/>
        <v>0</v>
      </c>
      <c r="BR206" s="152">
        <f t="shared" si="2209"/>
        <v>0</v>
      </c>
      <c r="BS206" s="168">
        <f>SUM(BP206:BR206)</f>
        <v>0</v>
      </c>
      <c r="BT206" s="152"/>
      <c r="BU206" s="152"/>
      <c r="BV206" s="152"/>
      <c r="BW206" s="152">
        <f t="shared" si="2210"/>
        <v>0</v>
      </c>
      <c r="BX206" s="152">
        <f t="shared" si="2211"/>
        <v>0</v>
      </c>
      <c r="BY206" s="152">
        <f t="shared" si="2212"/>
        <v>0</v>
      </c>
      <c r="BZ206" s="152">
        <f t="shared" si="2213"/>
        <v>0</v>
      </c>
      <c r="CA206" s="587">
        <f t="shared" si="2214"/>
        <v>0</v>
      </c>
    </row>
    <row r="207" spans="1:79" ht="27" customHeight="1" x14ac:dyDescent="0.2">
      <c r="A207" s="128" t="s">
        <v>558</v>
      </c>
      <c r="B207" s="78" t="s">
        <v>559</v>
      </c>
      <c r="C207" s="899" t="s">
        <v>666</v>
      </c>
      <c r="D207" s="899"/>
      <c r="E207" s="899"/>
      <c r="G207" s="589"/>
      <c r="H207" s="589"/>
      <c r="I207" s="589"/>
      <c r="J207" s="152">
        <f t="shared" si="2189"/>
        <v>0</v>
      </c>
      <c r="K207" s="589"/>
      <c r="L207" s="589"/>
      <c r="M207" s="589"/>
      <c r="N207" s="152">
        <f t="shared" si="2190"/>
        <v>0</v>
      </c>
      <c r="O207" s="589"/>
      <c r="P207" s="589"/>
      <c r="Q207" s="589"/>
      <c r="R207" s="152">
        <f t="shared" si="2191"/>
        <v>0</v>
      </c>
      <c r="S207" s="589"/>
      <c r="T207" s="589"/>
      <c r="U207" s="589"/>
      <c r="V207" s="152">
        <f t="shared" si="2192"/>
        <v>0</v>
      </c>
      <c r="W207" s="152">
        <f>G207-O207+S207+K207</f>
        <v>0</v>
      </c>
      <c r="X207" s="152">
        <f t="shared" si="2193"/>
        <v>0</v>
      </c>
      <c r="Y207" s="152">
        <f t="shared" si="2194"/>
        <v>0</v>
      </c>
      <c r="Z207" s="168">
        <f>SUM(W207:Y207)</f>
        <v>0</v>
      </c>
      <c r="AA207" s="589"/>
      <c r="AB207" s="589"/>
      <c r="AC207" s="589"/>
      <c r="AD207" s="152">
        <f t="shared" si="2195"/>
        <v>0</v>
      </c>
      <c r="AE207" s="589"/>
      <c r="AF207" s="589"/>
      <c r="AG207" s="589"/>
      <c r="AH207" s="152">
        <f t="shared" si="2196"/>
        <v>0</v>
      </c>
      <c r="AI207" s="589"/>
      <c r="AJ207" s="589"/>
      <c r="AK207" s="589"/>
      <c r="AL207" s="152">
        <f t="shared" si="2197"/>
        <v>0</v>
      </c>
      <c r="AM207" s="589"/>
      <c r="AN207" s="589"/>
      <c r="AO207" s="589"/>
      <c r="AP207" s="152">
        <f t="shared" si="2198"/>
        <v>0</v>
      </c>
      <c r="AQ207" s="152">
        <f t="shared" si="2199"/>
        <v>0</v>
      </c>
      <c r="AR207" s="152">
        <f t="shared" si="2199"/>
        <v>0</v>
      </c>
      <c r="AS207" s="152">
        <f t="shared" si="2199"/>
        <v>0</v>
      </c>
      <c r="AT207" s="168">
        <f>SUM(AQ207:AS207)</f>
        <v>0</v>
      </c>
      <c r="AU207" s="589"/>
      <c r="AV207" s="589"/>
      <c r="AW207" s="589"/>
      <c r="AX207" s="152">
        <f t="shared" si="2200"/>
        <v>0</v>
      </c>
      <c r="AY207" s="589"/>
      <c r="AZ207" s="589"/>
      <c r="BA207" s="589"/>
      <c r="BB207" s="152">
        <f t="shared" si="2201"/>
        <v>0</v>
      </c>
      <c r="BC207" s="589"/>
      <c r="BD207" s="589"/>
      <c r="BE207" s="589"/>
      <c r="BF207" s="152">
        <f t="shared" si="2202"/>
        <v>0</v>
      </c>
      <c r="BG207" s="589"/>
      <c r="BH207" s="589"/>
      <c r="BI207" s="589"/>
      <c r="BJ207" s="152">
        <f t="shared" si="2203"/>
        <v>0</v>
      </c>
      <c r="BK207" s="152">
        <f t="shared" si="2204"/>
        <v>0</v>
      </c>
      <c r="BL207" s="152">
        <f t="shared" si="2205"/>
        <v>0</v>
      </c>
      <c r="BM207" s="152">
        <f t="shared" si="2206"/>
        <v>0</v>
      </c>
      <c r="BN207" s="152">
        <f>SUM(BK207:BM207)</f>
        <v>0</v>
      </c>
      <c r="BO207" s="168"/>
      <c r="BP207" s="152">
        <f t="shared" si="2207"/>
        <v>0</v>
      </c>
      <c r="BQ207" s="152">
        <f t="shared" si="2208"/>
        <v>0</v>
      </c>
      <c r="BR207" s="152">
        <f t="shared" si="2209"/>
        <v>0</v>
      </c>
      <c r="BS207" s="168">
        <f>SUM(BP207:BR207)</f>
        <v>0</v>
      </c>
      <c r="BT207" s="589"/>
      <c r="BU207" s="589"/>
      <c r="BV207" s="589"/>
      <c r="BW207" s="152">
        <f t="shared" si="2210"/>
        <v>0</v>
      </c>
      <c r="BX207" s="152">
        <f t="shared" si="2211"/>
        <v>0</v>
      </c>
      <c r="BY207" s="152">
        <f t="shared" si="2212"/>
        <v>0</v>
      </c>
      <c r="BZ207" s="152">
        <f t="shared" si="2213"/>
        <v>0</v>
      </c>
      <c r="CA207" s="587">
        <f t="shared" si="2214"/>
        <v>0</v>
      </c>
    </row>
    <row r="208" spans="1:79" ht="14.1" customHeight="1" x14ac:dyDescent="0.2">
      <c r="A208" s="542" t="s">
        <v>151</v>
      </c>
      <c r="B208" s="535" t="s">
        <v>152</v>
      </c>
      <c r="C208" s="535"/>
      <c r="D208" s="535"/>
      <c r="E208" s="544"/>
      <c r="F208" s="537"/>
      <c r="G208" s="545">
        <f>G209+G226+G238+G240</f>
        <v>0</v>
      </c>
      <c r="H208" s="545">
        <f t="shared" ref="H208:I208" si="2215">H209+H226+H238+H240</f>
        <v>398763.96</v>
      </c>
      <c r="I208" s="545">
        <f t="shared" si="2215"/>
        <v>0</v>
      </c>
      <c r="J208" s="545">
        <f t="shared" ref="J208" si="2216">J209+J226+J238+J240</f>
        <v>398763.96</v>
      </c>
      <c r="K208" s="545">
        <f>K209+K226+K238+K240</f>
        <v>0</v>
      </c>
      <c r="L208" s="545">
        <f t="shared" ref="L208" si="2217">L209+L226+L238+L240</f>
        <v>0</v>
      </c>
      <c r="M208" s="545">
        <f t="shared" ref="M208" si="2218">M209+M226+M238+M240</f>
        <v>0</v>
      </c>
      <c r="N208" s="545">
        <f t="shared" ref="N208" si="2219">N209+N226+N238+N240</f>
        <v>0</v>
      </c>
      <c r="O208" s="545">
        <f>O209+O226+O238+O240</f>
        <v>0</v>
      </c>
      <c r="P208" s="545">
        <f t="shared" ref="P208" si="2220">P209+P226+P238+P240</f>
        <v>0</v>
      </c>
      <c r="Q208" s="545">
        <f t="shared" ref="Q208" si="2221">Q209+Q226+Q238+Q240</f>
        <v>0</v>
      </c>
      <c r="R208" s="545">
        <f t="shared" ref="R208" si="2222">R209+R226+R238+R240</f>
        <v>0</v>
      </c>
      <c r="S208" s="545">
        <f>S209+S226+S238+S240</f>
        <v>0</v>
      </c>
      <c r="T208" s="545">
        <f t="shared" ref="T208" si="2223">T209+T226+T238+T240</f>
        <v>0</v>
      </c>
      <c r="U208" s="545">
        <f t="shared" ref="U208" si="2224">U209+U226+U238+U240</f>
        <v>0</v>
      </c>
      <c r="V208" s="545">
        <f t="shared" ref="V208" si="2225">V209+V226+V238+V240</f>
        <v>0</v>
      </c>
      <c r="W208" s="545">
        <f t="shared" ref="W208" si="2226">W209+W226+W238+W240</f>
        <v>0</v>
      </c>
      <c r="X208" s="545">
        <f t="shared" ref="X208" si="2227">X209+X226+X238+X240</f>
        <v>398763.96</v>
      </c>
      <c r="Y208" s="545">
        <f t="shared" ref="Y208" si="2228">Y209+Y226+Y238+Y240</f>
        <v>0</v>
      </c>
      <c r="Z208" s="546">
        <f t="shared" ref="Z208:AD208" si="2229">Z209+Z226+Z238+Z240</f>
        <v>398763.96</v>
      </c>
      <c r="AA208" s="545">
        <f t="shared" si="2229"/>
        <v>0</v>
      </c>
      <c r="AB208" s="545">
        <f t="shared" si="2229"/>
        <v>0</v>
      </c>
      <c r="AC208" s="545">
        <f t="shared" si="2229"/>
        <v>0</v>
      </c>
      <c r="AD208" s="545">
        <f t="shared" si="2229"/>
        <v>0</v>
      </c>
      <c r="AE208" s="545">
        <f>AE209+AE226+AE238+AE240</f>
        <v>0</v>
      </c>
      <c r="AF208" s="545">
        <f t="shared" ref="AF208:AH208" si="2230">AF209+AF226+AF238+AF240</f>
        <v>149991.35999999999</v>
      </c>
      <c r="AG208" s="545">
        <f t="shared" si="2230"/>
        <v>0</v>
      </c>
      <c r="AH208" s="545">
        <f t="shared" si="2230"/>
        <v>149991.35999999999</v>
      </c>
      <c r="AI208" s="545">
        <f>AI209+AI226+AI238+AI240</f>
        <v>0</v>
      </c>
      <c r="AJ208" s="545">
        <f t="shared" ref="AJ208:AL208" si="2231">AJ209+AJ226+AJ238+AJ240</f>
        <v>136510.15</v>
      </c>
      <c r="AK208" s="545">
        <f t="shared" si="2231"/>
        <v>0</v>
      </c>
      <c r="AL208" s="545">
        <f t="shared" si="2231"/>
        <v>136510.15</v>
      </c>
      <c r="AM208" s="545">
        <f>AM209+AM226+AM238+AM240</f>
        <v>0</v>
      </c>
      <c r="AN208" s="545">
        <f t="shared" ref="AN208:AT208" si="2232">AN209+AN226+AN238+AN240</f>
        <v>112262.45000000001</v>
      </c>
      <c r="AO208" s="545">
        <f t="shared" si="2232"/>
        <v>0</v>
      </c>
      <c r="AP208" s="545">
        <f t="shared" si="2232"/>
        <v>112262.45000000001</v>
      </c>
      <c r="AQ208" s="545">
        <f t="shared" si="2232"/>
        <v>0</v>
      </c>
      <c r="AR208" s="545">
        <f t="shared" si="2232"/>
        <v>398763.96</v>
      </c>
      <c r="AS208" s="545">
        <f t="shared" si="2232"/>
        <v>0</v>
      </c>
      <c r="AT208" s="546">
        <f t="shared" si="2232"/>
        <v>398763.96</v>
      </c>
      <c r="AU208" s="545">
        <f>AU209+AU226+AU238+AU240</f>
        <v>0</v>
      </c>
      <c r="AV208" s="545">
        <f t="shared" ref="AV208:AX208" si="2233">AV209+AV226+AV238+AV240</f>
        <v>0</v>
      </c>
      <c r="AW208" s="545">
        <f t="shared" si="2233"/>
        <v>0</v>
      </c>
      <c r="AX208" s="545">
        <f t="shared" si="2233"/>
        <v>0</v>
      </c>
      <c r="AY208" s="545">
        <f>AY209+AY226+AY238+AY240</f>
        <v>0</v>
      </c>
      <c r="AZ208" s="545">
        <f t="shared" ref="AZ208" si="2234">AZ209+AZ226+AZ238+AZ240</f>
        <v>119031.36</v>
      </c>
      <c r="BA208" s="545">
        <f t="shared" ref="BA208" si="2235">BA209+BA226+BA238+BA240</f>
        <v>0</v>
      </c>
      <c r="BB208" s="545">
        <f t="shared" ref="BB208" si="2236">BB209+BB226+BB238+BB240</f>
        <v>119031.36</v>
      </c>
      <c r="BC208" s="545">
        <f>BC209+BC226+BC238+BC240</f>
        <v>0</v>
      </c>
      <c r="BD208" s="545">
        <f t="shared" ref="BD208" si="2237">BD209+BD226+BD238+BD240</f>
        <v>167470.15000000002</v>
      </c>
      <c r="BE208" s="545">
        <f t="shared" ref="BE208" si="2238">BE209+BE226+BE238+BE240</f>
        <v>0</v>
      </c>
      <c r="BF208" s="545">
        <f t="shared" ref="BF208" si="2239">BF209+BF226+BF238+BF240</f>
        <v>167470.15000000002</v>
      </c>
      <c r="BG208" s="545">
        <f>BG209+BG226+BG238+BG240</f>
        <v>0</v>
      </c>
      <c r="BH208" s="545">
        <f t="shared" ref="BH208" si="2240">BH209+BH226+BH238+BH240</f>
        <v>112262.45000000001</v>
      </c>
      <c r="BI208" s="545">
        <f t="shared" ref="BI208" si="2241">BI209+BI226+BI238+BI240</f>
        <v>0</v>
      </c>
      <c r="BJ208" s="545">
        <f t="shared" ref="BJ208" si="2242">BJ209+BJ226+BJ238+BJ240</f>
        <v>112262.45000000001</v>
      </c>
      <c r="BK208" s="545">
        <f t="shared" ref="BK208" si="2243">BK209+BK226+BK238+BK240</f>
        <v>0</v>
      </c>
      <c r="BL208" s="545">
        <f t="shared" ref="BL208" si="2244">BL209+BL226+BL238+BL240</f>
        <v>398763.96</v>
      </c>
      <c r="BM208" s="545">
        <f t="shared" ref="BM208" si="2245">BM209+BM226+BM238+BM240</f>
        <v>0</v>
      </c>
      <c r="BN208" s="545">
        <f t="shared" ref="BN208" si="2246">BN209+BN226+BN238+BN240</f>
        <v>398763.96</v>
      </c>
      <c r="BO208" s="547">
        <f t="shared" ref="BO208" si="2247">BO209+BO226+BO238+BO240</f>
        <v>0</v>
      </c>
      <c r="BP208" s="545">
        <f t="shared" ref="BP208" si="2248">BP209+BP226+BP238+BP240</f>
        <v>0</v>
      </c>
      <c r="BQ208" s="545">
        <f t="shared" ref="BQ208" si="2249">BQ209+BQ226+BQ238+BQ240</f>
        <v>0</v>
      </c>
      <c r="BR208" s="545">
        <f t="shared" ref="BR208" si="2250">BR209+BR226+BR238+BR240</f>
        <v>0</v>
      </c>
      <c r="BS208" s="546">
        <f t="shared" ref="BS208" si="2251">BS209+BS226+BS238+BS240</f>
        <v>0</v>
      </c>
      <c r="BT208" s="545">
        <f>BT209+BT226+BT238+BT240</f>
        <v>0</v>
      </c>
      <c r="BU208" s="545">
        <f t="shared" ref="BU208" si="2252">BU209+BU226+BU238+BU240</f>
        <v>205</v>
      </c>
      <c r="BV208" s="545">
        <f t="shared" ref="BV208" si="2253">BV209+BV226+BV238+BV240</f>
        <v>0</v>
      </c>
      <c r="BW208" s="545">
        <f t="shared" ref="BW208" si="2254">BW209+BW226+BW238+BW240</f>
        <v>205</v>
      </c>
      <c r="BX208" s="545">
        <f t="shared" ref="BX208" si="2255">BX209+BX226+BX238+BX240</f>
        <v>0</v>
      </c>
      <c r="BY208" s="545">
        <f t="shared" ref="BY208" si="2256">BY209+BY226+BY238+BY240</f>
        <v>-205</v>
      </c>
      <c r="BZ208" s="545">
        <f t="shared" ref="BZ208" si="2257">BZ209+BZ226+BZ238+BZ240</f>
        <v>0</v>
      </c>
      <c r="CA208" s="548">
        <f t="shared" ref="CA208" si="2258">CA209+CA226+CA238+CA240</f>
        <v>-205</v>
      </c>
    </row>
    <row r="209" spans="1:79" ht="14.1" customHeight="1" x14ac:dyDescent="0.2">
      <c r="A209" s="559" t="s">
        <v>153</v>
      </c>
      <c r="B209" s="523" t="s">
        <v>154</v>
      </c>
      <c r="C209" s="523"/>
      <c r="D209" s="523"/>
      <c r="E209" s="528"/>
      <c r="F209" s="525"/>
      <c r="G209" s="555">
        <f>G210+G220</f>
        <v>0</v>
      </c>
      <c r="H209" s="555">
        <f t="shared" ref="H209:I209" si="2259">H210+H220</f>
        <v>383100.64</v>
      </c>
      <c r="I209" s="555">
        <f t="shared" si="2259"/>
        <v>0</v>
      </c>
      <c r="J209" s="555">
        <f t="shared" ref="J209:BS209" si="2260">J210+J220</f>
        <v>383100.64</v>
      </c>
      <c r="K209" s="555">
        <f>K210+K220</f>
        <v>0</v>
      </c>
      <c r="L209" s="555">
        <f t="shared" ref="L209" si="2261">L210+L220</f>
        <v>0</v>
      </c>
      <c r="M209" s="555">
        <f t="shared" ref="M209:N209" si="2262">M210+M220</f>
        <v>0</v>
      </c>
      <c r="N209" s="555">
        <f t="shared" si="2262"/>
        <v>0</v>
      </c>
      <c r="O209" s="555">
        <f>O210+O220</f>
        <v>0</v>
      </c>
      <c r="P209" s="555">
        <f t="shared" ref="P209" si="2263">P210+P220</f>
        <v>0</v>
      </c>
      <c r="Q209" s="555">
        <f t="shared" ref="Q209:R209" si="2264">Q210+Q220</f>
        <v>0</v>
      </c>
      <c r="R209" s="555">
        <f t="shared" si="2264"/>
        <v>0</v>
      </c>
      <c r="S209" s="555">
        <f>S210+S220</f>
        <v>0</v>
      </c>
      <c r="T209" s="555">
        <f t="shared" ref="T209" si="2265">T210+T220</f>
        <v>0</v>
      </c>
      <c r="U209" s="555">
        <f t="shared" ref="U209:V209" si="2266">U210+U220</f>
        <v>0</v>
      </c>
      <c r="V209" s="555">
        <f t="shared" si="2266"/>
        <v>0</v>
      </c>
      <c r="W209" s="555">
        <f t="shared" si="2260"/>
        <v>0</v>
      </c>
      <c r="X209" s="555">
        <f t="shared" si="2260"/>
        <v>383100.64</v>
      </c>
      <c r="Y209" s="555">
        <f t="shared" si="2260"/>
        <v>0</v>
      </c>
      <c r="Z209" s="556">
        <f t="shared" si="2260"/>
        <v>383100.64</v>
      </c>
      <c r="AA209" s="555">
        <f t="shared" si="2260"/>
        <v>0</v>
      </c>
      <c r="AB209" s="555">
        <f t="shared" si="2260"/>
        <v>0</v>
      </c>
      <c r="AC209" s="555">
        <f t="shared" si="2260"/>
        <v>0</v>
      </c>
      <c r="AD209" s="555">
        <f t="shared" si="2260"/>
        <v>0</v>
      </c>
      <c r="AE209" s="555">
        <f>AE210+AE220</f>
        <v>0</v>
      </c>
      <c r="AF209" s="555">
        <f t="shared" ref="AF209:AH209" si="2267">AF210+AF220</f>
        <v>149991.35999999999</v>
      </c>
      <c r="AG209" s="555">
        <f t="shared" si="2267"/>
        <v>0</v>
      </c>
      <c r="AH209" s="555">
        <f t="shared" si="2267"/>
        <v>149991.35999999999</v>
      </c>
      <c r="AI209" s="555">
        <f>AI210+AI220</f>
        <v>0</v>
      </c>
      <c r="AJ209" s="555">
        <f t="shared" ref="AJ209:AL209" si="2268">AJ210+AJ220</f>
        <v>131510.15</v>
      </c>
      <c r="AK209" s="555">
        <f t="shared" si="2268"/>
        <v>0</v>
      </c>
      <c r="AL209" s="555">
        <f t="shared" si="2268"/>
        <v>131510.15</v>
      </c>
      <c r="AM209" s="555">
        <f>AM210+AM220</f>
        <v>0</v>
      </c>
      <c r="AN209" s="555">
        <f t="shared" ref="AN209:AP209" si="2269">AN210+AN220</f>
        <v>101599.13</v>
      </c>
      <c r="AO209" s="555">
        <f t="shared" si="2269"/>
        <v>0</v>
      </c>
      <c r="AP209" s="555">
        <f t="shared" si="2269"/>
        <v>101599.13</v>
      </c>
      <c r="AQ209" s="555">
        <f t="shared" si="2260"/>
        <v>0</v>
      </c>
      <c r="AR209" s="555">
        <f t="shared" si="2260"/>
        <v>383100.64</v>
      </c>
      <c r="AS209" s="555">
        <f t="shared" si="2260"/>
        <v>0</v>
      </c>
      <c r="AT209" s="556">
        <f t="shared" si="2260"/>
        <v>383100.64</v>
      </c>
      <c r="AU209" s="555">
        <f>AU210+AU220</f>
        <v>0</v>
      </c>
      <c r="AV209" s="555">
        <f t="shared" ref="AV209:AX209" si="2270">AV210+AV220</f>
        <v>0</v>
      </c>
      <c r="AW209" s="555">
        <f t="shared" si="2270"/>
        <v>0</v>
      </c>
      <c r="AX209" s="555">
        <f t="shared" si="2270"/>
        <v>0</v>
      </c>
      <c r="AY209" s="555">
        <f>AY210+AY220</f>
        <v>0</v>
      </c>
      <c r="AZ209" s="555">
        <f t="shared" ref="AZ209" si="2271">AZ210+AZ220</f>
        <v>119031.36</v>
      </c>
      <c r="BA209" s="555">
        <f t="shared" ref="BA209:BB209" si="2272">BA210+BA220</f>
        <v>0</v>
      </c>
      <c r="BB209" s="555">
        <f t="shared" si="2272"/>
        <v>119031.36</v>
      </c>
      <c r="BC209" s="555">
        <f>BC210+BC220</f>
        <v>0</v>
      </c>
      <c r="BD209" s="555">
        <f t="shared" ref="BD209" si="2273">BD210+BD220</f>
        <v>162470.15000000002</v>
      </c>
      <c r="BE209" s="555">
        <f t="shared" ref="BE209:BF209" si="2274">BE210+BE220</f>
        <v>0</v>
      </c>
      <c r="BF209" s="555">
        <f t="shared" si="2274"/>
        <v>162470.15000000002</v>
      </c>
      <c r="BG209" s="555">
        <f>BG210+BG220</f>
        <v>0</v>
      </c>
      <c r="BH209" s="555">
        <f t="shared" ref="BH209" si="2275">BH210+BH220</f>
        <v>101599.13</v>
      </c>
      <c r="BI209" s="555">
        <f t="shared" ref="BI209:BJ209" si="2276">BI210+BI220</f>
        <v>0</v>
      </c>
      <c r="BJ209" s="555">
        <f t="shared" si="2276"/>
        <v>101599.13</v>
      </c>
      <c r="BK209" s="555">
        <f t="shared" si="2260"/>
        <v>0</v>
      </c>
      <c r="BL209" s="555">
        <f t="shared" si="2260"/>
        <v>383100.64</v>
      </c>
      <c r="BM209" s="555">
        <f t="shared" si="2260"/>
        <v>0</v>
      </c>
      <c r="BN209" s="555">
        <f t="shared" si="2260"/>
        <v>383100.64</v>
      </c>
      <c r="BO209" s="557">
        <f t="shared" si="2260"/>
        <v>0</v>
      </c>
      <c r="BP209" s="555">
        <f t="shared" si="2260"/>
        <v>0</v>
      </c>
      <c r="BQ209" s="555">
        <f t="shared" si="2260"/>
        <v>0</v>
      </c>
      <c r="BR209" s="555">
        <f t="shared" si="2260"/>
        <v>0</v>
      </c>
      <c r="BS209" s="556">
        <f t="shared" si="2260"/>
        <v>0</v>
      </c>
      <c r="BT209" s="555">
        <f>BT210+BT220</f>
        <v>0</v>
      </c>
      <c r="BU209" s="555">
        <f t="shared" ref="BU209" si="2277">BU210+BU220</f>
        <v>205</v>
      </c>
      <c r="BV209" s="555">
        <f t="shared" ref="BV209:BW209" si="2278">BV210+BV220</f>
        <v>0</v>
      </c>
      <c r="BW209" s="555">
        <f t="shared" si="2278"/>
        <v>205</v>
      </c>
      <c r="BX209" s="555">
        <f t="shared" ref="BX209:CA209" si="2279">BX210+BX220</f>
        <v>0</v>
      </c>
      <c r="BY209" s="555">
        <f t="shared" si="2279"/>
        <v>-205</v>
      </c>
      <c r="BZ209" s="555">
        <f t="shared" si="2279"/>
        <v>0</v>
      </c>
      <c r="CA209" s="558">
        <f t="shared" si="2279"/>
        <v>-205</v>
      </c>
    </row>
    <row r="210" spans="1:79" ht="14.1" customHeight="1" x14ac:dyDescent="0.2">
      <c r="A210" s="123" t="s">
        <v>155</v>
      </c>
      <c r="B210" s="74" t="s">
        <v>126</v>
      </c>
      <c r="C210" s="73" t="s">
        <v>156</v>
      </c>
      <c r="D210" s="73"/>
      <c r="E210" s="76"/>
      <c r="F210" s="87"/>
      <c r="G210" s="155">
        <f>G211+G215+G216+G217+G218+G219</f>
        <v>0</v>
      </c>
      <c r="H210" s="155">
        <f t="shared" ref="H210:I210" si="2280">H211+H215+H216+H217+H218+H219</f>
        <v>293300.64</v>
      </c>
      <c r="I210" s="155">
        <f t="shared" si="2280"/>
        <v>0</v>
      </c>
      <c r="J210" s="155">
        <f t="shared" ref="J210:BS210" si="2281">J211+J215+J216+J217+J218+J219</f>
        <v>293300.64</v>
      </c>
      <c r="K210" s="155">
        <f>K211+K215+K216+K217+K218+K219</f>
        <v>0</v>
      </c>
      <c r="L210" s="155">
        <f t="shared" ref="L210" si="2282">L211+L215+L216+L217+L218+L219</f>
        <v>0</v>
      </c>
      <c r="M210" s="155">
        <f t="shared" ref="M210:N210" si="2283">M211+M215+M216+M217+M218+M219</f>
        <v>0</v>
      </c>
      <c r="N210" s="155">
        <f t="shared" si="2283"/>
        <v>0</v>
      </c>
      <c r="O210" s="155">
        <f>O211+O215+O216+O217+O218+O219</f>
        <v>0</v>
      </c>
      <c r="P210" s="155">
        <f t="shared" ref="P210" si="2284">P211+P215+P216+P217+P218+P219</f>
        <v>0</v>
      </c>
      <c r="Q210" s="155">
        <f t="shared" ref="Q210:R210" si="2285">Q211+Q215+Q216+Q217+Q218+Q219</f>
        <v>0</v>
      </c>
      <c r="R210" s="155">
        <f t="shared" si="2285"/>
        <v>0</v>
      </c>
      <c r="S210" s="155">
        <f>S211+S215+S216+S217+S218+S219</f>
        <v>0</v>
      </c>
      <c r="T210" s="155">
        <f t="shared" ref="T210" si="2286">T211+T215+T216+T217+T218+T219</f>
        <v>0</v>
      </c>
      <c r="U210" s="155">
        <f t="shared" ref="U210:V210" si="2287">U211+U215+U216+U217+U218+U219</f>
        <v>0</v>
      </c>
      <c r="V210" s="155">
        <f t="shared" si="2287"/>
        <v>0</v>
      </c>
      <c r="W210" s="155">
        <f t="shared" si="2281"/>
        <v>0</v>
      </c>
      <c r="X210" s="155">
        <f t="shared" si="2281"/>
        <v>293300.64</v>
      </c>
      <c r="Y210" s="155">
        <f t="shared" si="2281"/>
        <v>0</v>
      </c>
      <c r="Z210" s="88">
        <f t="shared" si="2281"/>
        <v>293300.64</v>
      </c>
      <c r="AA210" s="155">
        <f t="shared" si="2281"/>
        <v>0</v>
      </c>
      <c r="AB210" s="155">
        <f t="shared" si="2281"/>
        <v>0</v>
      </c>
      <c r="AC210" s="155">
        <f t="shared" si="2281"/>
        <v>0</v>
      </c>
      <c r="AD210" s="155">
        <f t="shared" si="2281"/>
        <v>0</v>
      </c>
      <c r="AE210" s="155">
        <f>AE211+AE215+AE216+AE217+AE218+AE219</f>
        <v>0</v>
      </c>
      <c r="AF210" s="155">
        <f t="shared" ref="AF210:AH210" si="2288">AF211+AF215+AF216+AF217+AF218+AF219</f>
        <v>147007.03</v>
      </c>
      <c r="AG210" s="155">
        <f t="shared" si="2288"/>
        <v>0</v>
      </c>
      <c r="AH210" s="155">
        <f t="shared" si="2288"/>
        <v>147007.03</v>
      </c>
      <c r="AI210" s="155">
        <f>AI211+AI215+AI216+AI217+AI218+AI219</f>
        <v>0</v>
      </c>
      <c r="AJ210" s="155">
        <f t="shared" ref="AJ210:AL210" si="2289">AJ211+AJ215+AJ216+AJ217+AJ218+AJ219</f>
        <v>65694.48</v>
      </c>
      <c r="AK210" s="155">
        <f t="shared" si="2289"/>
        <v>0</v>
      </c>
      <c r="AL210" s="155">
        <f t="shared" si="2289"/>
        <v>65694.48</v>
      </c>
      <c r="AM210" s="155">
        <f>AM211+AM215+AM216+AM217+AM218+AM219</f>
        <v>0</v>
      </c>
      <c r="AN210" s="155">
        <f t="shared" ref="AN210:AP210" si="2290">AN211+AN215+AN216+AN217+AN218+AN219</f>
        <v>80599.13</v>
      </c>
      <c r="AO210" s="155">
        <f t="shared" si="2290"/>
        <v>0</v>
      </c>
      <c r="AP210" s="155">
        <f t="shared" si="2290"/>
        <v>80599.13</v>
      </c>
      <c r="AQ210" s="155">
        <f t="shared" si="2281"/>
        <v>0</v>
      </c>
      <c r="AR210" s="155">
        <f t="shared" si="2281"/>
        <v>293300.64</v>
      </c>
      <c r="AS210" s="155">
        <f t="shared" si="2281"/>
        <v>0</v>
      </c>
      <c r="AT210" s="88">
        <f t="shared" si="2281"/>
        <v>293300.64</v>
      </c>
      <c r="AU210" s="155">
        <f>AU211+AU215+AU216+AU217+AU218+AU219</f>
        <v>0</v>
      </c>
      <c r="AV210" s="155">
        <f t="shared" ref="AV210:AX210" si="2291">AV211+AV215+AV216+AV217+AV218+AV219</f>
        <v>0</v>
      </c>
      <c r="AW210" s="155">
        <f t="shared" si="2291"/>
        <v>0</v>
      </c>
      <c r="AX210" s="155">
        <f t="shared" si="2291"/>
        <v>0</v>
      </c>
      <c r="AY210" s="155">
        <f>AY211+AY215+AY216+AY217+AY218+AY219</f>
        <v>0</v>
      </c>
      <c r="AZ210" s="155">
        <f t="shared" ref="AZ210" si="2292">AZ211+AZ215+AZ216+AZ217+AZ218+AZ219</f>
        <v>116381.36</v>
      </c>
      <c r="BA210" s="155">
        <f t="shared" ref="BA210:BB210" si="2293">BA211+BA215+BA216+BA217+BA218+BA219</f>
        <v>0</v>
      </c>
      <c r="BB210" s="155">
        <f t="shared" si="2293"/>
        <v>116381.36</v>
      </c>
      <c r="BC210" s="155">
        <f>BC211+BC215+BC216+BC217+BC218+BC219</f>
        <v>0</v>
      </c>
      <c r="BD210" s="155">
        <f t="shared" ref="BD210" si="2294">BD211+BD215+BD216+BD217+BD218+BD219</f>
        <v>96320.150000000009</v>
      </c>
      <c r="BE210" s="155">
        <f t="shared" ref="BE210:BF210" si="2295">BE211+BE215+BE216+BE217+BE218+BE219</f>
        <v>0</v>
      </c>
      <c r="BF210" s="155">
        <f t="shared" si="2295"/>
        <v>96320.150000000009</v>
      </c>
      <c r="BG210" s="155">
        <f>BG211+BG215+BG216+BG217+BG218+BG219</f>
        <v>0</v>
      </c>
      <c r="BH210" s="155">
        <f t="shared" ref="BH210" si="2296">BH211+BH215+BH216+BH217+BH218+BH219</f>
        <v>80599.13</v>
      </c>
      <c r="BI210" s="155">
        <f t="shared" ref="BI210:BJ210" si="2297">BI211+BI215+BI216+BI217+BI218+BI219</f>
        <v>0</v>
      </c>
      <c r="BJ210" s="155">
        <f t="shared" si="2297"/>
        <v>80599.13</v>
      </c>
      <c r="BK210" s="155">
        <f t="shared" si="2281"/>
        <v>0</v>
      </c>
      <c r="BL210" s="155">
        <f t="shared" si="2281"/>
        <v>293300.64</v>
      </c>
      <c r="BM210" s="155">
        <f t="shared" si="2281"/>
        <v>0</v>
      </c>
      <c r="BN210" s="155">
        <f t="shared" si="2281"/>
        <v>293300.64</v>
      </c>
      <c r="BO210" s="171">
        <f t="shared" si="2281"/>
        <v>0</v>
      </c>
      <c r="BP210" s="155">
        <f t="shared" si="2281"/>
        <v>0</v>
      </c>
      <c r="BQ210" s="155">
        <f t="shared" si="2281"/>
        <v>0</v>
      </c>
      <c r="BR210" s="155">
        <f t="shared" si="2281"/>
        <v>0</v>
      </c>
      <c r="BS210" s="88">
        <f t="shared" si="2281"/>
        <v>0</v>
      </c>
      <c r="BT210" s="155">
        <f>BT211+BT215+BT216+BT217+BT218+BT219</f>
        <v>0</v>
      </c>
      <c r="BU210" s="155">
        <f t="shared" ref="BU210" si="2298">BU211+BU215+BU216+BU217+BU218+BU219</f>
        <v>205</v>
      </c>
      <c r="BV210" s="155">
        <f t="shared" ref="BV210:BW210" si="2299">BV211+BV215+BV216+BV217+BV218+BV219</f>
        <v>0</v>
      </c>
      <c r="BW210" s="155">
        <f t="shared" si="2299"/>
        <v>205</v>
      </c>
      <c r="BX210" s="155">
        <f t="shared" ref="BX210:CA210" si="2300">BX211+BX215+BX216+BX217+BX218+BX219</f>
        <v>0</v>
      </c>
      <c r="BY210" s="155">
        <f t="shared" si="2300"/>
        <v>-205</v>
      </c>
      <c r="BZ210" s="155">
        <f t="shared" si="2300"/>
        <v>0</v>
      </c>
      <c r="CA210" s="129">
        <f t="shared" si="2300"/>
        <v>-205</v>
      </c>
    </row>
    <row r="211" spans="1:79" ht="14.1" customHeight="1" x14ac:dyDescent="0.2">
      <c r="A211" s="125" t="s">
        <v>157</v>
      </c>
      <c r="B211" s="81"/>
      <c r="C211" s="81" t="s">
        <v>146</v>
      </c>
      <c r="D211" s="69" t="s">
        <v>560</v>
      </c>
      <c r="E211" s="79"/>
      <c r="G211" s="154">
        <f>SUM(G212:G214)</f>
        <v>0</v>
      </c>
      <c r="H211" s="154">
        <f t="shared" ref="H211:I211" si="2301">SUM(H212:H214)</f>
        <v>200225.24</v>
      </c>
      <c r="I211" s="154">
        <f t="shared" si="2301"/>
        <v>0</v>
      </c>
      <c r="J211" s="154">
        <f t="shared" ref="J211:BS211" si="2302">SUM(J212:J214)</f>
        <v>200225.24</v>
      </c>
      <c r="K211" s="154">
        <f>SUM(K212:K214)</f>
        <v>0</v>
      </c>
      <c r="L211" s="154">
        <f t="shared" ref="L211" si="2303">SUM(L212:L214)</f>
        <v>0</v>
      </c>
      <c r="M211" s="154">
        <f t="shared" ref="M211" si="2304">SUM(M212:M214)</f>
        <v>0</v>
      </c>
      <c r="N211" s="154">
        <f t="shared" ref="N211" si="2305">SUM(N212:N214)</f>
        <v>0</v>
      </c>
      <c r="O211" s="154">
        <f>SUM(O212:O214)</f>
        <v>0</v>
      </c>
      <c r="P211" s="154">
        <f t="shared" ref="P211" si="2306">SUM(P212:P214)</f>
        <v>0</v>
      </c>
      <c r="Q211" s="154">
        <f t="shared" ref="Q211" si="2307">SUM(Q212:Q214)</f>
        <v>0</v>
      </c>
      <c r="R211" s="154">
        <f t="shared" ref="R211" si="2308">SUM(R212:R214)</f>
        <v>0</v>
      </c>
      <c r="S211" s="154">
        <f>SUM(S212:S214)</f>
        <v>0</v>
      </c>
      <c r="T211" s="154">
        <f t="shared" ref="T211" si="2309">SUM(T212:T214)</f>
        <v>0</v>
      </c>
      <c r="U211" s="154">
        <f t="shared" ref="U211" si="2310">SUM(U212:U214)</f>
        <v>0</v>
      </c>
      <c r="V211" s="154">
        <f t="shared" ref="V211" si="2311">SUM(V212:V214)</f>
        <v>0</v>
      </c>
      <c r="W211" s="154">
        <f t="shared" si="2302"/>
        <v>0</v>
      </c>
      <c r="X211" s="154">
        <f t="shared" si="2302"/>
        <v>200225.24</v>
      </c>
      <c r="Y211" s="154">
        <f t="shared" si="2302"/>
        <v>0</v>
      </c>
      <c r="Z211" s="84">
        <f t="shared" si="2302"/>
        <v>200225.24</v>
      </c>
      <c r="AA211" s="154">
        <f t="shared" si="2302"/>
        <v>0</v>
      </c>
      <c r="AB211" s="154">
        <f t="shared" si="2302"/>
        <v>0</v>
      </c>
      <c r="AC211" s="154">
        <f t="shared" si="2302"/>
        <v>0</v>
      </c>
      <c r="AD211" s="154">
        <f t="shared" si="2302"/>
        <v>0</v>
      </c>
      <c r="AE211" s="154">
        <f>SUM(AE212:AE214)</f>
        <v>0</v>
      </c>
      <c r="AF211" s="154">
        <f t="shared" ref="AF211:AH211" si="2312">SUM(AF212:AF214)</f>
        <v>112007.03</v>
      </c>
      <c r="AG211" s="154">
        <f t="shared" si="2312"/>
        <v>0</v>
      </c>
      <c r="AH211" s="154">
        <f t="shared" si="2312"/>
        <v>112007.03</v>
      </c>
      <c r="AI211" s="154">
        <f>SUM(AI212:AI214)</f>
        <v>0</v>
      </c>
      <c r="AJ211" s="154">
        <f t="shared" ref="AJ211:AL211" si="2313">SUM(AJ212:AJ214)</f>
        <v>65694.48</v>
      </c>
      <c r="AK211" s="154">
        <f t="shared" si="2313"/>
        <v>0</v>
      </c>
      <c r="AL211" s="154">
        <f t="shared" si="2313"/>
        <v>65694.48</v>
      </c>
      <c r="AM211" s="154">
        <f>SUM(AM212:AM214)</f>
        <v>0</v>
      </c>
      <c r="AN211" s="154">
        <f t="shared" ref="AN211:AT211" si="2314">SUM(AN212:AN214)</f>
        <v>22523.73</v>
      </c>
      <c r="AO211" s="154">
        <f t="shared" si="2314"/>
        <v>0</v>
      </c>
      <c r="AP211" s="154">
        <f t="shared" si="2314"/>
        <v>22523.73</v>
      </c>
      <c r="AQ211" s="154">
        <f t="shared" si="2314"/>
        <v>0</v>
      </c>
      <c r="AR211" s="154">
        <f t="shared" si="2314"/>
        <v>200225.24000000002</v>
      </c>
      <c r="AS211" s="154">
        <f t="shared" si="2314"/>
        <v>0</v>
      </c>
      <c r="AT211" s="84">
        <f t="shared" si="2314"/>
        <v>200225.24000000002</v>
      </c>
      <c r="AU211" s="154">
        <f>SUM(AU212:AU214)</f>
        <v>0</v>
      </c>
      <c r="AV211" s="154">
        <f t="shared" ref="AV211:AX211" si="2315">SUM(AV212:AV214)</f>
        <v>0</v>
      </c>
      <c r="AW211" s="154">
        <f t="shared" si="2315"/>
        <v>0</v>
      </c>
      <c r="AX211" s="154">
        <f t="shared" si="2315"/>
        <v>0</v>
      </c>
      <c r="AY211" s="154">
        <f>SUM(AY212:AY214)</f>
        <v>0</v>
      </c>
      <c r="AZ211" s="154">
        <f t="shared" ref="AZ211" si="2316">SUM(AZ212:AZ214)</f>
        <v>81381.36</v>
      </c>
      <c r="BA211" s="154">
        <f t="shared" ref="BA211" si="2317">SUM(BA212:BA214)</f>
        <v>0</v>
      </c>
      <c r="BB211" s="154">
        <f t="shared" ref="BB211" si="2318">SUM(BB212:BB214)</f>
        <v>81381.36</v>
      </c>
      <c r="BC211" s="154">
        <f>SUM(BC212:BC214)</f>
        <v>0</v>
      </c>
      <c r="BD211" s="154">
        <f t="shared" ref="BD211" si="2319">SUM(BD212:BD214)</f>
        <v>96320.150000000009</v>
      </c>
      <c r="BE211" s="154">
        <f t="shared" ref="BE211" si="2320">SUM(BE212:BE214)</f>
        <v>0</v>
      </c>
      <c r="BF211" s="154">
        <f t="shared" ref="BF211" si="2321">SUM(BF212:BF214)</f>
        <v>96320.150000000009</v>
      </c>
      <c r="BG211" s="154">
        <f>SUM(BG212:BG214)</f>
        <v>0</v>
      </c>
      <c r="BH211" s="154">
        <f t="shared" ref="BH211" si="2322">SUM(BH212:BH214)</f>
        <v>22523.73</v>
      </c>
      <c r="BI211" s="154">
        <f t="shared" ref="BI211" si="2323">SUM(BI212:BI214)</f>
        <v>0</v>
      </c>
      <c r="BJ211" s="154">
        <f t="shared" ref="BJ211" si="2324">SUM(BJ212:BJ214)</f>
        <v>22523.73</v>
      </c>
      <c r="BK211" s="154">
        <f t="shared" si="2302"/>
        <v>0</v>
      </c>
      <c r="BL211" s="154">
        <f t="shared" si="2302"/>
        <v>200225.24000000002</v>
      </c>
      <c r="BM211" s="154">
        <f t="shared" si="2302"/>
        <v>0</v>
      </c>
      <c r="BN211" s="154">
        <f t="shared" si="2302"/>
        <v>200225.24000000002</v>
      </c>
      <c r="BO211" s="170">
        <f t="shared" si="2302"/>
        <v>0</v>
      </c>
      <c r="BP211" s="154">
        <f t="shared" si="2302"/>
        <v>0</v>
      </c>
      <c r="BQ211" s="154">
        <f t="shared" si="2302"/>
        <v>0</v>
      </c>
      <c r="BR211" s="154">
        <f t="shared" si="2302"/>
        <v>0</v>
      </c>
      <c r="BS211" s="84">
        <f t="shared" si="2302"/>
        <v>0</v>
      </c>
      <c r="BT211" s="154">
        <f>SUM(BT212:BT214)</f>
        <v>0</v>
      </c>
      <c r="BU211" s="154">
        <f t="shared" ref="BU211" si="2325">SUM(BU212:BU214)</f>
        <v>0</v>
      </c>
      <c r="BV211" s="154">
        <f t="shared" ref="BV211" si="2326">SUM(BV212:BV214)</f>
        <v>0</v>
      </c>
      <c r="BW211" s="154">
        <f t="shared" ref="BW211" si="2327">SUM(BW212:BW214)</f>
        <v>0</v>
      </c>
      <c r="BX211" s="154">
        <f t="shared" ref="BX211:CA211" si="2328">SUM(BX212:BX214)</f>
        <v>0</v>
      </c>
      <c r="BY211" s="154">
        <f t="shared" si="2328"/>
        <v>0</v>
      </c>
      <c r="BZ211" s="154">
        <f t="shared" si="2328"/>
        <v>0</v>
      </c>
      <c r="CA211" s="126">
        <f t="shared" si="2328"/>
        <v>0</v>
      </c>
    </row>
    <row r="212" spans="1:79" ht="14.1" customHeight="1" x14ac:dyDescent="0.2">
      <c r="A212" s="125" t="s">
        <v>561</v>
      </c>
      <c r="B212" s="78"/>
      <c r="C212" s="78"/>
      <c r="D212" s="78" t="s">
        <v>524</v>
      </c>
      <c r="E212" s="69" t="s">
        <v>158</v>
      </c>
      <c r="F212" s="69"/>
      <c r="G212" s="152"/>
      <c r="H212" s="152">
        <v>200225.24</v>
      </c>
      <c r="I212" s="152"/>
      <c r="J212" s="152">
        <f t="shared" ref="J212:J219" si="2329">SUM(G212:I212)</f>
        <v>200225.24</v>
      </c>
      <c r="K212" s="152"/>
      <c r="L212" s="152"/>
      <c r="M212" s="152"/>
      <c r="N212" s="152">
        <f t="shared" ref="N212:N219" si="2330">SUM(K212:M212)</f>
        <v>0</v>
      </c>
      <c r="O212" s="152"/>
      <c r="P212" s="152"/>
      <c r="Q212" s="152"/>
      <c r="R212" s="152">
        <f t="shared" ref="R212:R219" si="2331">SUM(O212:Q212)</f>
        <v>0</v>
      </c>
      <c r="S212" s="152"/>
      <c r="T212" s="152"/>
      <c r="U212" s="152"/>
      <c r="V212" s="152">
        <f t="shared" ref="V212:V219" si="2332">SUM(S212:U212)</f>
        <v>0</v>
      </c>
      <c r="W212" s="152">
        <f t="shared" ref="W212:W219" si="2333">G212-O212+S212+K212</f>
        <v>0</v>
      </c>
      <c r="X212" s="152">
        <f t="shared" ref="X212:X219" si="2334">H212-P212+T212+L212</f>
        <v>200225.24</v>
      </c>
      <c r="Y212" s="152">
        <f t="shared" ref="Y212:Y219" si="2335">I212-Q212+U212+M212</f>
        <v>0</v>
      </c>
      <c r="Z212" s="168">
        <f t="shared" ref="Z212:Z219" si="2336">SUM(W212:Y212)</f>
        <v>200225.24</v>
      </c>
      <c r="AA212" s="152"/>
      <c r="AB212" s="152"/>
      <c r="AC212" s="152"/>
      <c r="AD212" s="152">
        <f t="shared" ref="AD212:AD219" si="2337">SUM(AA212:AC212)</f>
        <v>0</v>
      </c>
      <c r="AE212" s="152"/>
      <c r="AF212" s="152">
        <f>34753.78+23425.67+7200+1988+5000+3028+21475+5000+10136.58</f>
        <v>112007.03</v>
      </c>
      <c r="AG212" s="152"/>
      <c r="AH212" s="152">
        <f t="shared" ref="AH212:AH219" si="2338">SUM(AE212:AG212)</f>
        <v>112007.03</v>
      </c>
      <c r="AI212" s="152"/>
      <c r="AJ212" s="152">
        <f>34734.74+1850+1509.74+15600+7000+5000</f>
        <v>65694.48</v>
      </c>
      <c r="AK212" s="152"/>
      <c r="AL212" s="152">
        <f t="shared" ref="AL212:AL221" si="2339">SUM(AI212:AK212)</f>
        <v>65694.48</v>
      </c>
      <c r="AM212" s="152"/>
      <c r="AN212" s="152">
        <f>23523.73-1000</f>
        <v>22523.73</v>
      </c>
      <c r="AO212" s="152"/>
      <c r="AP212" s="152">
        <f t="shared" ref="AP212:AP219" si="2340">SUM(AM212:AO212)</f>
        <v>22523.73</v>
      </c>
      <c r="AQ212" s="152">
        <f t="shared" ref="AQ212:AS219" si="2341">AA212+AE212+AI212+AM212</f>
        <v>0</v>
      </c>
      <c r="AR212" s="152">
        <f t="shared" si="2341"/>
        <v>200225.24000000002</v>
      </c>
      <c r="AS212" s="152">
        <f t="shared" si="2341"/>
        <v>0</v>
      </c>
      <c r="AT212" s="168">
        <f t="shared" ref="AT212:AT219" si="2342">SUM(AQ212:AS212)</f>
        <v>200225.24000000002</v>
      </c>
      <c r="AU212" s="152"/>
      <c r="AV212" s="152"/>
      <c r="AW212" s="152"/>
      <c r="AX212" s="152">
        <f t="shared" ref="AX212:AX219" si="2343">SUM(AU212:AW212)</f>
        <v>0</v>
      </c>
      <c r="AY212" s="152"/>
      <c r="AZ212" s="152">
        <f>34753.78+1988+5000+3028+21475+5000+10136.58</f>
        <v>81381.36</v>
      </c>
      <c r="BA212" s="152"/>
      <c r="BB212" s="152">
        <f t="shared" ref="BB212:BB219" si="2344">SUM(AY212:BA212)</f>
        <v>81381.36</v>
      </c>
      <c r="BC212" s="152"/>
      <c r="BD212" s="152">
        <f>65360.41+1850+1509.74+15600+7000+5000</f>
        <v>96320.150000000009</v>
      </c>
      <c r="BE212" s="152"/>
      <c r="BF212" s="152">
        <f t="shared" ref="BF212:BF219" si="2345">SUM(BC212:BE212)</f>
        <v>96320.150000000009</v>
      </c>
      <c r="BG212" s="152"/>
      <c r="BH212" s="152">
        <f>23523.73-1000</f>
        <v>22523.73</v>
      </c>
      <c r="BI212" s="152"/>
      <c r="BJ212" s="152">
        <f t="shared" ref="BJ212:BJ219" si="2346">SUM(BG212:BI212)</f>
        <v>22523.73</v>
      </c>
      <c r="BK212" s="152">
        <f t="shared" ref="BK212:BK219" si="2347">AU212+AY212+BC212+BG212</f>
        <v>0</v>
      </c>
      <c r="BL212" s="152">
        <f t="shared" ref="BL212:BL219" si="2348">AV212+AZ212+BD212+BH212</f>
        <v>200225.24000000002</v>
      </c>
      <c r="BM212" s="152">
        <f t="shared" ref="BM212:BM219" si="2349">AW212+BA212+BE212+BI212</f>
        <v>0</v>
      </c>
      <c r="BN212" s="152">
        <f t="shared" ref="BN212:BN219" si="2350">SUM(BK212:BM212)</f>
        <v>200225.24000000002</v>
      </c>
      <c r="BO212" s="168"/>
      <c r="BP212" s="152">
        <f t="shared" ref="BP212:BP219" si="2351">W212-AQ212</f>
        <v>0</v>
      </c>
      <c r="BQ212" s="152">
        <f t="shared" ref="BQ212:BQ219" si="2352">X212-AR212</f>
        <v>0</v>
      </c>
      <c r="BR212" s="152">
        <f t="shared" ref="BR212:BR219" si="2353">Y212-AS212</f>
        <v>0</v>
      </c>
      <c r="BS212" s="168">
        <f t="shared" ref="BS212:BS219" si="2354">SUM(BP212:BR212)</f>
        <v>0</v>
      </c>
      <c r="BT212" s="152"/>
      <c r="BU212" s="152"/>
      <c r="BV212" s="152"/>
      <c r="BW212" s="152">
        <f t="shared" ref="BW212:BW219" si="2355">SUM(BT212:BV212)</f>
        <v>0</v>
      </c>
      <c r="BX212" s="152">
        <f t="shared" ref="BX212:BX219" si="2356">AQ212-BK212-BT212</f>
        <v>0</v>
      </c>
      <c r="BY212" s="152">
        <f t="shared" ref="BY212:BY219" si="2357">AR212-BL212-BU212</f>
        <v>0</v>
      </c>
      <c r="BZ212" s="152">
        <f t="shared" ref="BZ212:BZ219" si="2358">AS212-BM212-BV212</f>
        <v>0</v>
      </c>
      <c r="CA212" s="587">
        <f t="shared" ref="CA212:CA219" si="2359">SUM(BX212:BZ212)</f>
        <v>0</v>
      </c>
    </row>
    <row r="213" spans="1:79" ht="14.1" customHeight="1" x14ac:dyDescent="0.2">
      <c r="A213" s="125" t="s">
        <v>562</v>
      </c>
      <c r="B213" s="568"/>
      <c r="C213" s="78"/>
      <c r="D213" s="78" t="s">
        <v>536</v>
      </c>
      <c r="E213" s="565" t="s">
        <v>563</v>
      </c>
      <c r="F213" s="70"/>
      <c r="G213" s="152"/>
      <c r="H213" s="152"/>
      <c r="I213" s="152"/>
      <c r="J213" s="152">
        <f t="shared" si="2329"/>
        <v>0</v>
      </c>
      <c r="K213" s="152"/>
      <c r="L213" s="152"/>
      <c r="M213" s="152"/>
      <c r="N213" s="152">
        <f t="shared" si="2330"/>
        <v>0</v>
      </c>
      <c r="O213" s="152"/>
      <c r="P213" s="152"/>
      <c r="Q213" s="152"/>
      <c r="R213" s="152">
        <f t="shared" si="2331"/>
        <v>0</v>
      </c>
      <c r="S213" s="152"/>
      <c r="T213" s="152"/>
      <c r="U213" s="152"/>
      <c r="V213" s="152">
        <f t="shared" si="2332"/>
        <v>0</v>
      </c>
      <c r="W213" s="152">
        <f t="shared" si="2333"/>
        <v>0</v>
      </c>
      <c r="X213" s="152">
        <f t="shared" si="2334"/>
        <v>0</v>
      </c>
      <c r="Y213" s="152">
        <f t="shared" si="2335"/>
        <v>0</v>
      </c>
      <c r="Z213" s="168">
        <f t="shared" si="2336"/>
        <v>0</v>
      </c>
      <c r="AA213" s="152"/>
      <c r="AB213" s="152"/>
      <c r="AC213" s="152"/>
      <c r="AD213" s="152">
        <f t="shared" si="2337"/>
        <v>0</v>
      </c>
      <c r="AE213" s="152"/>
      <c r="AF213" s="152"/>
      <c r="AG213" s="152"/>
      <c r="AH213" s="152">
        <f t="shared" si="2338"/>
        <v>0</v>
      </c>
      <c r="AI213" s="152"/>
      <c r="AJ213" s="152"/>
      <c r="AK213" s="152"/>
      <c r="AL213" s="152">
        <f t="shared" si="2339"/>
        <v>0</v>
      </c>
      <c r="AM213" s="152"/>
      <c r="AN213" s="152"/>
      <c r="AO213" s="152"/>
      <c r="AP213" s="152">
        <f t="shared" si="2340"/>
        <v>0</v>
      </c>
      <c r="AQ213" s="152">
        <f t="shared" si="2341"/>
        <v>0</v>
      </c>
      <c r="AR213" s="152">
        <f t="shared" si="2341"/>
        <v>0</v>
      </c>
      <c r="AS213" s="152">
        <f t="shared" si="2341"/>
        <v>0</v>
      </c>
      <c r="AT213" s="168">
        <f t="shared" si="2342"/>
        <v>0</v>
      </c>
      <c r="AU213" s="152"/>
      <c r="AV213" s="152"/>
      <c r="AW213" s="152"/>
      <c r="AX213" s="152">
        <f t="shared" si="2343"/>
        <v>0</v>
      </c>
      <c r="AY213" s="152"/>
      <c r="AZ213" s="152"/>
      <c r="BA213" s="152"/>
      <c r="BB213" s="152">
        <f t="shared" si="2344"/>
        <v>0</v>
      </c>
      <c r="BC213" s="152"/>
      <c r="BD213" s="152"/>
      <c r="BE213" s="152"/>
      <c r="BF213" s="152">
        <f t="shared" si="2345"/>
        <v>0</v>
      </c>
      <c r="BG213" s="152"/>
      <c r="BH213" s="152"/>
      <c r="BI213" s="152"/>
      <c r="BJ213" s="152">
        <f t="shared" si="2346"/>
        <v>0</v>
      </c>
      <c r="BK213" s="152">
        <f t="shared" si="2347"/>
        <v>0</v>
      </c>
      <c r="BL213" s="152">
        <f t="shared" si="2348"/>
        <v>0</v>
      </c>
      <c r="BM213" s="152">
        <f t="shared" si="2349"/>
        <v>0</v>
      </c>
      <c r="BN213" s="152">
        <f t="shared" si="2350"/>
        <v>0</v>
      </c>
      <c r="BO213" s="168"/>
      <c r="BP213" s="152">
        <f t="shared" si="2351"/>
        <v>0</v>
      </c>
      <c r="BQ213" s="152">
        <f t="shared" si="2352"/>
        <v>0</v>
      </c>
      <c r="BR213" s="152">
        <f t="shared" si="2353"/>
        <v>0</v>
      </c>
      <c r="BS213" s="168">
        <f t="shared" si="2354"/>
        <v>0</v>
      </c>
      <c r="BT213" s="152"/>
      <c r="BU213" s="152"/>
      <c r="BV213" s="152"/>
      <c r="BW213" s="152">
        <f t="shared" si="2355"/>
        <v>0</v>
      </c>
      <c r="BX213" s="152">
        <f t="shared" si="2356"/>
        <v>0</v>
      </c>
      <c r="BY213" s="152">
        <f t="shared" si="2357"/>
        <v>0</v>
      </c>
      <c r="BZ213" s="152">
        <f t="shared" si="2358"/>
        <v>0</v>
      </c>
      <c r="CA213" s="587">
        <f t="shared" si="2359"/>
        <v>0</v>
      </c>
    </row>
    <row r="214" spans="1:79" ht="14.1" customHeight="1" x14ac:dyDescent="0.2">
      <c r="A214" s="125" t="s">
        <v>564</v>
      </c>
      <c r="B214" s="78"/>
      <c r="C214" s="78"/>
      <c r="D214" s="78" t="s">
        <v>184</v>
      </c>
      <c r="E214" s="69" t="s">
        <v>565</v>
      </c>
      <c r="F214" s="69"/>
      <c r="G214" s="152"/>
      <c r="H214" s="152"/>
      <c r="I214" s="152"/>
      <c r="J214" s="152">
        <f t="shared" si="2329"/>
        <v>0</v>
      </c>
      <c r="K214" s="152"/>
      <c r="L214" s="152"/>
      <c r="M214" s="152"/>
      <c r="N214" s="152">
        <f t="shared" si="2330"/>
        <v>0</v>
      </c>
      <c r="O214" s="152"/>
      <c r="P214" s="152"/>
      <c r="Q214" s="152"/>
      <c r="R214" s="152">
        <f t="shared" si="2331"/>
        <v>0</v>
      </c>
      <c r="S214" s="152"/>
      <c r="T214" s="152"/>
      <c r="U214" s="152"/>
      <c r="V214" s="152">
        <f t="shared" si="2332"/>
        <v>0</v>
      </c>
      <c r="W214" s="152">
        <f t="shared" si="2333"/>
        <v>0</v>
      </c>
      <c r="X214" s="152">
        <f t="shared" si="2334"/>
        <v>0</v>
      </c>
      <c r="Y214" s="152">
        <f t="shared" si="2335"/>
        <v>0</v>
      </c>
      <c r="Z214" s="168">
        <f t="shared" si="2336"/>
        <v>0</v>
      </c>
      <c r="AA214" s="152"/>
      <c r="AB214" s="152"/>
      <c r="AC214" s="152"/>
      <c r="AD214" s="152">
        <f t="shared" si="2337"/>
        <v>0</v>
      </c>
      <c r="AE214" s="152"/>
      <c r="AF214" s="152"/>
      <c r="AG214" s="152"/>
      <c r="AH214" s="152">
        <f t="shared" si="2338"/>
        <v>0</v>
      </c>
      <c r="AI214" s="152"/>
      <c r="AJ214" s="152"/>
      <c r="AK214" s="152"/>
      <c r="AL214" s="152">
        <f t="shared" si="2339"/>
        <v>0</v>
      </c>
      <c r="AM214" s="152"/>
      <c r="AN214" s="152"/>
      <c r="AO214" s="152"/>
      <c r="AP214" s="152">
        <f t="shared" si="2340"/>
        <v>0</v>
      </c>
      <c r="AQ214" s="152">
        <f t="shared" si="2341"/>
        <v>0</v>
      </c>
      <c r="AR214" s="152">
        <f t="shared" si="2341"/>
        <v>0</v>
      </c>
      <c r="AS214" s="152">
        <f t="shared" si="2341"/>
        <v>0</v>
      </c>
      <c r="AT214" s="168">
        <f t="shared" si="2342"/>
        <v>0</v>
      </c>
      <c r="AU214" s="152"/>
      <c r="AV214" s="152"/>
      <c r="AW214" s="152"/>
      <c r="AX214" s="152">
        <f t="shared" si="2343"/>
        <v>0</v>
      </c>
      <c r="AY214" s="152"/>
      <c r="AZ214" s="152"/>
      <c r="BA214" s="152"/>
      <c r="BB214" s="152">
        <f t="shared" si="2344"/>
        <v>0</v>
      </c>
      <c r="BC214" s="152"/>
      <c r="BD214" s="152"/>
      <c r="BE214" s="152"/>
      <c r="BF214" s="152">
        <f t="shared" si="2345"/>
        <v>0</v>
      </c>
      <c r="BG214" s="152"/>
      <c r="BH214" s="152"/>
      <c r="BI214" s="152"/>
      <c r="BJ214" s="152">
        <f t="shared" si="2346"/>
        <v>0</v>
      </c>
      <c r="BK214" s="152">
        <f t="shared" si="2347"/>
        <v>0</v>
      </c>
      <c r="BL214" s="152">
        <f t="shared" si="2348"/>
        <v>0</v>
      </c>
      <c r="BM214" s="152">
        <f t="shared" si="2349"/>
        <v>0</v>
      </c>
      <c r="BN214" s="152">
        <f t="shared" si="2350"/>
        <v>0</v>
      </c>
      <c r="BO214" s="168"/>
      <c r="BP214" s="152">
        <f t="shared" si="2351"/>
        <v>0</v>
      </c>
      <c r="BQ214" s="152">
        <f t="shared" si="2352"/>
        <v>0</v>
      </c>
      <c r="BR214" s="152">
        <f t="shared" si="2353"/>
        <v>0</v>
      </c>
      <c r="BS214" s="168">
        <f t="shared" si="2354"/>
        <v>0</v>
      </c>
      <c r="BT214" s="152"/>
      <c r="BU214" s="152"/>
      <c r="BV214" s="152"/>
      <c r="BW214" s="152">
        <f t="shared" si="2355"/>
        <v>0</v>
      </c>
      <c r="BX214" s="152">
        <f t="shared" si="2356"/>
        <v>0</v>
      </c>
      <c r="BY214" s="152">
        <f t="shared" si="2357"/>
        <v>0</v>
      </c>
      <c r="BZ214" s="152">
        <f t="shared" si="2358"/>
        <v>0</v>
      </c>
      <c r="CA214" s="587">
        <f t="shared" si="2359"/>
        <v>0</v>
      </c>
    </row>
    <row r="215" spans="1:79" ht="14.1" customHeight="1" x14ac:dyDescent="0.2">
      <c r="A215" s="125" t="s">
        <v>159</v>
      </c>
      <c r="B215" s="78"/>
      <c r="C215" s="81" t="s">
        <v>147</v>
      </c>
      <c r="D215" s="69" t="s">
        <v>566</v>
      </c>
      <c r="E215" s="79"/>
      <c r="G215" s="152"/>
      <c r="H215" s="152"/>
      <c r="I215" s="152"/>
      <c r="J215" s="152">
        <f t="shared" si="2329"/>
        <v>0</v>
      </c>
      <c r="K215" s="152"/>
      <c r="L215" s="152"/>
      <c r="M215" s="152"/>
      <c r="N215" s="152">
        <f t="shared" si="2330"/>
        <v>0</v>
      </c>
      <c r="O215" s="152"/>
      <c r="P215" s="152"/>
      <c r="Q215" s="152"/>
      <c r="R215" s="152">
        <f t="shared" si="2331"/>
        <v>0</v>
      </c>
      <c r="S215" s="152"/>
      <c r="T215" s="152"/>
      <c r="U215" s="152"/>
      <c r="V215" s="152">
        <f t="shared" si="2332"/>
        <v>0</v>
      </c>
      <c r="W215" s="152">
        <f t="shared" si="2333"/>
        <v>0</v>
      </c>
      <c r="X215" s="152">
        <f t="shared" si="2334"/>
        <v>0</v>
      </c>
      <c r="Y215" s="152">
        <f t="shared" si="2335"/>
        <v>0</v>
      </c>
      <c r="Z215" s="168">
        <f t="shared" si="2336"/>
        <v>0</v>
      </c>
      <c r="AA215" s="152"/>
      <c r="AB215" s="152"/>
      <c r="AC215" s="152"/>
      <c r="AD215" s="152">
        <f t="shared" si="2337"/>
        <v>0</v>
      </c>
      <c r="AE215" s="152"/>
      <c r="AF215" s="152"/>
      <c r="AG215" s="152"/>
      <c r="AH215" s="152">
        <f t="shared" si="2338"/>
        <v>0</v>
      </c>
      <c r="AI215" s="152"/>
      <c r="AJ215" s="152"/>
      <c r="AK215" s="152"/>
      <c r="AL215" s="152">
        <f t="shared" si="2339"/>
        <v>0</v>
      </c>
      <c r="AM215" s="152"/>
      <c r="AN215" s="152"/>
      <c r="AO215" s="152"/>
      <c r="AP215" s="152">
        <f t="shared" si="2340"/>
        <v>0</v>
      </c>
      <c r="AQ215" s="152">
        <f t="shared" si="2341"/>
        <v>0</v>
      </c>
      <c r="AR215" s="152">
        <f t="shared" si="2341"/>
        <v>0</v>
      </c>
      <c r="AS215" s="152">
        <f t="shared" si="2341"/>
        <v>0</v>
      </c>
      <c r="AT215" s="168">
        <f t="shared" si="2342"/>
        <v>0</v>
      </c>
      <c r="AU215" s="152"/>
      <c r="AV215" s="152"/>
      <c r="AW215" s="152"/>
      <c r="AX215" s="152">
        <f t="shared" si="2343"/>
        <v>0</v>
      </c>
      <c r="AY215" s="152"/>
      <c r="AZ215" s="152"/>
      <c r="BA215" s="152"/>
      <c r="BB215" s="152">
        <f t="shared" si="2344"/>
        <v>0</v>
      </c>
      <c r="BC215" s="152"/>
      <c r="BD215" s="152"/>
      <c r="BE215" s="152"/>
      <c r="BF215" s="152">
        <f t="shared" si="2345"/>
        <v>0</v>
      </c>
      <c r="BG215" s="152"/>
      <c r="BH215" s="152"/>
      <c r="BI215" s="152"/>
      <c r="BJ215" s="152">
        <f t="shared" si="2346"/>
        <v>0</v>
      </c>
      <c r="BK215" s="152">
        <f t="shared" si="2347"/>
        <v>0</v>
      </c>
      <c r="BL215" s="152">
        <f t="shared" si="2348"/>
        <v>0</v>
      </c>
      <c r="BM215" s="152">
        <f t="shared" si="2349"/>
        <v>0</v>
      </c>
      <c r="BN215" s="152">
        <f t="shared" si="2350"/>
        <v>0</v>
      </c>
      <c r="BO215" s="168"/>
      <c r="BP215" s="152">
        <f t="shared" si="2351"/>
        <v>0</v>
      </c>
      <c r="BQ215" s="152">
        <f t="shared" si="2352"/>
        <v>0</v>
      </c>
      <c r="BR215" s="152">
        <f t="shared" si="2353"/>
        <v>0</v>
      </c>
      <c r="BS215" s="168">
        <f t="shared" si="2354"/>
        <v>0</v>
      </c>
      <c r="BT215" s="152"/>
      <c r="BU215" s="152"/>
      <c r="BV215" s="152"/>
      <c r="BW215" s="152">
        <f t="shared" si="2355"/>
        <v>0</v>
      </c>
      <c r="BX215" s="152">
        <f t="shared" si="2356"/>
        <v>0</v>
      </c>
      <c r="BY215" s="152">
        <f t="shared" si="2357"/>
        <v>0</v>
      </c>
      <c r="BZ215" s="152">
        <f t="shared" si="2358"/>
        <v>0</v>
      </c>
      <c r="CA215" s="587">
        <f t="shared" si="2359"/>
        <v>0</v>
      </c>
    </row>
    <row r="216" spans="1:79" ht="14.1" customHeight="1" x14ac:dyDescent="0.2">
      <c r="A216" s="122" t="s">
        <v>160</v>
      </c>
      <c r="B216" s="568"/>
      <c r="C216" s="81" t="s">
        <v>149</v>
      </c>
      <c r="D216" s="69" t="s">
        <v>567</v>
      </c>
      <c r="E216" s="566"/>
      <c r="G216" s="152"/>
      <c r="H216" s="152"/>
      <c r="I216" s="152"/>
      <c r="J216" s="152">
        <f t="shared" si="2329"/>
        <v>0</v>
      </c>
      <c r="K216" s="152"/>
      <c r="L216" s="152"/>
      <c r="M216" s="152"/>
      <c r="N216" s="152">
        <f t="shared" si="2330"/>
        <v>0</v>
      </c>
      <c r="O216" s="152"/>
      <c r="P216" s="152"/>
      <c r="Q216" s="152"/>
      <c r="R216" s="152">
        <f t="shared" si="2331"/>
        <v>0</v>
      </c>
      <c r="S216" s="152"/>
      <c r="T216" s="152"/>
      <c r="U216" s="152"/>
      <c r="V216" s="152">
        <f t="shared" si="2332"/>
        <v>0</v>
      </c>
      <c r="W216" s="152">
        <f t="shared" si="2333"/>
        <v>0</v>
      </c>
      <c r="X216" s="152">
        <f t="shared" si="2334"/>
        <v>0</v>
      </c>
      <c r="Y216" s="152">
        <f t="shared" si="2335"/>
        <v>0</v>
      </c>
      <c r="Z216" s="168">
        <f t="shared" si="2336"/>
        <v>0</v>
      </c>
      <c r="AA216" s="152"/>
      <c r="AB216" s="152"/>
      <c r="AC216" s="152"/>
      <c r="AD216" s="152">
        <f t="shared" si="2337"/>
        <v>0</v>
      </c>
      <c r="AE216" s="152"/>
      <c r="AF216" s="152"/>
      <c r="AG216" s="152"/>
      <c r="AH216" s="152">
        <f t="shared" si="2338"/>
        <v>0</v>
      </c>
      <c r="AI216" s="152"/>
      <c r="AJ216" s="152"/>
      <c r="AK216" s="152"/>
      <c r="AL216" s="152">
        <f t="shared" si="2339"/>
        <v>0</v>
      </c>
      <c r="AM216" s="152"/>
      <c r="AN216" s="152"/>
      <c r="AO216" s="152"/>
      <c r="AP216" s="152">
        <f t="shared" si="2340"/>
        <v>0</v>
      </c>
      <c r="AQ216" s="152">
        <f t="shared" si="2341"/>
        <v>0</v>
      </c>
      <c r="AR216" s="152">
        <f t="shared" si="2341"/>
        <v>0</v>
      </c>
      <c r="AS216" s="152">
        <f t="shared" si="2341"/>
        <v>0</v>
      </c>
      <c r="AT216" s="168">
        <f t="shared" si="2342"/>
        <v>0</v>
      </c>
      <c r="AU216" s="152"/>
      <c r="AV216" s="152"/>
      <c r="AW216" s="152"/>
      <c r="AX216" s="152">
        <f t="shared" si="2343"/>
        <v>0</v>
      </c>
      <c r="AY216" s="152"/>
      <c r="AZ216" s="152"/>
      <c r="BA216" s="152"/>
      <c r="BB216" s="152">
        <f t="shared" si="2344"/>
        <v>0</v>
      </c>
      <c r="BC216" s="152"/>
      <c r="BD216" s="152"/>
      <c r="BE216" s="152"/>
      <c r="BF216" s="152">
        <f t="shared" si="2345"/>
        <v>0</v>
      </c>
      <c r="BG216" s="152"/>
      <c r="BH216" s="152"/>
      <c r="BI216" s="152"/>
      <c r="BJ216" s="152">
        <f t="shared" si="2346"/>
        <v>0</v>
      </c>
      <c r="BK216" s="152">
        <f t="shared" si="2347"/>
        <v>0</v>
      </c>
      <c r="BL216" s="152">
        <f t="shared" si="2348"/>
        <v>0</v>
      </c>
      <c r="BM216" s="152">
        <f t="shared" si="2349"/>
        <v>0</v>
      </c>
      <c r="BN216" s="152">
        <f t="shared" si="2350"/>
        <v>0</v>
      </c>
      <c r="BO216" s="168"/>
      <c r="BP216" s="152">
        <f t="shared" si="2351"/>
        <v>0</v>
      </c>
      <c r="BQ216" s="152">
        <f t="shared" si="2352"/>
        <v>0</v>
      </c>
      <c r="BR216" s="152">
        <f t="shared" si="2353"/>
        <v>0</v>
      </c>
      <c r="BS216" s="168">
        <f t="shared" si="2354"/>
        <v>0</v>
      </c>
      <c r="BT216" s="152"/>
      <c r="BU216" s="152"/>
      <c r="BV216" s="152"/>
      <c r="BW216" s="152">
        <f t="shared" si="2355"/>
        <v>0</v>
      </c>
      <c r="BX216" s="152">
        <f t="shared" si="2356"/>
        <v>0</v>
      </c>
      <c r="BY216" s="152">
        <f t="shared" si="2357"/>
        <v>0</v>
      </c>
      <c r="BZ216" s="152">
        <f t="shared" si="2358"/>
        <v>0</v>
      </c>
      <c r="CA216" s="587">
        <f t="shared" si="2359"/>
        <v>0</v>
      </c>
    </row>
    <row r="217" spans="1:79" ht="14.1" customHeight="1" x14ac:dyDescent="0.2">
      <c r="A217" s="122" t="s">
        <v>161</v>
      </c>
      <c r="B217" s="568"/>
      <c r="C217" s="81" t="s">
        <v>150</v>
      </c>
      <c r="D217" s="69" t="s">
        <v>568</v>
      </c>
      <c r="E217" s="566"/>
      <c r="G217" s="152"/>
      <c r="H217" s="152"/>
      <c r="I217" s="152"/>
      <c r="J217" s="152">
        <f t="shared" si="2329"/>
        <v>0</v>
      </c>
      <c r="K217" s="152"/>
      <c r="L217" s="152"/>
      <c r="M217" s="152"/>
      <c r="N217" s="152">
        <f t="shared" si="2330"/>
        <v>0</v>
      </c>
      <c r="O217" s="152"/>
      <c r="P217" s="152"/>
      <c r="Q217" s="152"/>
      <c r="R217" s="152">
        <f t="shared" si="2331"/>
        <v>0</v>
      </c>
      <c r="S217" s="152"/>
      <c r="T217" s="152"/>
      <c r="U217" s="152"/>
      <c r="V217" s="152">
        <f t="shared" si="2332"/>
        <v>0</v>
      </c>
      <c r="W217" s="152">
        <f t="shared" si="2333"/>
        <v>0</v>
      </c>
      <c r="X217" s="152">
        <f t="shared" si="2334"/>
        <v>0</v>
      </c>
      <c r="Y217" s="152">
        <f t="shared" si="2335"/>
        <v>0</v>
      </c>
      <c r="Z217" s="168">
        <f t="shared" si="2336"/>
        <v>0</v>
      </c>
      <c r="AA217" s="152"/>
      <c r="AB217" s="152"/>
      <c r="AC217" s="152"/>
      <c r="AD217" s="152">
        <f t="shared" si="2337"/>
        <v>0</v>
      </c>
      <c r="AE217" s="152"/>
      <c r="AF217" s="152"/>
      <c r="AG217" s="152"/>
      <c r="AH217" s="152">
        <f t="shared" si="2338"/>
        <v>0</v>
      </c>
      <c r="AI217" s="152"/>
      <c r="AJ217" s="152"/>
      <c r="AK217" s="152"/>
      <c r="AL217" s="152">
        <f t="shared" si="2339"/>
        <v>0</v>
      </c>
      <c r="AM217" s="152"/>
      <c r="AN217" s="152"/>
      <c r="AO217" s="152"/>
      <c r="AP217" s="152">
        <f t="shared" si="2340"/>
        <v>0</v>
      </c>
      <c r="AQ217" s="152">
        <f t="shared" si="2341"/>
        <v>0</v>
      </c>
      <c r="AR217" s="152">
        <f t="shared" si="2341"/>
        <v>0</v>
      </c>
      <c r="AS217" s="152">
        <f t="shared" si="2341"/>
        <v>0</v>
      </c>
      <c r="AT217" s="168">
        <f t="shared" si="2342"/>
        <v>0</v>
      </c>
      <c r="AU217" s="152"/>
      <c r="AV217" s="152"/>
      <c r="AW217" s="152"/>
      <c r="AX217" s="152">
        <f t="shared" si="2343"/>
        <v>0</v>
      </c>
      <c r="AY217" s="152"/>
      <c r="AZ217" s="152"/>
      <c r="BA217" s="152"/>
      <c r="BB217" s="152">
        <f t="shared" si="2344"/>
        <v>0</v>
      </c>
      <c r="BC217" s="152"/>
      <c r="BD217" s="152"/>
      <c r="BE217" s="152"/>
      <c r="BF217" s="152">
        <f t="shared" si="2345"/>
        <v>0</v>
      </c>
      <c r="BG217" s="152"/>
      <c r="BH217" s="152"/>
      <c r="BI217" s="152"/>
      <c r="BJ217" s="152">
        <f t="shared" si="2346"/>
        <v>0</v>
      </c>
      <c r="BK217" s="152">
        <f t="shared" si="2347"/>
        <v>0</v>
      </c>
      <c r="BL217" s="152">
        <f t="shared" si="2348"/>
        <v>0</v>
      </c>
      <c r="BM217" s="152">
        <f t="shared" si="2349"/>
        <v>0</v>
      </c>
      <c r="BN217" s="152">
        <f t="shared" si="2350"/>
        <v>0</v>
      </c>
      <c r="BO217" s="168"/>
      <c r="BP217" s="152">
        <f t="shared" si="2351"/>
        <v>0</v>
      </c>
      <c r="BQ217" s="152">
        <f t="shared" si="2352"/>
        <v>0</v>
      </c>
      <c r="BR217" s="152">
        <f t="shared" si="2353"/>
        <v>0</v>
      </c>
      <c r="BS217" s="168">
        <f t="shared" si="2354"/>
        <v>0</v>
      </c>
      <c r="BT217" s="152"/>
      <c r="BU217" s="152">
        <v>205</v>
      </c>
      <c r="BV217" s="152"/>
      <c r="BW217" s="152">
        <f t="shared" si="2355"/>
        <v>205</v>
      </c>
      <c r="BX217" s="152">
        <f t="shared" si="2356"/>
        <v>0</v>
      </c>
      <c r="BY217" s="152">
        <f t="shared" si="2357"/>
        <v>-205</v>
      </c>
      <c r="BZ217" s="152">
        <f t="shared" si="2358"/>
        <v>0</v>
      </c>
      <c r="CA217" s="587">
        <f t="shared" si="2359"/>
        <v>-205</v>
      </c>
    </row>
    <row r="218" spans="1:79" ht="14.1" customHeight="1" x14ac:dyDescent="0.2">
      <c r="A218" s="122" t="s">
        <v>569</v>
      </c>
      <c r="B218" s="568"/>
      <c r="C218" s="81" t="s">
        <v>200</v>
      </c>
      <c r="D218" s="69" t="s">
        <v>162</v>
      </c>
      <c r="E218" s="566"/>
      <c r="G218" s="152"/>
      <c r="H218" s="152">
        <v>93075.4</v>
      </c>
      <c r="I218" s="152"/>
      <c r="J218" s="152">
        <f t="shared" si="2329"/>
        <v>93075.4</v>
      </c>
      <c r="K218" s="152"/>
      <c r="L218" s="152"/>
      <c r="M218" s="152"/>
      <c r="N218" s="152">
        <f t="shared" si="2330"/>
        <v>0</v>
      </c>
      <c r="O218" s="152"/>
      <c r="P218" s="152"/>
      <c r="Q218" s="152"/>
      <c r="R218" s="152">
        <f t="shared" si="2331"/>
        <v>0</v>
      </c>
      <c r="S218" s="152"/>
      <c r="T218" s="152"/>
      <c r="U218" s="152"/>
      <c r="V218" s="152">
        <f t="shared" si="2332"/>
        <v>0</v>
      </c>
      <c r="W218" s="152">
        <f t="shared" si="2333"/>
        <v>0</v>
      </c>
      <c r="X218" s="152">
        <f t="shared" si="2334"/>
        <v>93075.4</v>
      </c>
      <c r="Y218" s="152">
        <f t="shared" si="2335"/>
        <v>0</v>
      </c>
      <c r="Z218" s="168">
        <f t="shared" si="2336"/>
        <v>93075.4</v>
      </c>
      <c r="AA218" s="152"/>
      <c r="AB218" s="152"/>
      <c r="AC218" s="152"/>
      <c r="AD218" s="152">
        <f t="shared" si="2337"/>
        <v>0</v>
      </c>
      <c r="AE218" s="152"/>
      <c r="AF218" s="152">
        <f>9200+2320+2190+9841+6449+5000</f>
        <v>35000</v>
      </c>
      <c r="AG218" s="152"/>
      <c r="AH218" s="152">
        <f t="shared" si="2338"/>
        <v>35000</v>
      </c>
      <c r="AI218" s="152"/>
      <c r="AJ218" s="152"/>
      <c r="AK218" s="152"/>
      <c r="AL218" s="152">
        <f t="shared" si="2339"/>
        <v>0</v>
      </c>
      <c r="AM218" s="152"/>
      <c r="AN218" s="152">
        <v>58075.4</v>
      </c>
      <c r="AO218" s="152"/>
      <c r="AP218" s="152">
        <f t="shared" si="2340"/>
        <v>58075.4</v>
      </c>
      <c r="AQ218" s="152">
        <f t="shared" si="2341"/>
        <v>0</v>
      </c>
      <c r="AR218" s="152">
        <f t="shared" si="2341"/>
        <v>93075.4</v>
      </c>
      <c r="AS218" s="152">
        <f t="shared" si="2341"/>
        <v>0</v>
      </c>
      <c r="AT218" s="168">
        <f t="shared" si="2342"/>
        <v>93075.4</v>
      </c>
      <c r="AU218" s="152"/>
      <c r="AV218" s="152"/>
      <c r="AW218" s="152"/>
      <c r="AX218" s="152">
        <f t="shared" si="2343"/>
        <v>0</v>
      </c>
      <c r="AY218" s="152"/>
      <c r="AZ218" s="152">
        <f>9200+2320+2190+9841+6449+5000</f>
        <v>35000</v>
      </c>
      <c r="BA218" s="152"/>
      <c r="BB218" s="152">
        <f t="shared" si="2344"/>
        <v>35000</v>
      </c>
      <c r="BC218" s="152"/>
      <c r="BD218" s="152"/>
      <c r="BE218" s="152"/>
      <c r="BF218" s="152">
        <f t="shared" si="2345"/>
        <v>0</v>
      </c>
      <c r="BG218" s="152"/>
      <c r="BH218" s="152">
        <v>58075.4</v>
      </c>
      <c r="BI218" s="152"/>
      <c r="BJ218" s="152">
        <f t="shared" si="2346"/>
        <v>58075.4</v>
      </c>
      <c r="BK218" s="152">
        <f t="shared" si="2347"/>
        <v>0</v>
      </c>
      <c r="BL218" s="152">
        <f t="shared" si="2348"/>
        <v>93075.4</v>
      </c>
      <c r="BM218" s="152">
        <f t="shared" si="2349"/>
        <v>0</v>
      </c>
      <c r="BN218" s="152">
        <f t="shared" si="2350"/>
        <v>93075.4</v>
      </c>
      <c r="BO218" s="168"/>
      <c r="BP218" s="152">
        <f t="shared" si="2351"/>
        <v>0</v>
      </c>
      <c r="BQ218" s="152">
        <f t="shared" si="2352"/>
        <v>0</v>
      </c>
      <c r="BR218" s="152">
        <f t="shared" si="2353"/>
        <v>0</v>
      </c>
      <c r="BS218" s="168">
        <f t="shared" si="2354"/>
        <v>0</v>
      </c>
      <c r="BT218" s="152"/>
      <c r="BU218" s="152"/>
      <c r="BV218" s="152"/>
      <c r="BW218" s="152">
        <f t="shared" si="2355"/>
        <v>0</v>
      </c>
      <c r="BX218" s="152">
        <f t="shared" si="2356"/>
        <v>0</v>
      </c>
      <c r="BY218" s="152">
        <f t="shared" si="2357"/>
        <v>0</v>
      </c>
      <c r="BZ218" s="152">
        <f t="shared" si="2358"/>
        <v>0</v>
      </c>
      <c r="CA218" s="587">
        <f t="shared" si="2359"/>
        <v>0</v>
      </c>
    </row>
    <row r="219" spans="1:79" ht="14.1" customHeight="1" x14ac:dyDescent="0.2">
      <c r="A219" s="122" t="s">
        <v>570</v>
      </c>
      <c r="B219" s="568"/>
      <c r="C219" s="81" t="s">
        <v>201</v>
      </c>
      <c r="D219" s="69" t="s">
        <v>571</v>
      </c>
      <c r="E219" s="566"/>
      <c r="G219" s="152"/>
      <c r="H219" s="152"/>
      <c r="I219" s="152"/>
      <c r="J219" s="152">
        <f t="shared" si="2329"/>
        <v>0</v>
      </c>
      <c r="K219" s="152"/>
      <c r="L219" s="152"/>
      <c r="M219" s="152"/>
      <c r="N219" s="152">
        <f t="shared" si="2330"/>
        <v>0</v>
      </c>
      <c r="O219" s="152"/>
      <c r="P219" s="152"/>
      <c r="Q219" s="152"/>
      <c r="R219" s="152">
        <f t="shared" si="2331"/>
        <v>0</v>
      </c>
      <c r="S219" s="152"/>
      <c r="T219" s="152"/>
      <c r="U219" s="152"/>
      <c r="V219" s="152">
        <f t="shared" si="2332"/>
        <v>0</v>
      </c>
      <c r="W219" s="152">
        <f t="shared" si="2333"/>
        <v>0</v>
      </c>
      <c r="X219" s="152">
        <f t="shared" si="2334"/>
        <v>0</v>
      </c>
      <c r="Y219" s="152">
        <f t="shared" si="2335"/>
        <v>0</v>
      </c>
      <c r="Z219" s="168">
        <f t="shared" si="2336"/>
        <v>0</v>
      </c>
      <c r="AA219" s="152"/>
      <c r="AB219" s="152"/>
      <c r="AC219" s="152"/>
      <c r="AD219" s="152">
        <f t="shared" si="2337"/>
        <v>0</v>
      </c>
      <c r="AE219" s="152"/>
      <c r="AF219" s="152"/>
      <c r="AG219" s="152"/>
      <c r="AH219" s="152">
        <f t="shared" si="2338"/>
        <v>0</v>
      </c>
      <c r="AI219" s="152"/>
      <c r="AJ219" s="152"/>
      <c r="AK219" s="152"/>
      <c r="AL219" s="152">
        <f t="shared" si="2339"/>
        <v>0</v>
      </c>
      <c r="AM219" s="152"/>
      <c r="AN219" s="152"/>
      <c r="AO219" s="152"/>
      <c r="AP219" s="152">
        <f t="shared" si="2340"/>
        <v>0</v>
      </c>
      <c r="AQ219" s="152">
        <f t="shared" si="2341"/>
        <v>0</v>
      </c>
      <c r="AR219" s="152">
        <f t="shared" si="2341"/>
        <v>0</v>
      </c>
      <c r="AS219" s="152">
        <f t="shared" si="2341"/>
        <v>0</v>
      </c>
      <c r="AT219" s="168">
        <f t="shared" si="2342"/>
        <v>0</v>
      </c>
      <c r="AU219" s="152"/>
      <c r="AV219" s="152"/>
      <c r="AW219" s="152"/>
      <c r="AX219" s="152">
        <f t="shared" si="2343"/>
        <v>0</v>
      </c>
      <c r="AY219" s="152"/>
      <c r="AZ219" s="152"/>
      <c r="BA219" s="152"/>
      <c r="BB219" s="152">
        <f t="shared" si="2344"/>
        <v>0</v>
      </c>
      <c r="BC219" s="152"/>
      <c r="BD219" s="152"/>
      <c r="BE219" s="152"/>
      <c r="BF219" s="152">
        <f t="shared" si="2345"/>
        <v>0</v>
      </c>
      <c r="BG219" s="152"/>
      <c r="BH219" s="152"/>
      <c r="BI219" s="152"/>
      <c r="BJ219" s="152">
        <f t="shared" si="2346"/>
        <v>0</v>
      </c>
      <c r="BK219" s="152">
        <f t="shared" si="2347"/>
        <v>0</v>
      </c>
      <c r="BL219" s="152">
        <f t="shared" si="2348"/>
        <v>0</v>
      </c>
      <c r="BM219" s="152">
        <f t="shared" si="2349"/>
        <v>0</v>
      </c>
      <c r="BN219" s="152">
        <f t="shared" si="2350"/>
        <v>0</v>
      </c>
      <c r="BO219" s="168"/>
      <c r="BP219" s="152">
        <f t="shared" si="2351"/>
        <v>0</v>
      </c>
      <c r="BQ219" s="152">
        <f t="shared" si="2352"/>
        <v>0</v>
      </c>
      <c r="BR219" s="152">
        <f t="shared" si="2353"/>
        <v>0</v>
      </c>
      <c r="BS219" s="168">
        <f t="shared" si="2354"/>
        <v>0</v>
      </c>
      <c r="BT219" s="152"/>
      <c r="BU219" s="152"/>
      <c r="BV219" s="152"/>
      <c r="BW219" s="152">
        <f t="shared" si="2355"/>
        <v>0</v>
      </c>
      <c r="BX219" s="152">
        <f t="shared" si="2356"/>
        <v>0</v>
      </c>
      <c r="BY219" s="152">
        <f t="shared" si="2357"/>
        <v>0</v>
      </c>
      <c r="BZ219" s="152">
        <f t="shared" si="2358"/>
        <v>0</v>
      </c>
      <c r="CA219" s="587">
        <f t="shared" si="2359"/>
        <v>0</v>
      </c>
    </row>
    <row r="220" spans="1:79" ht="14.1" customHeight="1" x14ac:dyDescent="0.2">
      <c r="A220" s="125" t="s">
        <v>163</v>
      </c>
      <c r="B220" s="78" t="s">
        <v>131</v>
      </c>
      <c r="C220" s="568" t="s">
        <v>164</v>
      </c>
      <c r="D220" s="574"/>
      <c r="E220" s="79"/>
      <c r="G220" s="156">
        <f>SUM(G221:G225)</f>
        <v>0</v>
      </c>
      <c r="H220" s="156">
        <f t="shared" ref="H220:I220" si="2360">SUM(H221:H225)</f>
        <v>89800</v>
      </c>
      <c r="I220" s="156">
        <f t="shared" si="2360"/>
        <v>0</v>
      </c>
      <c r="J220" s="156">
        <f t="shared" ref="J220:BS220" si="2361">SUM(J221:J225)</f>
        <v>89800</v>
      </c>
      <c r="K220" s="156">
        <f>SUM(K221:K225)</f>
        <v>0</v>
      </c>
      <c r="L220" s="156">
        <f t="shared" ref="L220" si="2362">SUM(L221:L225)</f>
        <v>0</v>
      </c>
      <c r="M220" s="156">
        <f t="shared" ref="M220:N220" si="2363">SUM(M221:M225)</f>
        <v>0</v>
      </c>
      <c r="N220" s="156">
        <f t="shared" si="2363"/>
        <v>0</v>
      </c>
      <c r="O220" s="156">
        <f>SUM(O221:O225)</f>
        <v>0</v>
      </c>
      <c r="P220" s="156">
        <f t="shared" ref="P220" si="2364">SUM(P221:P225)</f>
        <v>0</v>
      </c>
      <c r="Q220" s="156">
        <f t="shared" ref="Q220:R220" si="2365">SUM(Q221:Q225)</f>
        <v>0</v>
      </c>
      <c r="R220" s="156">
        <f t="shared" si="2365"/>
        <v>0</v>
      </c>
      <c r="S220" s="156">
        <f>SUM(S221:S225)</f>
        <v>0</v>
      </c>
      <c r="T220" s="156">
        <f t="shared" ref="T220" si="2366">SUM(T221:T225)</f>
        <v>0</v>
      </c>
      <c r="U220" s="156">
        <f t="shared" ref="U220:V220" si="2367">SUM(U221:U225)</f>
        <v>0</v>
      </c>
      <c r="V220" s="156">
        <f t="shared" si="2367"/>
        <v>0</v>
      </c>
      <c r="W220" s="156">
        <f t="shared" si="2361"/>
        <v>0</v>
      </c>
      <c r="X220" s="156">
        <f t="shared" si="2361"/>
        <v>89800</v>
      </c>
      <c r="Y220" s="156">
        <f t="shared" si="2361"/>
        <v>0</v>
      </c>
      <c r="Z220" s="89">
        <f t="shared" si="2361"/>
        <v>89800</v>
      </c>
      <c r="AA220" s="156">
        <f t="shared" si="2361"/>
        <v>0</v>
      </c>
      <c r="AB220" s="156">
        <f t="shared" si="2361"/>
        <v>0</v>
      </c>
      <c r="AC220" s="156">
        <f t="shared" si="2361"/>
        <v>0</v>
      </c>
      <c r="AD220" s="156">
        <f t="shared" si="2361"/>
        <v>0</v>
      </c>
      <c r="AE220" s="156">
        <f>SUM(AE221:AE225)</f>
        <v>0</v>
      </c>
      <c r="AF220" s="156">
        <f t="shared" ref="AF220:AH220" si="2368">SUM(AF221:AF225)</f>
        <v>2984.33</v>
      </c>
      <c r="AG220" s="156">
        <f t="shared" si="2368"/>
        <v>0</v>
      </c>
      <c r="AH220" s="156">
        <f t="shared" si="2368"/>
        <v>2984.33</v>
      </c>
      <c r="AI220" s="156">
        <f>SUM(AI221:AI225)</f>
        <v>0</v>
      </c>
      <c r="AJ220" s="156">
        <f t="shared" ref="AJ220:AL220" si="2369">SUM(AJ221:AJ225)</f>
        <v>65815.67</v>
      </c>
      <c r="AK220" s="156">
        <f t="shared" si="2369"/>
        <v>0</v>
      </c>
      <c r="AL220" s="156">
        <f t="shared" si="2369"/>
        <v>65815.67</v>
      </c>
      <c r="AM220" s="156">
        <f>SUM(AM221:AM225)</f>
        <v>0</v>
      </c>
      <c r="AN220" s="156">
        <f t="shared" ref="AN220:AP220" si="2370">SUM(AN221:AN225)</f>
        <v>21000</v>
      </c>
      <c r="AO220" s="156">
        <f t="shared" si="2370"/>
        <v>0</v>
      </c>
      <c r="AP220" s="156">
        <f t="shared" si="2370"/>
        <v>21000</v>
      </c>
      <c r="AQ220" s="156">
        <f t="shared" si="2361"/>
        <v>0</v>
      </c>
      <c r="AR220" s="156">
        <f t="shared" si="2361"/>
        <v>89800</v>
      </c>
      <c r="AS220" s="156">
        <f t="shared" si="2361"/>
        <v>0</v>
      </c>
      <c r="AT220" s="89">
        <f t="shared" si="2361"/>
        <v>89800</v>
      </c>
      <c r="AU220" s="156">
        <f>SUM(AU221:AU225)</f>
        <v>0</v>
      </c>
      <c r="AV220" s="156">
        <f t="shared" ref="AV220:AX220" si="2371">SUM(AV221:AV225)</f>
        <v>0</v>
      </c>
      <c r="AW220" s="156">
        <f t="shared" si="2371"/>
        <v>0</v>
      </c>
      <c r="AX220" s="156">
        <f t="shared" si="2371"/>
        <v>0</v>
      </c>
      <c r="AY220" s="156">
        <f>SUM(AY221:AY225)</f>
        <v>0</v>
      </c>
      <c r="AZ220" s="156">
        <f t="shared" ref="AZ220" si="2372">SUM(AZ221:AZ225)</f>
        <v>2650</v>
      </c>
      <c r="BA220" s="156">
        <f t="shared" ref="BA220:BB220" si="2373">SUM(BA221:BA225)</f>
        <v>0</v>
      </c>
      <c r="BB220" s="156">
        <f t="shared" si="2373"/>
        <v>2650</v>
      </c>
      <c r="BC220" s="156">
        <f>SUM(BC221:BC225)</f>
        <v>0</v>
      </c>
      <c r="BD220" s="156">
        <f t="shared" ref="BD220" si="2374">SUM(BD221:BD225)</f>
        <v>66150</v>
      </c>
      <c r="BE220" s="156">
        <f t="shared" ref="BE220:BF220" si="2375">SUM(BE221:BE225)</f>
        <v>0</v>
      </c>
      <c r="BF220" s="156">
        <f t="shared" si="2375"/>
        <v>66150</v>
      </c>
      <c r="BG220" s="156">
        <f>SUM(BG221:BG225)</f>
        <v>0</v>
      </c>
      <c r="BH220" s="156">
        <f t="shared" ref="BH220" si="2376">SUM(BH221:BH225)</f>
        <v>21000</v>
      </c>
      <c r="BI220" s="156">
        <f t="shared" ref="BI220:BJ220" si="2377">SUM(BI221:BI225)</f>
        <v>0</v>
      </c>
      <c r="BJ220" s="156">
        <f t="shared" si="2377"/>
        <v>21000</v>
      </c>
      <c r="BK220" s="156">
        <f t="shared" si="2361"/>
        <v>0</v>
      </c>
      <c r="BL220" s="156">
        <f t="shared" si="2361"/>
        <v>89800</v>
      </c>
      <c r="BM220" s="156">
        <f t="shared" si="2361"/>
        <v>0</v>
      </c>
      <c r="BN220" s="156">
        <f t="shared" si="2361"/>
        <v>89800</v>
      </c>
      <c r="BO220" s="172">
        <f t="shared" si="2361"/>
        <v>0</v>
      </c>
      <c r="BP220" s="156">
        <f t="shared" si="2361"/>
        <v>0</v>
      </c>
      <c r="BQ220" s="156">
        <f t="shared" si="2361"/>
        <v>0</v>
      </c>
      <c r="BR220" s="156">
        <f t="shared" si="2361"/>
        <v>0</v>
      </c>
      <c r="BS220" s="89">
        <f t="shared" si="2361"/>
        <v>0</v>
      </c>
      <c r="BT220" s="156">
        <f>SUM(BT221:BT225)</f>
        <v>0</v>
      </c>
      <c r="BU220" s="156">
        <f t="shared" ref="BU220" si="2378">SUM(BU221:BU225)</f>
        <v>0</v>
      </c>
      <c r="BV220" s="156">
        <f t="shared" ref="BV220:BW220" si="2379">SUM(BV221:BV225)</f>
        <v>0</v>
      </c>
      <c r="BW220" s="156">
        <f t="shared" si="2379"/>
        <v>0</v>
      </c>
      <c r="BX220" s="156">
        <f t="shared" ref="BX220:CA220" si="2380">SUM(BX221:BX225)</f>
        <v>0</v>
      </c>
      <c r="BY220" s="156">
        <f t="shared" si="2380"/>
        <v>0</v>
      </c>
      <c r="BZ220" s="156">
        <f t="shared" si="2380"/>
        <v>0</v>
      </c>
      <c r="CA220" s="130">
        <f t="shared" si="2380"/>
        <v>0</v>
      </c>
    </row>
    <row r="221" spans="1:79" ht="14.1" customHeight="1" x14ac:dyDescent="0.2">
      <c r="A221" s="122" t="s">
        <v>572</v>
      </c>
      <c r="B221" s="78"/>
      <c r="C221" s="81" t="s">
        <v>146</v>
      </c>
      <c r="D221" s="69" t="s">
        <v>573</v>
      </c>
      <c r="E221" s="79"/>
      <c r="G221" s="152"/>
      <c r="H221" s="152">
        <v>89800</v>
      </c>
      <c r="I221" s="152"/>
      <c r="J221" s="152">
        <f t="shared" ref="J221:J225" si="2381">SUM(G221:I221)</f>
        <v>89800</v>
      </c>
      <c r="K221" s="152"/>
      <c r="L221" s="152"/>
      <c r="M221" s="152"/>
      <c r="N221" s="152">
        <f t="shared" ref="N221:N225" si="2382">SUM(K221:M221)</f>
        <v>0</v>
      </c>
      <c r="O221" s="152"/>
      <c r="P221" s="152"/>
      <c r="Q221" s="152"/>
      <c r="R221" s="152">
        <f t="shared" ref="R221:R225" si="2383">SUM(O221:Q221)</f>
        <v>0</v>
      </c>
      <c r="S221" s="152"/>
      <c r="T221" s="152"/>
      <c r="U221" s="152"/>
      <c r="V221" s="152">
        <f t="shared" ref="V221:V225" si="2384">SUM(S221:U221)</f>
        <v>0</v>
      </c>
      <c r="W221" s="152">
        <f>G221-O221+S221+K221</f>
        <v>0</v>
      </c>
      <c r="X221" s="152">
        <f t="shared" ref="X221:X225" si="2385">H221-P221+T221+L221</f>
        <v>89800</v>
      </c>
      <c r="Y221" s="152">
        <f t="shared" ref="Y221:Y225" si="2386">I221-Q221+U221+M221</f>
        <v>0</v>
      </c>
      <c r="Z221" s="168">
        <f>SUM(W221:Y221)</f>
        <v>89800</v>
      </c>
      <c r="AA221" s="152"/>
      <c r="AB221" s="152"/>
      <c r="AC221" s="152"/>
      <c r="AD221" s="152">
        <f t="shared" ref="AD221:AD225" si="2387">SUM(AA221:AC221)</f>
        <v>0</v>
      </c>
      <c r="AE221" s="152"/>
      <c r="AF221" s="152">
        <f>334.33+2650</f>
        <v>2984.33</v>
      </c>
      <c r="AG221" s="152"/>
      <c r="AH221" s="152">
        <f t="shared" ref="AH221:AH225" si="2388">SUM(AE221:AG221)</f>
        <v>2984.33</v>
      </c>
      <c r="AI221" s="152"/>
      <c r="AJ221" s="152">
        <v>65815.67</v>
      </c>
      <c r="AK221" s="152"/>
      <c r="AL221" s="152">
        <f t="shared" si="2339"/>
        <v>65815.67</v>
      </c>
      <c r="AM221" s="152"/>
      <c r="AN221" s="152">
        <f>20000+1000</f>
        <v>21000</v>
      </c>
      <c r="AO221" s="152"/>
      <c r="AP221" s="152">
        <f t="shared" ref="AP221:AP225" si="2389">SUM(AM221:AO221)</f>
        <v>21000</v>
      </c>
      <c r="AQ221" s="152">
        <f t="shared" ref="AQ221:AS225" si="2390">AA221+AE221+AI221+AM221</f>
        <v>0</v>
      </c>
      <c r="AR221" s="152">
        <f t="shared" si="2390"/>
        <v>89800</v>
      </c>
      <c r="AS221" s="152">
        <f t="shared" si="2390"/>
        <v>0</v>
      </c>
      <c r="AT221" s="168">
        <f>SUM(AQ221:AS221)</f>
        <v>89800</v>
      </c>
      <c r="AU221" s="152"/>
      <c r="AV221" s="152"/>
      <c r="AW221" s="152"/>
      <c r="AX221" s="152">
        <f t="shared" ref="AX221:AX225" si="2391">SUM(AU221:AW221)</f>
        <v>0</v>
      </c>
      <c r="AY221" s="152"/>
      <c r="AZ221" s="152">
        <v>2650</v>
      </c>
      <c r="BA221" s="152"/>
      <c r="BB221" s="152">
        <f t="shared" ref="BB221:BB225" si="2392">SUM(AY221:BA221)</f>
        <v>2650</v>
      </c>
      <c r="BC221" s="152"/>
      <c r="BD221" s="152">
        <v>66150</v>
      </c>
      <c r="BE221" s="152"/>
      <c r="BF221" s="152">
        <f t="shared" ref="BF221:BF225" si="2393">SUM(BC221:BE221)</f>
        <v>66150</v>
      </c>
      <c r="BG221" s="152"/>
      <c r="BH221" s="152">
        <f>20000+1000</f>
        <v>21000</v>
      </c>
      <c r="BI221" s="152"/>
      <c r="BJ221" s="152">
        <f t="shared" ref="BJ221:BJ225" si="2394">SUM(BG221:BI221)</f>
        <v>21000</v>
      </c>
      <c r="BK221" s="152">
        <f t="shared" ref="BK221:BK225" si="2395">AU221+AY221+BC221+BG221</f>
        <v>0</v>
      </c>
      <c r="BL221" s="152">
        <f t="shared" ref="BL221:BL225" si="2396">AV221+AZ221+BD221+BH221</f>
        <v>89800</v>
      </c>
      <c r="BM221" s="152">
        <f t="shared" ref="BM221:BM225" si="2397">AW221+BA221+BE221+BI221</f>
        <v>0</v>
      </c>
      <c r="BN221" s="152">
        <f>SUM(BK221:BM221)</f>
        <v>89800</v>
      </c>
      <c r="BO221" s="168"/>
      <c r="BP221" s="152">
        <f t="shared" ref="BP221:BP225" si="2398">W221-AQ221</f>
        <v>0</v>
      </c>
      <c r="BQ221" s="152">
        <f t="shared" ref="BQ221:BQ225" si="2399">X221-AR221</f>
        <v>0</v>
      </c>
      <c r="BR221" s="152">
        <f t="shared" ref="BR221:BR225" si="2400">Y221-AS221</f>
        <v>0</v>
      </c>
      <c r="BS221" s="168">
        <f>SUM(BP221:BR221)</f>
        <v>0</v>
      </c>
      <c r="BT221" s="152"/>
      <c r="BU221" s="152"/>
      <c r="BV221" s="152"/>
      <c r="BW221" s="152">
        <f t="shared" ref="BW221:BW225" si="2401">SUM(BT221:BV221)</f>
        <v>0</v>
      </c>
      <c r="BX221" s="152">
        <f t="shared" ref="BX221:BX225" si="2402">AQ221-BK221-BT221</f>
        <v>0</v>
      </c>
      <c r="BY221" s="152">
        <f t="shared" ref="BY221:BY225" si="2403">AR221-BL221-BU221</f>
        <v>0</v>
      </c>
      <c r="BZ221" s="152">
        <f t="shared" ref="BZ221:BZ225" si="2404">AS221-BM221-BV221</f>
        <v>0</v>
      </c>
      <c r="CA221" s="587">
        <f t="shared" ref="CA221:CA225" si="2405">SUM(BX221:BZ221)</f>
        <v>0</v>
      </c>
    </row>
    <row r="222" spans="1:79" ht="14.1" customHeight="1" x14ac:dyDescent="0.2">
      <c r="A222" s="122" t="s">
        <v>574</v>
      </c>
      <c r="B222" s="78" t="s">
        <v>13</v>
      </c>
      <c r="C222" s="81" t="s">
        <v>147</v>
      </c>
      <c r="D222" s="79" t="s">
        <v>165</v>
      </c>
      <c r="G222" s="152"/>
      <c r="H222" s="152"/>
      <c r="I222" s="152"/>
      <c r="J222" s="152">
        <f t="shared" si="2381"/>
        <v>0</v>
      </c>
      <c r="K222" s="152"/>
      <c r="L222" s="152"/>
      <c r="M222" s="152"/>
      <c r="N222" s="152">
        <f t="shared" si="2382"/>
        <v>0</v>
      </c>
      <c r="O222" s="152"/>
      <c r="P222" s="152"/>
      <c r="Q222" s="152"/>
      <c r="R222" s="152">
        <f t="shared" si="2383"/>
        <v>0</v>
      </c>
      <c r="S222" s="152"/>
      <c r="T222" s="152"/>
      <c r="U222" s="152"/>
      <c r="V222" s="152">
        <f t="shared" si="2384"/>
        <v>0</v>
      </c>
      <c r="W222" s="152">
        <f>G222-O222+S222+K222</f>
        <v>0</v>
      </c>
      <c r="X222" s="152">
        <f t="shared" si="2385"/>
        <v>0</v>
      </c>
      <c r="Y222" s="152">
        <f t="shared" si="2386"/>
        <v>0</v>
      </c>
      <c r="Z222" s="168">
        <f>SUM(W222:Y222)</f>
        <v>0</v>
      </c>
      <c r="AA222" s="152"/>
      <c r="AB222" s="152"/>
      <c r="AC222" s="152"/>
      <c r="AD222" s="152">
        <f t="shared" si="2387"/>
        <v>0</v>
      </c>
      <c r="AE222" s="152"/>
      <c r="AF222" s="152"/>
      <c r="AG222" s="152"/>
      <c r="AH222" s="152">
        <f t="shared" si="2388"/>
        <v>0</v>
      </c>
      <c r="AI222" s="152"/>
      <c r="AJ222" s="152"/>
      <c r="AK222" s="152"/>
      <c r="AL222" s="152">
        <f t="shared" ref="AL222:AL225" si="2406">SUM(AI222:AK222)</f>
        <v>0</v>
      </c>
      <c r="AM222" s="152"/>
      <c r="AN222" s="152"/>
      <c r="AO222" s="152"/>
      <c r="AP222" s="152">
        <f t="shared" si="2389"/>
        <v>0</v>
      </c>
      <c r="AQ222" s="152">
        <f t="shared" si="2390"/>
        <v>0</v>
      </c>
      <c r="AR222" s="152">
        <f t="shared" si="2390"/>
        <v>0</v>
      </c>
      <c r="AS222" s="152">
        <f t="shared" si="2390"/>
        <v>0</v>
      </c>
      <c r="AT222" s="168">
        <f>SUM(AQ222:AS222)</f>
        <v>0</v>
      </c>
      <c r="AU222" s="152"/>
      <c r="AV222" s="152"/>
      <c r="AW222" s="152"/>
      <c r="AX222" s="152">
        <f t="shared" si="2391"/>
        <v>0</v>
      </c>
      <c r="AY222" s="152"/>
      <c r="AZ222" s="152"/>
      <c r="BA222" s="152"/>
      <c r="BB222" s="152">
        <f t="shared" si="2392"/>
        <v>0</v>
      </c>
      <c r="BC222" s="152"/>
      <c r="BD222" s="152"/>
      <c r="BE222" s="152"/>
      <c r="BF222" s="152">
        <f t="shared" si="2393"/>
        <v>0</v>
      </c>
      <c r="BG222" s="152"/>
      <c r="BH222" s="152"/>
      <c r="BI222" s="152"/>
      <c r="BJ222" s="152">
        <f t="shared" si="2394"/>
        <v>0</v>
      </c>
      <c r="BK222" s="152">
        <f t="shared" si="2395"/>
        <v>0</v>
      </c>
      <c r="BL222" s="152">
        <f t="shared" si="2396"/>
        <v>0</v>
      </c>
      <c r="BM222" s="152">
        <f t="shared" si="2397"/>
        <v>0</v>
      </c>
      <c r="BN222" s="152">
        <f>SUM(BK222:BM222)</f>
        <v>0</v>
      </c>
      <c r="BO222" s="168"/>
      <c r="BP222" s="152">
        <f t="shared" si="2398"/>
        <v>0</v>
      </c>
      <c r="BQ222" s="152">
        <f t="shared" si="2399"/>
        <v>0</v>
      </c>
      <c r="BR222" s="152">
        <f t="shared" si="2400"/>
        <v>0</v>
      </c>
      <c r="BS222" s="168">
        <f>SUM(BP222:BR222)</f>
        <v>0</v>
      </c>
      <c r="BT222" s="152"/>
      <c r="BU222" s="152"/>
      <c r="BV222" s="152"/>
      <c r="BW222" s="152">
        <f t="shared" si="2401"/>
        <v>0</v>
      </c>
      <c r="BX222" s="152">
        <f t="shared" si="2402"/>
        <v>0</v>
      </c>
      <c r="BY222" s="152">
        <f t="shared" si="2403"/>
        <v>0</v>
      </c>
      <c r="BZ222" s="152">
        <f t="shared" si="2404"/>
        <v>0</v>
      </c>
      <c r="CA222" s="587">
        <f t="shared" si="2405"/>
        <v>0</v>
      </c>
    </row>
    <row r="223" spans="1:79" ht="14.1" customHeight="1" x14ac:dyDescent="0.2">
      <c r="A223" s="122" t="s">
        <v>575</v>
      </c>
      <c r="B223" s="78" t="s">
        <v>13</v>
      </c>
      <c r="C223" s="81" t="s">
        <v>149</v>
      </c>
      <c r="D223" s="79" t="s">
        <v>166</v>
      </c>
      <c r="G223" s="152"/>
      <c r="H223" s="152"/>
      <c r="I223" s="152"/>
      <c r="J223" s="152">
        <f t="shared" si="2381"/>
        <v>0</v>
      </c>
      <c r="K223" s="152"/>
      <c r="L223" s="152"/>
      <c r="M223" s="152"/>
      <c r="N223" s="152">
        <f t="shared" si="2382"/>
        <v>0</v>
      </c>
      <c r="O223" s="152"/>
      <c r="P223" s="152"/>
      <c r="Q223" s="152"/>
      <c r="R223" s="152">
        <f t="shared" si="2383"/>
        <v>0</v>
      </c>
      <c r="S223" s="152"/>
      <c r="T223" s="152"/>
      <c r="U223" s="152"/>
      <c r="V223" s="152">
        <f t="shared" si="2384"/>
        <v>0</v>
      </c>
      <c r="W223" s="152">
        <f>G223-O223+S223+K223</f>
        <v>0</v>
      </c>
      <c r="X223" s="152">
        <f t="shared" si="2385"/>
        <v>0</v>
      </c>
      <c r="Y223" s="152">
        <f t="shared" si="2386"/>
        <v>0</v>
      </c>
      <c r="Z223" s="168">
        <f>SUM(W223:Y223)</f>
        <v>0</v>
      </c>
      <c r="AA223" s="152"/>
      <c r="AB223" s="152"/>
      <c r="AC223" s="152"/>
      <c r="AD223" s="152">
        <f t="shared" si="2387"/>
        <v>0</v>
      </c>
      <c r="AE223" s="152"/>
      <c r="AF223" s="152"/>
      <c r="AG223" s="152"/>
      <c r="AH223" s="152">
        <f t="shared" si="2388"/>
        <v>0</v>
      </c>
      <c r="AI223" s="152"/>
      <c r="AJ223" s="152"/>
      <c r="AK223" s="152"/>
      <c r="AL223" s="152">
        <f t="shared" si="2406"/>
        <v>0</v>
      </c>
      <c r="AM223" s="152"/>
      <c r="AN223" s="152"/>
      <c r="AO223" s="152"/>
      <c r="AP223" s="152">
        <f t="shared" si="2389"/>
        <v>0</v>
      </c>
      <c r="AQ223" s="152">
        <f t="shared" si="2390"/>
        <v>0</v>
      </c>
      <c r="AR223" s="152">
        <f t="shared" si="2390"/>
        <v>0</v>
      </c>
      <c r="AS223" s="152">
        <f t="shared" si="2390"/>
        <v>0</v>
      </c>
      <c r="AT223" s="168">
        <f>SUM(AQ223:AS223)</f>
        <v>0</v>
      </c>
      <c r="AU223" s="152"/>
      <c r="AV223" s="152"/>
      <c r="AW223" s="152"/>
      <c r="AX223" s="152">
        <f t="shared" si="2391"/>
        <v>0</v>
      </c>
      <c r="AY223" s="152"/>
      <c r="AZ223" s="152"/>
      <c r="BA223" s="152"/>
      <c r="BB223" s="152">
        <f t="shared" si="2392"/>
        <v>0</v>
      </c>
      <c r="BC223" s="152"/>
      <c r="BD223" s="152"/>
      <c r="BE223" s="152"/>
      <c r="BF223" s="152">
        <f t="shared" si="2393"/>
        <v>0</v>
      </c>
      <c r="BG223" s="152"/>
      <c r="BH223" s="152"/>
      <c r="BI223" s="152"/>
      <c r="BJ223" s="152">
        <f t="shared" si="2394"/>
        <v>0</v>
      </c>
      <c r="BK223" s="152">
        <f t="shared" si="2395"/>
        <v>0</v>
      </c>
      <c r="BL223" s="152">
        <f t="shared" si="2396"/>
        <v>0</v>
      </c>
      <c r="BM223" s="152">
        <f t="shared" si="2397"/>
        <v>0</v>
      </c>
      <c r="BN223" s="152">
        <f>SUM(BK223:BM223)</f>
        <v>0</v>
      </c>
      <c r="BO223" s="168"/>
      <c r="BP223" s="152">
        <f t="shared" si="2398"/>
        <v>0</v>
      </c>
      <c r="BQ223" s="152">
        <f t="shared" si="2399"/>
        <v>0</v>
      </c>
      <c r="BR223" s="152">
        <f t="shared" si="2400"/>
        <v>0</v>
      </c>
      <c r="BS223" s="168">
        <f>SUM(BP223:BR223)</f>
        <v>0</v>
      </c>
      <c r="BT223" s="152"/>
      <c r="BU223" s="152"/>
      <c r="BV223" s="152"/>
      <c r="BW223" s="152">
        <f t="shared" si="2401"/>
        <v>0</v>
      </c>
      <c r="BX223" s="152">
        <f t="shared" si="2402"/>
        <v>0</v>
      </c>
      <c r="BY223" s="152">
        <f t="shared" si="2403"/>
        <v>0</v>
      </c>
      <c r="BZ223" s="152">
        <f t="shared" si="2404"/>
        <v>0</v>
      </c>
      <c r="CA223" s="587">
        <f t="shared" si="2405"/>
        <v>0</v>
      </c>
    </row>
    <row r="224" spans="1:79" ht="14.1" customHeight="1" x14ac:dyDescent="0.2">
      <c r="A224" s="122" t="s">
        <v>576</v>
      </c>
      <c r="B224" s="568"/>
      <c r="C224" s="81" t="s">
        <v>150</v>
      </c>
      <c r="D224" s="901" t="s">
        <v>568</v>
      </c>
      <c r="E224" s="902"/>
      <c r="G224" s="152"/>
      <c r="H224" s="152"/>
      <c r="I224" s="152"/>
      <c r="J224" s="152">
        <f t="shared" si="2381"/>
        <v>0</v>
      </c>
      <c r="K224" s="152"/>
      <c r="L224" s="152"/>
      <c r="M224" s="152"/>
      <c r="N224" s="152">
        <f t="shared" si="2382"/>
        <v>0</v>
      </c>
      <c r="O224" s="152"/>
      <c r="P224" s="152"/>
      <c r="Q224" s="152"/>
      <c r="R224" s="152">
        <f t="shared" si="2383"/>
        <v>0</v>
      </c>
      <c r="S224" s="152"/>
      <c r="T224" s="152"/>
      <c r="U224" s="152"/>
      <c r="V224" s="152">
        <f t="shared" si="2384"/>
        <v>0</v>
      </c>
      <c r="W224" s="152">
        <f>G224-O224+S224+K224</f>
        <v>0</v>
      </c>
      <c r="X224" s="152">
        <f t="shared" si="2385"/>
        <v>0</v>
      </c>
      <c r="Y224" s="152">
        <f t="shared" si="2386"/>
        <v>0</v>
      </c>
      <c r="Z224" s="168">
        <f>SUM(W224:Y224)</f>
        <v>0</v>
      </c>
      <c r="AA224" s="152"/>
      <c r="AB224" s="152"/>
      <c r="AC224" s="152"/>
      <c r="AD224" s="152">
        <f t="shared" si="2387"/>
        <v>0</v>
      </c>
      <c r="AE224" s="152"/>
      <c r="AF224" s="152"/>
      <c r="AG224" s="152"/>
      <c r="AH224" s="152">
        <f t="shared" si="2388"/>
        <v>0</v>
      </c>
      <c r="AI224" s="152"/>
      <c r="AJ224" s="152"/>
      <c r="AK224" s="152"/>
      <c r="AL224" s="152">
        <f t="shared" si="2406"/>
        <v>0</v>
      </c>
      <c r="AM224" s="152"/>
      <c r="AN224" s="152"/>
      <c r="AO224" s="152"/>
      <c r="AP224" s="152">
        <f t="shared" si="2389"/>
        <v>0</v>
      </c>
      <c r="AQ224" s="152">
        <f t="shared" si="2390"/>
        <v>0</v>
      </c>
      <c r="AR224" s="152">
        <f t="shared" si="2390"/>
        <v>0</v>
      </c>
      <c r="AS224" s="152">
        <f t="shared" si="2390"/>
        <v>0</v>
      </c>
      <c r="AT224" s="168">
        <f>SUM(AQ224:AS224)</f>
        <v>0</v>
      </c>
      <c r="AU224" s="152"/>
      <c r="AV224" s="152"/>
      <c r="AW224" s="152"/>
      <c r="AX224" s="152">
        <f t="shared" si="2391"/>
        <v>0</v>
      </c>
      <c r="AY224" s="152"/>
      <c r="AZ224" s="152"/>
      <c r="BA224" s="152"/>
      <c r="BB224" s="152">
        <f t="shared" si="2392"/>
        <v>0</v>
      </c>
      <c r="BC224" s="152"/>
      <c r="BD224" s="152"/>
      <c r="BE224" s="152"/>
      <c r="BF224" s="152">
        <f t="shared" si="2393"/>
        <v>0</v>
      </c>
      <c r="BG224" s="152"/>
      <c r="BH224" s="152"/>
      <c r="BI224" s="152"/>
      <c r="BJ224" s="152">
        <f t="shared" si="2394"/>
        <v>0</v>
      </c>
      <c r="BK224" s="152">
        <f t="shared" si="2395"/>
        <v>0</v>
      </c>
      <c r="BL224" s="152">
        <f t="shared" si="2396"/>
        <v>0</v>
      </c>
      <c r="BM224" s="152">
        <f t="shared" si="2397"/>
        <v>0</v>
      </c>
      <c r="BN224" s="152">
        <f>SUM(BK224:BM224)</f>
        <v>0</v>
      </c>
      <c r="BO224" s="168"/>
      <c r="BP224" s="152">
        <f t="shared" si="2398"/>
        <v>0</v>
      </c>
      <c r="BQ224" s="152">
        <f t="shared" si="2399"/>
        <v>0</v>
      </c>
      <c r="BR224" s="152">
        <f t="shared" si="2400"/>
        <v>0</v>
      </c>
      <c r="BS224" s="168">
        <f>SUM(BP224:BR224)</f>
        <v>0</v>
      </c>
      <c r="BT224" s="152"/>
      <c r="BU224" s="152"/>
      <c r="BV224" s="152"/>
      <c r="BW224" s="152">
        <f t="shared" si="2401"/>
        <v>0</v>
      </c>
      <c r="BX224" s="152">
        <f t="shared" si="2402"/>
        <v>0</v>
      </c>
      <c r="BY224" s="152">
        <f t="shared" si="2403"/>
        <v>0</v>
      </c>
      <c r="BZ224" s="152">
        <f t="shared" si="2404"/>
        <v>0</v>
      </c>
      <c r="CA224" s="587">
        <f t="shared" si="2405"/>
        <v>0</v>
      </c>
    </row>
    <row r="225" spans="1:79" ht="14.1" customHeight="1" x14ac:dyDescent="0.2">
      <c r="A225" s="122" t="s">
        <v>577</v>
      </c>
      <c r="B225" s="568"/>
      <c r="C225" s="81">
        <v>5</v>
      </c>
      <c r="D225" s="901" t="s">
        <v>167</v>
      </c>
      <c r="E225" s="902"/>
      <c r="G225" s="152"/>
      <c r="H225" s="152"/>
      <c r="I225" s="152"/>
      <c r="J225" s="152">
        <f t="shared" si="2381"/>
        <v>0</v>
      </c>
      <c r="K225" s="152"/>
      <c r="L225" s="152"/>
      <c r="M225" s="152"/>
      <c r="N225" s="152">
        <f t="shared" si="2382"/>
        <v>0</v>
      </c>
      <c r="O225" s="152"/>
      <c r="P225" s="152"/>
      <c r="Q225" s="152"/>
      <c r="R225" s="152">
        <f t="shared" si="2383"/>
        <v>0</v>
      </c>
      <c r="S225" s="152"/>
      <c r="T225" s="152"/>
      <c r="U225" s="152"/>
      <c r="V225" s="152">
        <f t="shared" si="2384"/>
        <v>0</v>
      </c>
      <c r="W225" s="152">
        <f>G225-O225+S225+K225</f>
        <v>0</v>
      </c>
      <c r="X225" s="152">
        <f t="shared" si="2385"/>
        <v>0</v>
      </c>
      <c r="Y225" s="152">
        <f t="shared" si="2386"/>
        <v>0</v>
      </c>
      <c r="Z225" s="168">
        <f>SUM(W225:Y225)</f>
        <v>0</v>
      </c>
      <c r="AA225" s="152"/>
      <c r="AB225" s="152"/>
      <c r="AC225" s="152"/>
      <c r="AD225" s="152">
        <f t="shared" si="2387"/>
        <v>0</v>
      </c>
      <c r="AE225" s="152"/>
      <c r="AF225" s="152"/>
      <c r="AG225" s="152"/>
      <c r="AH225" s="152">
        <f t="shared" si="2388"/>
        <v>0</v>
      </c>
      <c r="AI225" s="152"/>
      <c r="AJ225" s="152"/>
      <c r="AK225" s="152"/>
      <c r="AL225" s="152">
        <f t="shared" si="2406"/>
        <v>0</v>
      </c>
      <c r="AM225" s="152"/>
      <c r="AN225" s="152"/>
      <c r="AO225" s="152"/>
      <c r="AP225" s="152">
        <f t="shared" si="2389"/>
        <v>0</v>
      </c>
      <c r="AQ225" s="152">
        <f t="shared" si="2390"/>
        <v>0</v>
      </c>
      <c r="AR225" s="152">
        <f t="shared" si="2390"/>
        <v>0</v>
      </c>
      <c r="AS225" s="152">
        <f t="shared" si="2390"/>
        <v>0</v>
      </c>
      <c r="AT225" s="168">
        <f>SUM(AQ225:AS225)</f>
        <v>0</v>
      </c>
      <c r="AU225" s="152"/>
      <c r="AV225" s="152"/>
      <c r="AW225" s="152"/>
      <c r="AX225" s="152">
        <f t="shared" si="2391"/>
        <v>0</v>
      </c>
      <c r="AY225" s="152"/>
      <c r="AZ225" s="152"/>
      <c r="BA225" s="152"/>
      <c r="BB225" s="152">
        <f t="shared" si="2392"/>
        <v>0</v>
      </c>
      <c r="BC225" s="152"/>
      <c r="BD225" s="152"/>
      <c r="BE225" s="152"/>
      <c r="BF225" s="152">
        <f t="shared" si="2393"/>
        <v>0</v>
      </c>
      <c r="BG225" s="152"/>
      <c r="BH225" s="152"/>
      <c r="BI225" s="152"/>
      <c r="BJ225" s="152">
        <f t="shared" si="2394"/>
        <v>0</v>
      </c>
      <c r="BK225" s="152">
        <f t="shared" si="2395"/>
        <v>0</v>
      </c>
      <c r="BL225" s="152">
        <f t="shared" si="2396"/>
        <v>0</v>
      </c>
      <c r="BM225" s="152">
        <f t="shared" si="2397"/>
        <v>0</v>
      </c>
      <c r="BN225" s="152">
        <f>SUM(BK225:BM225)</f>
        <v>0</v>
      </c>
      <c r="BO225" s="168"/>
      <c r="BP225" s="152">
        <f t="shared" si="2398"/>
        <v>0</v>
      </c>
      <c r="BQ225" s="152">
        <f t="shared" si="2399"/>
        <v>0</v>
      </c>
      <c r="BR225" s="152">
        <f t="shared" si="2400"/>
        <v>0</v>
      </c>
      <c r="BS225" s="168">
        <f>SUM(BP225:BR225)</f>
        <v>0</v>
      </c>
      <c r="BT225" s="152"/>
      <c r="BU225" s="152"/>
      <c r="BV225" s="152"/>
      <c r="BW225" s="152">
        <f t="shared" si="2401"/>
        <v>0</v>
      </c>
      <c r="BX225" s="152">
        <f t="shared" si="2402"/>
        <v>0</v>
      </c>
      <c r="BY225" s="152">
        <f t="shared" si="2403"/>
        <v>0</v>
      </c>
      <c r="BZ225" s="152">
        <f t="shared" si="2404"/>
        <v>0</v>
      </c>
      <c r="CA225" s="587">
        <f t="shared" si="2405"/>
        <v>0</v>
      </c>
    </row>
    <row r="226" spans="1:79" ht="14.1" customHeight="1" x14ac:dyDescent="0.2">
      <c r="A226" s="559" t="s">
        <v>168</v>
      </c>
      <c r="B226" s="523" t="s">
        <v>169</v>
      </c>
      <c r="C226" s="523"/>
      <c r="D226" s="523"/>
      <c r="E226" s="528"/>
      <c r="F226" s="525"/>
      <c r="G226" s="530">
        <f>G227+G229+G233+G237</f>
        <v>0</v>
      </c>
      <c r="H226" s="530">
        <f t="shared" ref="H226:I226" si="2407">H227+H229+H233+H237</f>
        <v>15663.32</v>
      </c>
      <c r="I226" s="530">
        <f t="shared" si="2407"/>
        <v>0</v>
      </c>
      <c r="J226" s="530">
        <f t="shared" ref="J226:BS226" si="2408">J227+J229+J233+J237</f>
        <v>15663.32</v>
      </c>
      <c r="K226" s="530">
        <f>K227+K229+K233+K237</f>
        <v>0</v>
      </c>
      <c r="L226" s="530">
        <f t="shared" ref="L226" si="2409">L227+L229+L233+L237</f>
        <v>0</v>
      </c>
      <c r="M226" s="530">
        <f t="shared" ref="M226:N226" si="2410">M227+M229+M233+M237</f>
        <v>0</v>
      </c>
      <c r="N226" s="530">
        <f t="shared" si="2410"/>
        <v>0</v>
      </c>
      <c r="O226" s="530">
        <f>O227+O229+O233+O237</f>
        <v>0</v>
      </c>
      <c r="P226" s="530">
        <f t="shared" ref="P226" si="2411">P227+P229+P233+P237</f>
        <v>0</v>
      </c>
      <c r="Q226" s="530">
        <f t="shared" ref="Q226:R226" si="2412">Q227+Q229+Q233+Q237</f>
        <v>0</v>
      </c>
      <c r="R226" s="530">
        <f t="shared" si="2412"/>
        <v>0</v>
      </c>
      <c r="S226" s="530">
        <f>S227+S229+S233+S237</f>
        <v>0</v>
      </c>
      <c r="T226" s="530">
        <f t="shared" ref="T226" si="2413">T227+T229+T233+T237</f>
        <v>0</v>
      </c>
      <c r="U226" s="530">
        <f t="shared" ref="U226:V226" si="2414">U227+U229+U233+U237</f>
        <v>0</v>
      </c>
      <c r="V226" s="530">
        <f t="shared" si="2414"/>
        <v>0</v>
      </c>
      <c r="W226" s="530">
        <f t="shared" si="2408"/>
        <v>0</v>
      </c>
      <c r="X226" s="530">
        <f t="shared" si="2408"/>
        <v>15663.32</v>
      </c>
      <c r="Y226" s="530">
        <f t="shared" si="2408"/>
        <v>0</v>
      </c>
      <c r="Z226" s="531">
        <f t="shared" si="2408"/>
        <v>15663.32</v>
      </c>
      <c r="AA226" s="530">
        <f t="shared" si="2408"/>
        <v>0</v>
      </c>
      <c r="AB226" s="530">
        <f t="shared" si="2408"/>
        <v>0</v>
      </c>
      <c r="AC226" s="530">
        <f t="shared" si="2408"/>
        <v>0</v>
      </c>
      <c r="AD226" s="530">
        <f t="shared" si="2408"/>
        <v>0</v>
      </c>
      <c r="AE226" s="530">
        <f>AE227+AE229+AE233+AE237</f>
        <v>0</v>
      </c>
      <c r="AF226" s="530">
        <f t="shared" ref="AF226:AH226" si="2415">AF227+AF229+AF233+AF237</f>
        <v>0</v>
      </c>
      <c r="AG226" s="530">
        <f t="shared" si="2415"/>
        <v>0</v>
      </c>
      <c r="AH226" s="530">
        <f t="shared" si="2415"/>
        <v>0</v>
      </c>
      <c r="AI226" s="530">
        <f>AI227+AI229+AI233+AI237</f>
        <v>0</v>
      </c>
      <c r="AJ226" s="530">
        <f t="shared" ref="AJ226:AL226" si="2416">AJ227+AJ229+AJ233+AJ237</f>
        <v>5000</v>
      </c>
      <c r="AK226" s="530">
        <f t="shared" si="2416"/>
        <v>0</v>
      </c>
      <c r="AL226" s="530">
        <f t="shared" si="2416"/>
        <v>5000</v>
      </c>
      <c r="AM226" s="530">
        <f>AM227+AM229+AM233+AM237</f>
        <v>0</v>
      </c>
      <c r="AN226" s="530">
        <f t="shared" ref="AN226:AP226" si="2417">AN227+AN229+AN233+AN237</f>
        <v>10663.32</v>
      </c>
      <c r="AO226" s="530">
        <f t="shared" si="2417"/>
        <v>0</v>
      </c>
      <c r="AP226" s="530">
        <f t="shared" si="2417"/>
        <v>10663.32</v>
      </c>
      <c r="AQ226" s="530">
        <f t="shared" si="2408"/>
        <v>0</v>
      </c>
      <c r="AR226" s="530">
        <f t="shared" si="2408"/>
        <v>15663.32</v>
      </c>
      <c r="AS226" s="530">
        <f t="shared" si="2408"/>
        <v>0</v>
      </c>
      <c r="AT226" s="531">
        <f t="shared" si="2408"/>
        <v>15663.32</v>
      </c>
      <c r="AU226" s="530">
        <f>AU227+AU229+AU233+AU237</f>
        <v>0</v>
      </c>
      <c r="AV226" s="530">
        <f t="shared" ref="AV226:AX226" si="2418">AV227+AV229+AV233+AV237</f>
        <v>0</v>
      </c>
      <c r="AW226" s="530">
        <f t="shared" si="2418"/>
        <v>0</v>
      </c>
      <c r="AX226" s="530">
        <f t="shared" si="2418"/>
        <v>0</v>
      </c>
      <c r="AY226" s="530">
        <f>AY227+AY229+AY233+AY237</f>
        <v>0</v>
      </c>
      <c r="AZ226" s="530">
        <f t="shared" ref="AZ226" si="2419">AZ227+AZ229+AZ233+AZ237</f>
        <v>0</v>
      </c>
      <c r="BA226" s="530">
        <f t="shared" ref="BA226:BB226" si="2420">BA227+BA229+BA233+BA237</f>
        <v>0</v>
      </c>
      <c r="BB226" s="530">
        <f t="shared" si="2420"/>
        <v>0</v>
      </c>
      <c r="BC226" s="530">
        <f>BC227+BC229+BC233+BC237</f>
        <v>0</v>
      </c>
      <c r="BD226" s="530">
        <f t="shared" ref="BD226" si="2421">BD227+BD229+BD233+BD237</f>
        <v>5000</v>
      </c>
      <c r="BE226" s="530">
        <f t="shared" ref="BE226:BF226" si="2422">BE227+BE229+BE233+BE237</f>
        <v>0</v>
      </c>
      <c r="BF226" s="530">
        <f t="shared" si="2422"/>
        <v>5000</v>
      </c>
      <c r="BG226" s="530">
        <f>BG227+BG229+BG233+BG237</f>
        <v>0</v>
      </c>
      <c r="BH226" s="530">
        <f t="shared" ref="BH226" si="2423">BH227+BH229+BH233+BH237</f>
        <v>10663.32</v>
      </c>
      <c r="BI226" s="530">
        <f t="shared" ref="BI226:BJ226" si="2424">BI227+BI229+BI233+BI237</f>
        <v>0</v>
      </c>
      <c r="BJ226" s="530">
        <f t="shared" si="2424"/>
        <v>10663.32</v>
      </c>
      <c r="BK226" s="530">
        <f t="shared" si="2408"/>
        <v>0</v>
      </c>
      <c r="BL226" s="530">
        <f t="shared" si="2408"/>
        <v>15663.32</v>
      </c>
      <c r="BM226" s="530">
        <f t="shared" si="2408"/>
        <v>0</v>
      </c>
      <c r="BN226" s="530">
        <f t="shared" si="2408"/>
        <v>15663.32</v>
      </c>
      <c r="BO226" s="532">
        <f t="shared" si="2408"/>
        <v>0</v>
      </c>
      <c r="BP226" s="530">
        <f t="shared" si="2408"/>
        <v>0</v>
      </c>
      <c r="BQ226" s="530">
        <f t="shared" si="2408"/>
        <v>0</v>
      </c>
      <c r="BR226" s="530">
        <f t="shared" si="2408"/>
        <v>0</v>
      </c>
      <c r="BS226" s="531">
        <f t="shared" si="2408"/>
        <v>0</v>
      </c>
      <c r="BT226" s="530">
        <f>BT227+BT229+BT233+BT237</f>
        <v>0</v>
      </c>
      <c r="BU226" s="530">
        <f t="shared" ref="BU226" si="2425">BU227+BU229+BU233+BU237</f>
        <v>0</v>
      </c>
      <c r="BV226" s="530">
        <f t="shared" ref="BV226:BW226" si="2426">BV227+BV229+BV233+BV237</f>
        <v>0</v>
      </c>
      <c r="BW226" s="530">
        <f t="shared" si="2426"/>
        <v>0</v>
      </c>
      <c r="BX226" s="530">
        <f t="shared" ref="BX226:CA226" si="2427">BX227+BX229+BX233+BX237</f>
        <v>0</v>
      </c>
      <c r="BY226" s="530">
        <f t="shared" si="2427"/>
        <v>0</v>
      </c>
      <c r="BZ226" s="530">
        <f t="shared" si="2427"/>
        <v>0</v>
      </c>
      <c r="CA226" s="533">
        <f t="shared" si="2427"/>
        <v>0</v>
      </c>
    </row>
    <row r="227" spans="1:79" ht="14.1" customHeight="1" x14ac:dyDescent="0.2">
      <c r="A227" s="127" t="s">
        <v>170</v>
      </c>
      <c r="B227" s="78" t="s">
        <v>126</v>
      </c>
      <c r="C227" s="69" t="s">
        <v>171</v>
      </c>
      <c r="D227" s="69"/>
      <c r="E227" s="79"/>
      <c r="G227" s="154">
        <f>G228</f>
        <v>0</v>
      </c>
      <c r="H227" s="154">
        <f t="shared" ref="H227:I227" si="2428">H228</f>
        <v>15663.32</v>
      </c>
      <c r="I227" s="154">
        <f t="shared" si="2428"/>
        <v>0</v>
      </c>
      <c r="J227" s="154">
        <f t="shared" ref="J227:BS227" si="2429">J228</f>
        <v>15663.32</v>
      </c>
      <c r="K227" s="154">
        <f>K228</f>
        <v>0</v>
      </c>
      <c r="L227" s="154">
        <f t="shared" ref="L227" si="2430">L228</f>
        <v>0</v>
      </c>
      <c r="M227" s="154">
        <f t="shared" ref="M227" si="2431">M228</f>
        <v>0</v>
      </c>
      <c r="N227" s="154">
        <f t="shared" si="2429"/>
        <v>0</v>
      </c>
      <c r="O227" s="154">
        <f>O228</f>
        <v>0</v>
      </c>
      <c r="P227" s="154">
        <f t="shared" ref="P227" si="2432">P228</f>
        <v>0</v>
      </c>
      <c r="Q227" s="154">
        <f t="shared" ref="Q227" si="2433">Q228</f>
        <v>0</v>
      </c>
      <c r="R227" s="154">
        <f t="shared" si="2429"/>
        <v>0</v>
      </c>
      <c r="S227" s="154">
        <f>S228</f>
        <v>0</v>
      </c>
      <c r="T227" s="154">
        <f t="shared" ref="T227" si="2434">T228</f>
        <v>0</v>
      </c>
      <c r="U227" s="154">
        <f t="shared" ref="U227" si="2435">U228</f>
        <v>0</v>
      </c>
      <c r="V227" s="154">
        <f t="shared" si="2429"/>
        <v>0</v>
      </c>
      <c r="W227" s="154">
        <f t="shared" si="2429"/>
        <v>0</v>
      </c>
      <c r="X227" s="154">
        <f t="shared" si="2429"/>
        <v>15663.32</v>
      </c>
      <c r="Y227" s="154">
        <f t="shared" si="2429"/>
        <v>0</v>
      </c>
      <c r="Z227" s="84">
        <f t="shared" si="2429"/>
        <v>15663.32</v>
      </c>
      <c r="AA227" s="154">
        <f t="shared" si="2429"/>
        <v>0</v>
      </c>
      <c r="AB227" s="154">
        <f t="shared" si="2429"/>
        <v>0</v>
      </c>
      <c r="AC227" s="154">
        <f t="shared" si="2429"/>
        <v>0</v>
      </c>
      <c r="AD227" s="154">
        <f t="shared" si="2429"/>
        <v>0</v>
      </c>
      <c r="AE227" s="154">
        <f>AE228</f>
        <v>0</v>
      </c>
      <c r="AF227" s="154">
        <f t="shared" ref="AF227:AG227" si="2436">AF228</f>
        <v>0</v>
      </c>
      <c r="AG227" s="154">
        <f t="shared" si="2436"/>
        <v>0</v>
      </c>
      <c r="AH227" s="154">
        <f t="shared" si="2429"/>
        <v>0</v>
      </c>
      <c r="AI227" s="154">
        <f>AI228</f>
        <v>0</v>
      </c>
      <c r="AJ227" s="154">
        <f t="shared" ref="AJ227:AK227" si="2437">AJ228</f>
        <v>5000</v>
      </c>
      <c r="AK227" s="154">
        <f t="shared" si="2437"/>
        <v>0</v>
      </c>
      <c r="AL227" s="154">
        <f t="shared" si="2429"/>
        <v>5000</v>
      </c>
      <c r="AM227" s="154">
        <f>AM228</f>
        <v>0</v>
      </c>
      <c r="AN227" s="154">
        <f t="shared" ref="AN227:AO227" si="2438">AN228</f>
        <v>10663.32</v>
      </c>
      <c r="AO227" s="154">
        <f t="shared" si="2438"/>
        <v>0</v>
      </c>
      <c r="AP227" s="154">
        <f t="shared" si="2429"/>
        <v>10663.32</v>
      </c>
      <c r="AQ227" s="154">
        <f t="shared" si="2429"/>
        <v>0</v>
      </c>
      <c r="AR227" s="154">
        <f t="shared" si="2429"/>
        <v>15663.32</v>
      </c>
      <c r="AS227" s="154">
        <f t="shared" si="2429"/>
        <v>0</v>
      </c>
      <c r="AT227" s="84">
        <f t="shared" si="2429"/>
        <v>15663.32</v>
      </c>
      <c r="AU227" s="154">
        <f>AU228</f>
        <v>0</v>
      </c>
      <c r="AV227" s="154">
        <f t="shared" ref="AV227:AW227" si="2439">AV228</f>
        <v>0</v>
      </c>
      <c r="AW227" s="154">
        <f t="shared" si="2439"/>
        <v>0</v>
      </c>
      <c r="AX227" s="154">
        <f t="shared" si="2429"/>
        <v>0</v>
      </c>
      <c r="AY227" s="154">
        <f>AY228</f>
        <v>0</v>
      </c>
      <c r="AZ227" s="154">
        <f t="shared" ref="AZ227" si="2440">AZ228</f>
        <v>0</v>
      </c>
      <c r="BA227" s="154">
        <f t="shared" ref="BA227" si="2441">BA228</f>
        <v>0</v>
      </c>
      <c r="BB227" s="154">
        <f t="shared" si="2429"/>
        <v>0</v>
      </c>
      <c r="BC227" s="154">
        <f>BC228</f>
        <v>0</v>
      </c>
      <c r="BD227" s="154">
        <f t="shared" ref="BD227" si="2442">BD228</f>
        <v>5000</v>
      </c>
      <c r="BE227" s="154">
        <f t="shared" ref="BE227" si="2443">BE228</f>
        <v>0</v>
      </c>
      <c r="BF227" s="154">
        <f t="shared" si="2429"/>
        <v>5000</v>
      </c>
      <c r="BG227" s="154">
        <f>BG228</f>
        <v>0</v>
      </c>
      <c r="BH227" s="154">
        <f t="shared" ref="BH227" si="2444">BH228</f>
        <v>10663.32</v>
      </c>
      <c r="BI227" s="154">
        <f t="shared" ref="BI227" si="2445">BI228</f>
        <v>0</v>
      </c>
      <c r="BJ227" s="154">
        <f t="shared" si="2429"/>
        <v>10663.32</v>
      </c>
      <c r="BK227" s="154">
        <f t="shared" si="2429"/>
        <v>0</v>
      </c>
      <c r="BL227" s="154">
        <f t="shared" si="2429"/>
        <v>15663.32</v>
      </c>
      <c r="BM227" s="154">
        <f t="shared" si="2429"/>
        <v>0</v>
      </c>
      <c r="BN227" s="154">
        <f t="shared" si="2429"/>
        <v>15663.32</v>
      </c>
      <c r="BO227" s="170">
        <f t="shared" si="2429"/>
        <v>0</v>
      </c>
      <c r="BP227" s="154">
        <f t="shared" si="2429"/>
        <v>0</v>
      </c>
      <c r="BQ227" s="154">
        <f t="shared" si="2429"/>
        <v>0</v>
      </c>
      <c r="BR227" s="154">
        <f t="shared" si="2429"/>
        <v>0</v>
      </c>
      <c r="BS227" s="84">
        <f t="shared" si="2429"/>
        <v>0</v>
      </c>
      <c r="BT227" s="154">
        <f>BT228</f>
        <v>0</v>
      </c>
      <c r="BU227" s="154">
        <f t="shared" ref="BU227" si="2446">BU228</f>
        <v>0</v>
      </c>
      <c r="BV227" s="154">
        <f t="shared" ref="BV227:BW227" si="2447">BV228</f>
        <v>0</v>
      </c>
      <c r="BW227" s="154">
        <f t="shared" si="2447"/>
        <v>0</v>
      </c>
      <c r="BX227" s="154">
        <f t="shared" ref="BX227:CA227" si="2448">BX228</f>
        <v>0</v>
      </c>
      <c r="BY227" s="154">
        <f t="shared" si="2448"/>
        <v>0</v>
      </c>
      <c r="BZ227" s="154">
        <f t="shared" si="2448"/>
        <v>0</v>
      </c>
      <c r="CA227" s="126">
        <f t="shared" si="2448"/>
        <v>0</v>
      </c>
    </row>
    <row r="228" spans="1:79" ht="14.1" customHeight="1" x14ac:dyDescent="0.2">
      <c r="A228" s="127" t="s">
        <v>172</v>
      </c>
      <c r="B228" s="78"/>
      <c r="C228" s="81" t="s">
        <v>146</v>
      </c>
      <c r="D228" s="69" t="s">
        <v>578</v>
      </c>
      <c r="E228" s="79"/>
      <c r="G228" s="152"/>
      <c r="H228" s="152">
        <v>15663.32</v>
      </c>
      <c r="I228" s="152"/>
      <c r="J228" s="152">
        <f t="shared" ref="J228" si="2449">SUM(G228:I228)</f>
        <v>15663.32</v>
      </c>
      <c r="K228" s="152"/>
      <c r="L228" s="152"/>
      <c r="M228" s="152"/>
      <c r="N228" s="152">
        <f t="shared" ref="N228" si="2450">SUM(K228:M228)</f>
        <v>0</v>
      </c>
      <c r="O228" s="152"/>
      <c r="P228" s="152"/>
      <c r="Q228" s="152"/>
      <c r="R228" s="152">
        <f t="shared" ref="R228" si="2451">SUM(O228:Q228)</f>
        <v>0</v>
      </c>
      <c r="S228" s="152"/>
      <c r="T228" s="152"/>
      <c r="U228" s="152"/>
      <c r="V228" s="152">
        <f t="shared" ref="V228" si="2452">SUM(S228:U228)</f>
        <v>0</v>
      </c>
      <c r="W228" s="152">
        <f>G228-O228+S228+K228</f>
        <v>0</v>
      </c>
      <c r="X228" s="152">
        <f t="shared" ref="X228" si="2453">H228-P228+T228+L228</f>
        <v>15663.32</v>
      </c>
      <c r="Y228" s="152">
        <f t="shared" ref="Y228" si="2454">I228-Q228+U228+M228</f>
        <v>0</v>
      </c>
      <c r="Z228" s="168">
        <f>SUM(W228:Y228)</f>
        <v>15663.32</v>
      </c>
      <c r="AA228" s="152"/>
      <c r="AB228" s="152"/>
      <c r="AC228" s="152"/>
      <c r="AD228" s="152">
        <f t="shared" ref="AD228" si="2455">SUM(AA228:AC228)</f>
        <v>0</v>
      </c>
      <c r="AE228" s="152"/>
      <c r="AF228" s="152"/>
      <c r="AG228" s="152"/>
      <c r="AH228" s="152">
        <f t="shared" ref="AH228" si="2456">SUM(AE228:AG228)</f>
        <v>0</v>
      </c>
      <c r="AI228" s="152"/>
      <c r="AJ228" s="152">
        <v>5000</v>
      </c>
      <c r="AK228" s="152"/>
      <c r="AL228" s="152">
        <f t="shared" ref="AL228" si="2457">SUM(AI228:AK228)</f>
        <v>5000</v>
      </c>
      <c r="AM228" s="152"/>
      <c r="AN228" s="152">
        <v>10663.32</v>
      </c>
      <c r="AO228" s="152"/>
      <c r="AP228" s="152">
        <f t="shared" ref="AP228" si="2458">SUM(AM228:AO228)</f>
        <v>10663.32</v>
      </c>
      <c r="AQ228" s="152">
        <f t="shared" ref="AQ228:AS228" si="2459">AA228+AE228+AI228+AM228</f>
        <v>0</v>
      </c>
      <c r="AR228" s="152">
        <f t="shared" si="2459"/>
        <v>15663.32</v>
      </c>
      <c r="AS228" s="152">
        <f t="shared" si="2459"/>
        <v>0</v>
      </c>
      <c r="AT228" s="168">
        <f>SUM(AQ228:AS228)</f>
        <v>15663.32</v>
      </c>
      <c r="AU228" s="152"/>
      <c r="AV228" s="152"/>
      <c r="AW228" s="152"/>
      <c r="AX228" s="152">
        <f t="shared" ref="AX228" si="2460">SUM(AU228:AW228)</f>
        <v>0</v>
      </c>
      <c r="AY228" s="152"/>
      <c r="AZ228" s="152"/>
      <c r="BA228" s="152"/>
      <c r="BB228" s="152">
        <f t="shared" ref="BB228" si="2461">SUM(AY228:BA228)</f>
        <v>0</v>
      </c>
      <c r="BC228" s="152"/>
      <c r="BD228" s="152">
        <v>5000</v>
      </c>
      <c r="BE228" s="152"/>
      <c r="BF228" s="152">
        <f t="shared" ref="BF228" si="2462">SUM(BC228:BE228)</f>
        <v>5000</v>
      </c>
      <c r="BG228" s="152"/>
      <c r="BH228" s="152">
        <v>10663.32</v>
      </c>
      <c r="BI228" s="152"/>
      <c r="BJ228" s="152">
        <f t="shared" ref="BJ228" si="2463">SUM(BG228:BI228)</f>
        <v>10663.32</v>
      </c>
      <c r="BK228" s="152">
        <f t="shared" ref="BK228" si="2464">AU228+AY228+BC228+BG228</f>
        <v>0</v>
      </c>
      <c r="BL228" s="152">
        <f t="shared" ref="BL228" si="2465">AV228+AZ228+BD228+BH228</f>
        <v>15663.32</v>
      </c>
      <c r="BM228" s="152">
        <f t="shared" ref="BM228" si="2466">AW228+BA228+BE228+BI228</f>
        <v>0</v>
      </c>
      <c r="BN228" s="152">
        <f>SUM(BK228:BM228)</f>
        <v>15663.32</v>
      </c>
      <c r="BO228" s="168"/>
      <c r="BP228" s="152">
        <f t="shared" ref="BP228" si="2467">W228-AQ228</f>
        <v>0</v>
      </c>
      <c r="BQ228" s="152">
        <f t="shared" ref="BQ228" si="2468">X228-AR228</f>
        <v>0</v>
      </c>
      <c r="BR228" s="152">
        <f t="shared" ref="BR228" si="2469">Y228-AS228</f>
        <v>0</v>
      </c>
      <c r="BS228" s="168">
        <f>SUM(BP228:BR228)</f>
        <v>0</v>
      </c>
      <c r="BT228" s="152"/>
      <c r="BU228" s="152"/>
      <c r="BV228" s="152"/>
      <c r="BW228" s="152">
        <f t="shared" ref="BW228" si="2470">SUM(BT228:BV228)</f>
        <v>0</v>
      </c>
      <c r="BX228" s="152">
        <f t="shared" ref="BX228" si="2471">AQ228-BK228-BT228</f>
        <v>0</v>
      </c>
      <c r="BY228" s="152">
        <f t="shared" ref="BY228" si="2472">AR228-BL228-BU228</f>
        <v>0</v>
      </c>
      <c r="BZ228" s="152">
        <f t="shared" ref="BZ228" si="2473">AS228-BM228-BV228</f>
        <v>0</v>
      </c>
      <c r="CA228" s="587">
        <f t="shared" ref="CA228" si="2474">SUM(BX228:BZ228)</f>
        <v>0</v>
      </c>
    </row>
    <row r="229" spans="1:79" ht="14.1" customHeight="1" x14ac:dyDescent="0.2">
      <c r="A229" s="131" t="s">
        <v>173</v>
      </c>
      <c r="B229" s="78" t="s">
        <v>13</v>
      </c>
      <c r="C229" s="78" t="s">
        <v>131</v>
      </c>
      <c r="D229" s="568" t="s">
        <v>174</v>
      </c>
      <c r="E229" s="79"/>
      <c r="G229" s="154">
        <f>SUM(G230:G232)</f>
        <v>0</v>
      </c>
      <c r="H229" s="154">
        <f t="shared" ref="H229:I229" si="2475">SUM(H230:H232)</f>
        <v>0</v>
      </c>
      <c r="I229" s="154">
        <f t="shared" si="2475"/>
        <v>0</v>
      </c>
      <c r="J229" s="154">
        <f t="shared" ref="J229:BS229" si="2476">SUM(J230:J232)</f>
        <v>0</v>
      </c>
      <c r="K229" s="154">
        <f>SUM(K230:K232)</f>
        <v>0</v>
      </c>
      <c r="L229" s="154">
        <f t="shared" ref="L229" si="2477">SUM(L230:L232)</f>
        <v>0</v>
      </c>
      <c r="M229" s="154">
        <f t="shared" ref="M229:N229" si="2478">SUM(M230:M232)</f>
        <v>0</v>
      </c>
      <c r="N229" s="154">
        <f t="shared" si="2478"/>
        <v>0</v>
      </c>
      <c r="O229" s="154">
        <f>SUM(O230:O232)</f>
        <v>0</v>
      </c>
      <c r="P229" s="154">
        <f t="shared" ref="P229" si="2479">SUM(P230:P232)</f>
        <v>0</v>
      </c>
      <c r="Q229" s="154">
        <f t="shared" ref="Q229:R229" si="2480">SUM(Q230:Q232)</f>
        <v>0</v>
      </c>
      <c r="R229" s="154">
        <f t="shared" si="2480"/>
        <v>0</v>
      </c>
      <c r="S229" s="154">
        <f>SUM(S230:S232)</f>
        <v>0</v>
      </c>
      <c r="T229" s="154">
        <f t="shared" ref="T229" si="2481">SUM(T230:T232)</f>
        <v>0</v>
      </c>
      <c r="U229" s="154">
        <f t="shared" ref="U229:V229" si="2482">SUM(U230:U232)</f>
        <v>0</v>
      </c>
      <c r="V229" s="154">
        <f t="shared" si="2482"/>
        <v>0</v>
      </c>
      <c r="W229" s="154">
        <f t="shared" si="2476"/>
        <v>0</v>
      </c>
      <c r="X229" s="154">
        <f t="shared" si="2476"/>
        <v>0</v>
      </c>
      <c r="Y229" s="154">
        <f t="shared" si="2476"/>
        <v>0</v>
      </c>
      <c r="Z229" s="84">
        <f t="shared" si="2476"/>
        <v>0</v>
      </c>
      <c r="AA229" s="154">
        <f t="shared" si="2476"/>
        <v>0</v>
      </c>
      <c r="AB229" s="154">
        <f t="shared" si="2476"/>
        <v>0</v>
      </c>
      <c r="AC229" s="154">
        <f t="shared" si="2476"/>
        <v>0</v>
      </c>
      <c r="AD229" s="154">
        <f t="shared" si="2476"/>
        <v>0</v>
      </c>
      <c r="AE229" s="154">
        <f>SUM(AE230:AE232)</f>
        <v>0</v>
      </c>
      <c r="AF229" s="154">
        <f t="shared" ref="AF229:AH229" si="2483">SUM(AF230:AF232)</f>
        <v>0</v>
      </c>
      <c r="AG229" s="154">
        <f t="shared" si="2483"/>
        <v>0</v>
      </c>
      <c r="AH229" s="154">
        <f t="shared" si="2483"/>
        <v>0</v>
      </c>
      <c r="AI229" s="154">
        <f>SUM(AI230:AI232)</f>
        <v>0</v>
      </c>
      <c r="AJ229" s="154">
        <f t="shared" ref="AJ229:AL229" si="2484">SUM(AJ230:AJ232)</f>
        <v>0</v>
      </c>
      <c r="AK229" s="154">
        <f t="shared" si="2484"/>
        <v>0</v>
      </c>
      <c r="AL229" s="154">
        <f t="shared" si="2484"/>
        <v>0</v>
      </c>
      <c r="AM229" s="154">
        <f>SUM(AM230:AM232)</f>
        <v>0</v>
      </c>
      <c r="AN229" s="154">
        <f t="shared" ref="AN229:AP229" si="2485">SUM(AN230:AN232)</f>
        <v>0</v>
      </c>
      <c r="AO229" s="154">
        <f t="shared" si="2485"/>
        <v>0</v>
      </c>
      <c r="AP229" s="154">
        <f t="shared" si="2485"/>
        <v>0</v>
      </c>
      <c r="AQ229" s="154">
        <f t="shared" si="2476"/>
        <v>0</v>
      </c>
      <c r="AR229" s="154">
        <f t="shared" si="2476"/>
        <v>0</v>
      </c>
      <c r="AS229" s="154">
        <f t="shared" si="2476"/>
        <v>0</v>
      </c>
      <c r="AT229" s="84">
        <f t="shared" si="2476"/>
        <v>0</v>
      </c>
      <c r="AU229" s="154">
        <f>SUM(AU230:AU232)</f>
        <v>0</v>
      </c>
      <c r="AV229" s="154">
        <f t="shared" ref="AV229:AX229" si="2486">SUM(AV230:AV232)</f>
        <v>0</v>
      </c>
      <c r="AW229" s="154">
        <f t="shared" si="2486"/>
        <v>0</v>
      </c>
      <c r="AX229" s="154">
        <f t="shared" si="2486"/>
        <v>0</v>
      </c>
      <c r="AY229" s="154">
        <f>SUM(AY230:AY232)</f>
        <v>0</v>
      </c>
      <c r="AZ229" s="154">
        <f t="shared" ref="AZ229" si="2487">SUM(AZ230:AZ232)</f>
        <v>0</v>
      </c>
      <c r="BA229" s="154">
        <f t="shared" ref="BA229:BB229" si="2488">SUM(BA230:BA232)</f>
        <v>0</v>
      </c>
      <c r="BB229" s="154">
        <f t="shared" si="2488"/>
        <v>0</v>
      </c>
      <c r="BC229" s="154">
        <f>SUM(BC230:BC232)</f>
        <v>0</v>
      </c>
      <c r="BD229" s="154">
        <f t="shared" ref="BD229" si="2489">SUM(BD230:BD232)</f>
        <v>0</v>
      </c>
      <c r="BE229" s="154">
        <f t="shared" ref="BE229:BF229" si="2490">SUM(BE230:BE232)</f>
        <v>0</v>
      </c>
      <c r="BF229" s="154">
        <f t="shared" si="2490"/>
        <v>0</v>
      </c>
      <c r="BG229" s="154">
        <f>SUM(BG230:BG232)</f>
        <v>0</v>
      </c>
      <c r="BH229" s="154">
        <f t="shared" ref="BH229" si="2491">SUM(BH230:BH232)</f>
        <v>0</v>
      </c>
      <c r="BI229" s="154">
        <f t="shared" ref="BI229:BJ229" si="2492">SUM(BI230:BI232)</f>
        <v>0</v>
      </c>
      <c r="BJ229" s="154">
        <f t="shared" si="2492"/>
        <v>0</v>
      </c>
      <c r="BK229" s="154">
        <f t="shared" si="2476"/>
        <v>0</v>
      </c>
      <c r="BL229" s="154">
        <f t="shared" si="2476"/>
        <v>0</v>
      </c>
      <c r="BM229" s="154">
        <f t="shared" si="2476"/>
        <v>0</v>
      </c>
      <c r="BN229" s="154">
        <f t="shared" si="2476"/>
        <v>0</v>
      </c>
      <c r="BO229" s="170">
        <f t="shared" si="2476"/>
        <v>0</v>
      </c>
      <c r="BP229" s="154">
        <f t="shared" si="2476"/>
        <v>0</v>
      </c>
      <c r="BQ229" s="154">
        <f t="shared" si="2476"/>
        <v>0</v>
      </c>
      <c r="BR229" s="154">
        <f t="shared" si="2476"/>
        <v>0</v>
      </c>
      <c r="BS229" s="84">
        <f t="shared" si="2476"/>
        <v>0</v>
      </c>
      <c r="BT229" s="154">
        <f>SUM(BT230:BT232)</f>
        <v>0</v>
      </c>
      <c r="BU229" s="154">
        <f t="shared" ref="BU229" si="2493">SUM(BU230:BU232)</f>
        <v>0</v>
      </c>
      <c r="BV229" s="154">
        <f t="shared" ref="BV229:BW229" si="2494">SUM(BV230:BV232)</f>
        <v>0</v>
      </c>
      <c r="BW229" s="154">
        <f t="shared" si="2494"/>
        <v>0</v>
      </c>
      <c r="BX229" s="154">
        <f t="shared" ref="BX229:CA229" si="2495">SUM(BX230:BX232)</f>
        <v>0</v>
      </c>
      <c r="BY229" s="154">
        <f t="shared" si="2495"/>
        <v>0</v>
      </c>
      <c r="BZ229" s="154">
        <f t="shared" si="2495"/>
        <v>0</v>
      </c>
      <c r="CA229" s="126">
        <f t="shared" si="2495"/>
        <v>0</v>
      </c>
    </row>
    <row r="230" spans="1:79" ht="14.1" customHeight="1" x14ac:dyDescent="0.2">
      <c r="A230" s="122" t="s">
        <v>579</v>
      </c>
      <c r="B230" s="78"/>
      <c r="C230" s="78"/>
      <c r="D230" s="78" t="s">
        <v>528</v>
      </c>
      <c r="E230" s="79" t="s">
        <v>177</v>
      </c>
      <c r="G230" s="152"/>
      <c r="H230" s="152"/>
      <c r="I230" s="152"/>
      <c r="J230" s="152">
        <f t="shared" ref="J230:J232" si="2496">SUM(G230:I230)</f>
        <v>0</v>
      </c>
      <c r="K230" s="152"/>
      <c r="L230" s="152"/>
      <c r="M230" s="152"/>
      <c r="N230" s="152">
        <f t="shared" ref="N230:N232" si="2497">SUM(K230:M230)</f>
        <v>0</v>
      </c>
      <c r="O230" s="152"/>
      <c r="P230" s="152"/>
      <c r="Q230" s="152"/>
      <c r="R230" s="152">
        <f t="shared" ref="R230:R232" si="2498">SUM(O230:Q230)</f>
        <v>0</v>
      </c>
      <c r="S230" s="152"/>
      <c r="T230" s="152"/>
      <c r="U230" s="152"/>
      <c r="V230" s="152">
        <f t="shared" ref="V230:V232" si="2499">SUM(S230:U230)</f>
        <v>0</v>
      </c>
      <c r="W230" s="152">
        <f>G230-O230+S230+K230</f>
        <v>0</v>
      </c>
      <c r="X230" s="152">
        <f t="shared" ref="X230:X231" si="2500">H230-P230+T230+L230</f>
        <v>0</v>
      </c>
      <c r="Y230" s="152">
        <f t="shared" ref="Y230:Y231" si="2501">I230-Q230+U230+M230</f>
        <v>0</v>
      </c>
      <c r="Z230" s="168">
        <f>SUM(W230:Y230)</f>
        <v>0</v>
      </c>
      <c r="AA230" s="152"/>
      <c r="AB230" s="152"/>
      <c r="AC230" s="152"/>
      <c r="AD230" s="152">
        <f t="shared" ref="AD230:AD232" si="2502">SUM(AA230:AC230)</f>
        <v>0</v>
      </c>
      <c r="AE230" s="152"/>
      <c r="AF230" s="152"/>
      <c r="AG230" s="152"/>
      <c r="AH230" s="152">
        <f t="shared" ref="AH230:AH232" si="2503">SUM(AE230:AG230)</f>
        <v>0</v>
      </c>
      <c r="AI230" s="152"/>
      <c r="AJ230" s="152"/>
      <c r="AK230" s="152"/>
      <c r="AL230" s="152">
        <f t="shared" ref="AL230:AL232" si="2504">SUM(AI230:AK230)</f>
        <v>0</v>
      </c>
      <c r="AM230" s="152"/>
      <c r="AN230" s="152"/>
      <c r="AO230" s="152"/>
      <c r="AP230" s="152">
        <f t="shared" ref="AP230:AP232" si="2505">SUM(AM230:AO230)</f>
        <v>0</v>
      </c>
      <c r="AQ230" s="152">
        <f t="shared" ref="AQ230:AS231" si="2506">AA230+AE230+AI230+AM230</f>
        <v>0</v>
      </c>
      <c r="AR230" s="152">
        <f t="shared" si="2506"/>
        <v>0</v>
      </c>
      <c r="AS230" s="152">
        <f t="shared" si="2506"/>
        <v>0</v>
      </c>
      <c r="AT230" s="168">
        <f>SUM(AQ230:AS230)</f>
        <v>0</v>
      </c>
      <c r="AU230" s="152"/>
      <c r="AV230" s="152"/>
      <c r="AW230" s="152"/>
      <c r="AX230" s="152">
        <f t="shared" ref="AX230:AX232" si="2507">SUM(AU230:AW230)</f>
        <v>0</v>
      </c>
      <c r="AY230" s="152"/>
      <c r="AZ230" s="152"/>
      <c r="BA230" s="152"/>
      <c r="BB230" s="152">
        <f t="shared" ref="BB230:BB232" si="2508">SUM(AY230:BA230)</f>
        <v>0</v>
      </c>
      <c r="BC230" s="152"/>
      <c r="BD230" s="152"/>
      <c r="BE230" s="152"/>
      <c r="BF230" s="152">
        <f t="shared" ref="BF230:BF232" si="2509">SUM(BC230:BE230)</f>
        <v>0</v>
      </c>
      <c r="BG230" s="152"/>
      <c r="BH230" s="152"/>
      <c r="BI230" s="152"/>
      <c r="BJ230" s="152">
        <f t="shared" ref="BJ230:BJ232" si="2510">SUM(BG230:BI230)</f>
        <v>0</v>
      </c>
      <c r="BK230" s="152">
        <f t="shared" ref="BK230:BK231" si="2511">AU230+AY230+BC230+BG230</f>
        <v>0</v>
      </c>
      <c r="BL230" s="152">
        <f t="shared" ref="BL230:BL231" si="2512">AV230+AZ230+BD230+BH230</f>
        <v>0</v>
      </c>
      <c r="BM230" s="152">
        <f t="shared" ref="BM230:BM231" si="2513">AW230+BA230+BE230+BI230</f>
        <v>0</v>
      </c>
      <c r="BN230" s="152">
        <f>SUM(BK230:BM230)</f>
        <v>0</v>
      </c>
      <c r="BO230" s="168"/>
      <c r="BP230" s="152">
        <f t="shared" ref="BP230:BP231" si="2514">W230-AQ230</f>
        <v>0</v>
      </c>
      <c r="BQ230" s="152">
        <f t="shared" ref="BQ230:BQ231" si="2515">X230-AR230</f>
        <v>0</v>
      </c>
      <c r="BR230" s="152">
        <f t="shared" ref="BR230:BR231" si="2516">Y230-AS230</f>
        <v>0</v>
      </c>
      <c r="BS230" s="168">
        <f>SUM(BP230:BR230)</f>
        <v>0</v>
      </c>
      <c r="BT230" s="152"/>
      <c r="BU230" s="152"/>
      <c r="BV230" s="152"/>
      <c r="BW230" s="152">
        <f t="shared" ref="BW230:BW232" si="2517">SUM(BT230:BV230)</f>
        <v>0</v>
      </c>
      <c r="BX230" s="152">
        <f t="shared" ref="BX230:BX232" si="2518">AQ230-BK230-BT230</f>
        <v>0</v>
      </c>
      <c r="BY230" s="152">
        <f t="shared" ref="BY230:BY232" si="2519">AR230-BL230-BU230</f>
        <v>0</v>
      </c>
      <c r="BZ230" s="152">
        <f t="shared" ref="BZ230:BZ232" si="2520">AS230-BM230-BV230</f>
        <v>0</v>
      </c>
      <c r="CA230" s="587">
        <f t="shared" ref="CA230:CA232" si="2521">SUM(BX230:BZ230)</f>
        <v>0</v>
      </c>
    </row>
    <row r="231" spans="1:79" ht="14.1" customHeight="1" x14ac:dyDescent="0.2">
      <c r="A231" s="122" t="s">
        <v>178</v>
      </c>
      <c r="B231" s="78"/>
      <c r="C231" s="78"/>
      <c r="D231" s="81">
        <v>2</v>
      </c>
      <c r="E231" s="79" t="s">
        <v>179</v>
      </c>
      <c r="G231" s="152"/>
      <c r="H231" s="152"/>
      <c r="I231" s="152"/>
      <c r="J231" s="152">
        <f t="shared" si="2496"/>
        <v>0</v>
      </c>
      <c r="K231" s="152"/>
      <c r="L231" s="152"/>
      <c r="M231" s="152"/>
      <c r="N231" s="152">
        <f t="shared" si="2497"/>
        <v>0</v>
      </c>
      <c r="O231" s="152"/>
      <c r="P231" s="152"/>
      <c r="Q231" s="152"/>
      <c r="R231" s="152">
        <f t="shared" si="2498"/>
        <v>0</v>
      </c>
      <c r="S231" s="152"/>
      <c r="T231" s="152"/>
      <c r="U231" s="152"/>
      <c r="V231" s="152">
        <f t="shared" si="2499"/>
        <v>0</v>
      </c>
      <c r="W231" s="152">
        <f>G231-O231+S231+K231</f>
        <v>0</v>
      </c>
      <c r="X231" s="152">
        <f t="shared" si="2500"/>
        <v>0</v>
      </c>
      <c r="Y231" s="152">
        <f t="shared" si="2501"/>
        <v>0</v>
      </c>
      <c r="Z231" s="168">
        <f>SUM(W231:Y231)</f>
        <v>0</v>
      </c>
      <c r="AA231" s="152"/>
      <c r="AB231" s="152"/>
      <c r="AC231" s="152"/>
      <c r="AD231" s="152">
        <f t="shared" si="2502"/>
        <v>0</v>
      </c>
      <c r="AE231" s="152"/>
      <c r="AF231" s="152"/>
      <c r="AG231" s="152"/>
      <c r="AH231" s="152">
        <f t="shared" si="2503"/>
        <v>0</v>
      </c>
      <c r="AI231" s="152"/>
      <c r="AJ231" s="152"/>
      <c r="AK231" s="152"/>
      <c r="AL231" s="152">
        <f t="shared" si="2504"/>
        <v>0</v>
      </c>
      <c r="AM231" s="152"/>
      <c r="AN231" s="152"/>
      <c r="AO231" s="152"/>
      <c r="AP231" s="152">
        <f t="shared" si="2505"/>
        <v>0</v>
      </c>
      <c r="AQ231" s="152">
        <f t="shared" si="2506"/>
        <v>0</v>
      </c>
      <c r="AR231" s="152">
        <f t="shared" si="2506"/>
        <v>0</v>
      </c>
      <c r="AS231" s="152">
        <f t="shared" si="2506"/>
        <v>0</v>
      </c>
      <c r="AT231" s="168">
        <f>SUM(AQ231:AS231)</f>
        <v>0</v>
      </c>
      <c r="AU231" s="152"/>
      <c r="AV231" s="152"/>
      <c r="AW231" s="152"/>
      <c r="AX231" s="152">
        <f t="shared" si="2507"/>
        <v>0</v>
      </c>
      <c r="AY231" s="152"/>
      <c r="AZ231" s="152"/>
      <c r="BA231" s="152"/>
      <c r="BB231" s="152">
        <f t="shared" si="2508"/>
        <v>0</v>
      </c>
      <c r="BC231" s="152"/>
      <c r="BD231" s="152"/>
      <c r="BE231" s="152"/>
      <c r="BF231" s="152">
        <f t="shared" si="2509"/>
        <v>0</v>
      </c>
      <c r="BG231" s="152"/>
      <c r="BH231" s="152"/>
      <c r="BI231" s="152"/>
      <c r="BJ231" s="152">
        <f t="shared" si="2510"/>
        <v>0</v>
      </c>
      <c r="BK231" s="152">
        <f t="shared" si="2511"/>
        <v>0</v>
      </c>
      <c r="BL231" s="152">
        <f t="shared" si="2512"/>
        <v>0</v>
      </c>
      <c r="BM231" s="152">
        <f t="shared" si="2513"/>
        <v>0</v>
      </c>
      <c r="BN231" s="152">
        <f>SUM(BK231:BM231)</f>
        <v>0</v>
      </c>
      <c r="BO231" s="168"/>
      <c r="BP231" s="152">
        <f t="shared" si="2514"/>
        <v>0</v>
      </c>
      <c r="BQ231" s="152">
        <f t="shared" si="2515"/>
        <v>0</v>
      </c>
      <c r="BR231" s="152">
        <f t="shared" si="2516"/>
        <v>0</v>
      </c>
      <c r="BS231" s="168">
        <f>SUM(BP231:BR231)</f>
        <v>0</v>
      </c>
      <c r="BT231" s="152"/>
      <c r="BU231" s="152"/>
      <c r="BV231" s="152"/>
      <c r="BW231" s="152">
        <f t="shared" si="2517"/>
        <v>0</v>
      </c>
      <c r="BX231" s="152">
        <f t="shared" si="2518"/>
        <v>0</v>
      </c>
      <c r="BY231" s="152">
        <f t="shared" si="2519"/>
        <v>0</v>
      </c>
      <c r="BZ231" s="152">
        <f t="shared" si="2520"/>
        <v>0</v>
      </c>
      <c r="CA231" s="587">
        <f t="shared" si="2521"/>
        <v>0</v>
      </c>
    </row>
    <row r="232" spans="1:79" ht="14.1" customHeight="1" x14ac:dyDescent="0.2">
      <c r="A232" s="122" t="s">
        <v>180</v>
      </c>
      <c r="B232" s="78" t="s">
        <v>580</v>
      </c>
      <c r="C232" s="78" t="s">
        <v>581</v>
      </c>
      <c r="D232" s="901" t="s">
        <v>182</v>
      </c>
      <c r="E232" s="902"/>
      <c r="G232" s="152"/>
      <c r="H232" s="152"/>
      <c r="I232" s="152"/>
      <c r="J232" s="152">
        <f t="shared" si="2496"/>
        <v>0</v>
      </c>
      <c r="K232" s="152"/>
      <c r="L232" s="152"/>
      <c r="M232" s="152"/>
      <c r="N232" s="152">
        <f t="shared" si="2497"/>
        <v>0</v>
      </c>
      <c r="O232" s="152"/>
      <c r="P232" s="152"/>
      <c r="Q232" s="152"/>
      <c r="R232" s="152">
        <f t="shared" si="2498"/>
        <v>0</v>
      </c>
      <c r="S232" s="152"/>
      <c r="T232" s="152"/>
      <c r="U232" s="152"/>
      <c r="V232" s="152">
        <f t="shared" si="2499"/>
        <v>0</v>
      </c>
      <c r="W232" s="152"/>
      <c r="X232" s="152"/>
      <c r="Y232" s="152"/>
      <c r="AA232" s="152"/>
      <c r="AB232" s="152"/>
      <c r="AC232" s="152"/>
      <c r="AD232" s="152">
        <f t="shared" si="2502"/>
        <v>0</v>
      </c>
      <c r="AE232" s="152"/>
      <c r="AF232" s="152"/>
      <c r="AG232" s="152"/>
      <c r="AH232" s="152">
        <f t="shared" si="2503"/>
        <v>0</v>
      </c>
      <c r="AI232" s="152"/>
      <c r="AJ232" s="152"/>
      <c r="AK232" s="152"/>
      <c r="AL232" s="152">
        <f t="shared" si="2504"/>
        <v>0</v>
      </c>
      <c r="AM232" s="152"/>
      <c r="AN232" s="152"/>
      <c r="AO232" s="152"/>
      <c r="AP232" s="152">
        <f t="shared" si="2505"/>
        <v>0</v>
      </c>
      <c r="AQ232" s="152"/>
      <c r="AR232" s="152"/>
      <c r="AS232" s="152"/>
      <c r="AU232" s="152"/>
      <c r="AV232" s="152"/>
      <c r="AW232" s="152"/>
      <c r="AX232" s="152">
        <f t="shared" si="2507"/>
        <v>0</v>
      </c>
      <c r="AY232" s="152"/>
      <c r="AZ232" s="152"/>
      <c r="BA232" s="152"/>
      <c r="BB232" s="152">
        <f t="shared" si="2508"/>
        <v>0</v>
      </c>
      <c r="BC232" s="152"/>
      <c r="BD232" s="152"/>
      <c r="BE232" s="152"/>
      <c r="BF232" s="152">
        <f t="shared" si="2509"/>
        <v>0</v>
      </c>
      <c r="BG232" s="152"/>
      <c r="BH232" s="152"/>
      <c r="BI232" s="152"/>
      <c r="BJ232" s="152">
        <f t="shared" si="2510"/>
        <v>0</v>
      </c>
      <c r="BK232" s="152"/>
      <c r="BL232" s="152"/>
      <c r="BM232" s="152"/>
      <c r="BN232" s="152"/>
      <c r="BO232" s="168"/>
      <c r="BP232" s="152"/>
      <c r="BQ232" s="152"/>
      <c r="BR232" s="152"/>
      <c r="BT232" s="152"/>
      <c r="BU232" s="152"/>
      <c r="BV232" s="152"/>
      <c r="BW232" s="152">
        <f t="shared" si="2517"/>
        <v>0</v>
      </c>
      <c r="BX232" s="152">
        <f t="shared" si="2518"/>
        <v>0</v>
      </c>
      <c r="BY232" s="152">
        <f t="shared" si="2519"/>
        <v>0</v>
      </c>
      <c r="BZ232" s="152">
        <f t="shared" si="2520"/>
        <v>0</v>
      </c>
      <c r="CA232" s="587">
        <f t="shared" si="2521"/>
        <v>0</v>
      </c>
    </row>
    <row r="233" spans="1:79" ht="14.1" customHeight="1" x14ac:dyDescent="0.2">
      <c r="A233" s="122" t="s">
        <v>183</v>
      </c>
      <c r="B233" s="78" t="s">
        <v>134</v>
      </c>
      <c r="C233" s="78"/>
      <c r="D233" s="901" t="s">
        <v>582</v>
      </c>
      <c r="E233" s="902"/>
      <c r="G233" s="154">
        <f>SUM(G234:G236)</f>
        <v>0</v>
      </c>
      <c r="H233" s="154">
        <f t="shared" ref="H233:I233" si="2522">SUM(H234:H236)</f>
        <v>0</v>
      </c>
      <c r="I233" s="154">
        <f t="shared" si="2522"/>
        <v>0</v>
      </c>
      <c r="J233" s="154">
        <f t="shared" ref="J233:BS233" si="2523">SUM(J234:J236)</f>
        <v>0</v>
      </c>
      <c r="K233" s="154">
        <f>SUM(K234:K236)</f>
        <v>0</v>
      </c>
      <c r="L233" s="154">
        <f t="shared" ref="L233" si="2524">SUM(L234:L236)</f>
        <v>0</v>
      </c>
      <c r="M233" s="154">
        <f t="shared" ref="M233:N233" si="2525">SUM(M234:M236)</f>
        <v>0</v>
      </c>
      <c r="N233" s="154">
        <f t="shared" si="2525"/>
        <v>0</v>
      </c>
      <c r="O233" s="154">
        <f>SUM(O234:O236)</f>
        <v>0</v>
      </c>
      <c r="P233" s="154">
        <f t="shared" ref="P233" si="2526">SUM(P234:P236)</f>
        <v>0</v>
      </c>
      <c r="Q233" s="154">
        <f t="shared" ref="Q233:R233" si="2527">SUM(Q234:Q236)</f>
        <v>0</v>
      </c>
      <c r="R233" s="154">
        <f t="shared" si="2527"/>
        <v>0</v>
      </c>
      <c r="S233" s="154">
        <f>SUM(S234:S236)</f>
        <v>0</v>
      </c>
      <c r="T233" s="154">
        <f t="shared" ref="T233" si="2528">SUM(T234:T236)</f>
        <v>0</v>
      </c>
      <c r="U233" s="154">
        <f t="shared" ref="U233:V233" si="2529">SUM(U234:U236)</f>
        <v>0</v>
      </c>
      <c r="V233" s="154">
        <f t="shared" si="2529"/>
        <v>0</v>
      </c>
      <c r="W233" s="154">
        <f t="shared" si="2523"/>
        <v>0</v>
      </c>
      <c r="X233" s="154">
        <f t="shared" si="2523"/>
        <v>0</v>
      </c>
      <c r="Y233" s="154">
        <f t="shared" si="2523"/>
        <v>0</v>
      </c>
      <c r="Z233" s="84">
        <f t="shared" si="2523"/>
        <v>0</v>
      </c>
      <c r="AA233" s="154">
        <f t="shared" si="2523"/>
        <v>0</v>
      </c>
      <c r="AB233" s="154">
        <f t="shared" si="2523"/>
        <v>0</v>
      </c>
      <c r="AC233" s="154">
        <f t="shared" si="2523"/>
        <v>0</v>
      </c>
      <c r="AD233" s="154">
        <f t="shared" si="2523"/>
        <v>0</v>
      </c>
      <c r="AE233" s="154">
        <f>SUM(AE234:AE236)</f>
        <v>0</v>
      </c>
      <c r="AF233" s="154">
        <f t="shared" ref="AF233:AH233" si="2530">SUM(AF234:AF236)</f>
        <v>0</v>
      </c>
      <c r="AG233" s="154">
        <f t="shared" si="2530"/>
        <v>0</v>
      </c>
      <c r="AH233" s="154">
        <f t="shared" si="2530"/>
        <v>0</v>
      </c>
      <c r="AI233" s="154">
        <f>SUM(AI234:AI236)</f>
        <v>0</v>
      </c>
      <c r="AJ233" s="154">
        <f t="shared" ref="AJ233:AL233" si="2531">SUM(AJ234:AJ236)</f>
        <v>0</v>
      </c>
      <c r="AK233" s="154">
        <f t="shared" si="2531"/>
        <v>0</v>
      </c>
      <c r="AL233" s="154">
        <f t="shared" si="2531"/>
        <v>0</v>
      </c>
      <c r="AM233" s="154">
        <f>SUM(AM234:AM236)</f>
        <v>0</v>
      </c>
      <c r="AN233" s="154">
        <f t="shared" ref="AN233:AP233" si="2532">SUM(AN234:AN236)</f>
        <v>0</v>
      </c>
      <c r="AO233" s="154">
        <f t="shared" si="2532"/>
        <v>0</v>
      </c>
      <c r="AP233" s="154">
        <f t="shared" si="2532"/>
        <v>0</v>
      </c>
      <c r="AQ233" s="154">
        <f t="shared" si="2523"/>
        <v>0</v>
      </c>
      <c r="AR233" s="154">
        <f t="shared" si="2523"/>
        <v>0</v>
      </c>
      <c r="AS233" s="154">
        <f t="shared" si="2523"/>
        <v>0</v>
      </c>
      <c r="AT233" s="84">
        <f t="shared" si="2523"/>
        <v>0</v>
      </c>
      <c r="AU233" s="154">
        <f>SUM(AU234:AU236)</f>
        <v>0</v>
      </c>
      <c r="AV233" s="154">
        <f t="shared" ref="AV233:AX233" si="2533">SUM(AV234:AV236)</f>
        <v>0</v>
      </c>
      <c r="AW233" s="154">
        <f t="shared" si="2533"/>
        <v>0</v>
      </c>
      <c r="AX233" s="154">
        <f t="shared" si="2533"/>
        <v>0</v>
      </c>
      <c r="AY233" s="154">
        <f>SUM(AY234:AY236)</f>
        <v>0</v>
      </c>
      <c r="AZ233" s="154">
        <f t="shared" ref="AZ233" si="2534">SUM(AZ234:AZ236)</f>
        <v>0</v>
      </c>
      <c r="BA233" s="154">
        <f t="shared" ref="BA233:BB233" si="2535">SUM(BA234:BA236)</f>
        <v>0</v>
      </c>
      <c r="BB233" s="154">
        <f t="shared" si="2535"/>
        <v>0</v>
      </c>
      <c r="BC233" s="154">
        <f>SUM(BC234:BC236)</f>
        <v>0</v>
      </c>
      <c r="BD233" s="154">
        <f t="shared" ref="BD233" si="2536">SUM(BD234:BD236)</f>
        <v>0</v>
      </c>
      <c r="BE233" s="154">
        <f t="shared" ref="BE233:BF233" si="2537">SUM(BE234:BE236)</f>
        <v>0</v>
      </c>
      <c r="BF233" s="154">
        <f t="shared" si="2537"/>
        <v>0</v>
      </c>
      <c r="BG233" s="154">
        <f>SUM(BG234:BG236)</f>
        <v>0</v>
      </c>
      <c r="BH233" s="154">
        <f t="shared" ref="BH233" si="2538">SUM(BH234:BH236)</f>
        <v>0</v>
      </c>
      <c r="BI233" s="154">
        <f t="shared" ref="BI233:BJ233" si="2539">SUM(BI234:BI236)</f>
        <v>0</v>
      </c>
      <c r="BJ233" s="154">
        <f t="shared" si="2539"/>
        <v>0</v>
      </c>
      <c r="BK233" s="154">
        <f t="shared" si="2523"/>
        <v>0</v>
      </c>
      <c r="BL233" s="154">
        <f t="shared" si="2523"/>
        <v>0</v>
      </c>
      <c r="BM233" s="154">
        <f t="shared" si="2523"/>
        <v>0</v>
      </c>
      <c r="BN233" s="154">
        <f t="shared" si="2523"/>
        <v>0</v>
      </c>
      <c r="BO233" s="170">
        <f t="shared" si="2523"/>
        <v>0</v>
      </c>
      <c r="BP233" s="154">
        <f t="shared" si="2523"/>
        <v>0</v>
      </c>
      <c r="BQ233" s="154">
        <f t="shared" si="2523"/>
        <v>0</v>
      </c>
      <c r="BR233" s="154">
        <f t="shared" si="2523"/>
        <v>0</v>
      </c>
      <c r="BS233" s="84">
        <f t="shared" si="2523"/>
        <v>0</v>
      </c>
      <c r="BT233" s="154">
        <f>SUM(BT234:BT236)</f>
        <v>0</v>
      </c>
      <c r="BU233" s="154">
        <f t="shared" ref="BU233" si="2540">SUM(BU234:BU236)</f>
        <v>0</v>
      </c>
      <c r="BV233" s="154">
        <f t="shared" ref="BV233:BW233" si="2541">SUM(BV234:BV236)</f>
        <v>0</v>
      </c>
      <c r="BW233" s="154">
        <f t="shared" si="2541"/>
        <v>0</v>
      </c>
      <c r="BX233" s="154">
        <f t="shared" ref="BX233:CA233" si="2542">SUM(BX234:BX236)</f>
        <v>0</v>
      </c>
      <c r="BY233" s="154">
        <f t="shared" si="2542"/>
        <v>0</v>
      </c>
      <c r="BZ233" s="154">
        <f t="shared" si="2542"/>
        <v>0</v>
      </c>
      <c r="CA233" s="126">
        <f t="shared" si="2542"/>
        <v>0</v>
      </c>
    </row>
    <row r="234" spans="1:79" ht="14.1" customHeight="1" x14ac:dyDescent="0.2">
      <c r="A234" s="122" t="s">
        <v>185</v>
      </c>
      <c r="B234" s="78"/>
      <c r="C234" s="78"/>
      <c r="D234" s="81" t="s">
        <v>146</v>
      </c>
      <c r="E234" s="79" t="s">
        <v>186</v>
      </c>
      <c r="G234" s="152"/>
      <c r="H234" s="152"/>
      <c r="I234" s="152"/>
      <c r="J234" s="152">
        <f t="shared" ref="J234:J237" si="2543">SUM(G234:I234)</f>
        <v>0</v>
      </c>
      <c r="K234" s="152"/>
      <c r="L234" s="152"/>
      <c r="M234" s="152"/>
      <c r="N234" s="152">
        <f t="shared" ref="N234:N237" si="2544">SUM(K234:M234)</f>
        <v>0</v>
      </c>
      <c r="O234" s="152"/>
      <c r="P234" s="152"/>
      <c r="Q234" s="152"/>
      <c r="R234" s="152">
        <f t="shared" ref="R234:R237" si="2545">SUM(O234:Q234)</f>
        <v>0</v>
      </c>
      <c r="S234" s="152"/>
      <c r="T234" s="152"/>
      <c r="U234" s="152"/>
      <c r="V234" s="152">
        <f t="shared" ref="V234:V237" si="2546">SUM(S234:U234)</f>
        <v>0</v>
      </c>
      <c r="W234" s="152">
        <f>G234-O234+S234+K234</f>
        <v>0</v>
      </c>
      <c r="X234" s="152">
        <f t="shared" ref="X234:X237" si="2547">H234-P234+T234+L234</f>
        <v>0</v>
      </c>
      <c r="Y234" s="152">
        <f t="shared" ref="Y234:Y237" si="2548">I234-Q234+U234+M234</f>
        <v>0</v>
      </c>
      <c r="Z234" s="168">
        <f>SUM(W234:Y234)</f>
        <v>0</v>
      </c>
      <c r="AA234" s="152"/>
      <c r="AB234" s="152"/>
      <c r="AC234" s="152"/>
      <c r="AD234" s="152">
        <f t="shared" ref="AD234:AD237" si="2549">SUM(AA234:AC234)</f>
        <v>0</v>
      </c>
      <c r="AE234" s="152"/>
      <c r="AF234" s="152"/>
      <c r="AG234" s="152"/>
      <c r="AH234" s="152">
        <f t="shared" ref="AH234:AH237" si="2550">SUM(AE234:AG234)</f>
        <v>0</v>
      </c>
      <c r="AI234" s="152"/>
      <c r="AJ234" s="152"/>
      <c r="AK234" s="152"/>
      <c r="AL234" s="152">
        <f t="shared" ref="AL234:AL237" si="2551">SUM(AI234:AK234)</f>
        <v>0</v>
      </c>
      <c r="AM234" s="152"/>
      <c r="AN234" s="152"/>
      <c r="AO234" s="152"/>
      <c r="AP234" s="152">
        <f t="shared" ref="AP234:AP237" si="2552">SUM(AM234:AO234)</f>
        <v>0</v>
      </c>
      <c r="AQ234" s="152">
        <f t="shared" ref="AQ234:AS237" si="2553">AA234+AE234+AI234+AM234</f>
        <v>0</v>
      </c>
      <c r="AR234" s="152">
        <f t="shared" si="2553"/>
        <v>0</v>
      </c>
      <c r="AS234" s="152">
        <f t="shared" si="2553"/>
        <v>0</v>
      </c>
      <c r="AT234" s="168">
        <f>SUM(AQ234:AS234)</f>
        <v>0</v>
      </c>
      <c r="AU234" s="152"/>
      <c r="AV234" s="152"/>
      <c r="AW234" s="152"/>
      <c r="AX234" s="152">
        <f t="shared" ref="AX234:AX237" si="2554">SUM(AU234:AW234)</f>
        <v>0</v>
      </c>
      <c r="AY234" s="152"/>
      <c r="AZ234" s="152"/>
      <c r="BA234" s="152"/>
      <c r="BB234" s="152">
        <f t="shared" ref="BB234:BB237" si="2555">SUM(AY234:BA234)</f>
        <v>0</v>
      </c>
      <c r="BC234" s="152"/>
      <c r="BD234" s="152"/>
      <c r="BE234" s="152"/>
      <c r="BF234" s="152">
        <f t="shared" ref="BF234:BF237" si="2556">SUM(BC234:BE234)</f>
        <v>0</v>
      </c>
      <c r="BG234" s="152"/>
      <c r="BH234" s="152"/>
      <c r="BI234" s="152"/>
      <c r="BJ234" s="152">
        <f t="shared" ref="BJ234:BJ237" si="2557">SUM(BG234:BI234)</f>
        <v>0</v>
      </c>
      <c r="BK234" s="152">
        <f t="shared" ref="BK234:BK237" si="2558">AU234+AY234+BC234+BG234</f>
        <v>0</v>
      </c>
      <c r="BL234" s="152">
        <f t="shared" ref="BL234:BL237" si="2559">AV234+AZ234+BD234+BH234</f>
        <v>0</v>
      </c>
      <c r="BM234" s="152">
        <f t="shared" ref="BM234:BM237" si="2560">AW234+BA234+BE234+BI234</f>
        <v>0</v>
      </c>
      <c r="BN234" s="152">
        <f>SUM(BK234:BM234)</f>
        <v>0</v>
      </c>
      <c r="BO234" s="168"/>
      <c r="BP234" s="152">
        <f t="shared" ref="BP234:BP237" si="2561">W234-AQ234</f>
        <v>0</v>
      </c>
      <c r="BQ234" s="152">
        <f t="shared" ref="BQ234:BQ237" si="2562">X234-AR234</f>
        <v>0</v>
      </c>
      <c r="BR234" s="152">
        <f t="shared" ref="BR234:BR237" si="2563">Y234-AS234</f>
        <v>0</v>
      </c>
      <c r="BS234" s="168">
        <f>SUM(BP234:BR234)</f>
        <v>0</v>
      </c>
      <c r="BT234" s="152"/>
      <c r="BU234" s="152"/>
      <c r="BV234" s="152"/>
      <c r="BW234" s="152">
        <f t="shared" ref="BW234:BW237" si="2564">SUM(BT234:BV234)</f>
        <v>0</v>
      </c>
      <c r="BX234" s="152">
        <f t="shared" ref="BX234:BX237" si="2565">AQ234-BK234-BT234</f>
        <v>0</v>
      </c>
      <c r="BY234" s="152">
        <f t="shared" ref="BY234:BY237" si="2566">AR234-BL234-BU234</f>
        <v>0</v>
      </c>
      <c r="BZ234" s="152">
        <f t="shared" ref="BZ234:BZ237" si="2567">AS234-BM234-BV234</f>
        <v>0</v>
      </c>
      <c r="CA234" s="587">
        <f t="shared" ref="CA234:CA237" si="2568">SUM(BX234:BZ234)</f>
        <v>0</v>
      </c>
    </row>
    <row r="235" spans="1:79" ht="14.1" customHeight="1" x14ac:dyDescent="0.2">
      <c r="A235" s="132"/>
      <c r="B235" s="78"/>
      <c r="C235" s="78"/>
      <c r="D235" s="78"/>
      <c r="E235" s="93" t="s">
        <v>175</v>
      </c>
      <c r="G235" s="152"/>
      <c r="H235" s="152"/>
      <c r="I235" s="152"/>
      <c r="J235" s="152">
        <f t="shared" si="2543"/>
        <v>0</v>
      </c>
      <c r="K235" s="152"/>
      <c r="L235" s="152"/>
      <c r="M235" s="152"/>
      <c r="N235" s="152">
        <f t="shared" si="2544"/>
        <v>0</v>
      </c>
      <c r="O235" s="152"/>
      <c r="P235" s="152"/>
      <c r="Q235" s="152"/>
      <c r="R235" s="152">
        <f t="shared" si="2545"/>
        <v>0</v>
      </c>
      <c r="S235" s="152"/>
      <c r="T235" s="152"/>
      <c r="U235" s="152"/>
      <c r="V235" s="152">
        <f t="shared" si="2546"/>
        <v>0</v>
      </c>
      <c r="W235" s="152">
        <f>G235-O235+S235+K235</f>
        <v>0</v>
      </c>
      <c r="X235" s="152">
        <f t="shared" si="2547"/>
        <v>0</v>
      </c>
      <c r="Y235" s="152">
        <f t="shared" si="2548"/>
        <v>0</v>
      </c>
      <c r="Z235" s="168">
        <f>SUM(W235:Y235)</f>
        <v>0</v>
      </c>
      <c r="AA235" s="152"/>
      <c r="AB235" s="152"/>
      <c r="AC235" s="152"/>
      <c r="AD235" s="152">
        <f t="shared" si="2549"/>
        <v>0</v>
      </c>
      <c r="AE235" s="152"/>
      <c r="AF235" s="152"/>
      <c r="AG235" s="152"/>
      <c r="AH235" s="152">
        <f t="shared" si="2550"/>
        <v>0</v>
      </c>
      <c r="AI235" s="152"/>
      <c r="AJ235" s="152"/>
      <c r="AK235" s="152"/>
      <c r="AL235" s="152">
        <f t="shared" si="2551"/>
        <v>0</v>
      </c>
      <c r="AM235" s="152"/>
      <c r="AN235" s="152"/>
      <c r="AO235" s="152"/>
      <c r="AP235" s="152">
        <f t="shared" si="2552"/>
        <v>0</v>
      </c>
      <c r="AQ235" s="152">
        <f t="shared" si="2553"/>
        <v>0</v>
      </c>
      <c r="AR235" s="152">
        <f t="shared" si="2553"/>
        <v>0</v>
      </c>
      <c r="AS235" s="152">
        <f t="shared" si="2553"/>
        <v>0</v>
      </c>
      <c r="AT235" s="168">
        <f>SUM(AQ235:AS235)</f>
        <v>0</v>
      </c>
      <c r="AU235" s="152"/>
      <c r="AV235" s="152"/>
      <c r="AW235" s="152"/>
      <c r="AX235" s="152">
        <f t="shared" si="2554"/>
        <v>0</v>
      </c>
      <c r="AY235" s="152"/>
      <c r="AZ235" s="152"/>
      <c r="BA235" s="152"/>
      <c r="BB235" s="152">
        <f t="shared" si="2555"/>
        <v>0</v>
      </c>
      <c r="BC235" s="152"/>
      <c r="BD235" s="152"/>
      <c r="BE235" s="152"/>
      <c r="BF235" s="152">
        <f t="shared" si="2556"/>
        <v>0</v>
      </c>
      <c r="BG235" s="152"/>
      <c r="BH235" s="152"/>
      <c r="BI235" s="152"/>
      <c r="BJ235" s="152">
        <f t="shared" si="2557"/>
        <v>0</v>
      </c>
      <c r="BK235" s="152">
        <f t="shared" si="2558"/>
        <v>0</v>
      </c>
      <c r="BL235" s="152">
        <f t="shared" si="2559"/>
        <v>0</v>
      </c>
      <c r="BM235" s="152">
        <f t="shared" si="2560"/>
        <v>0</v>
      </c>
      <c r="BN235" s="152">
        <f>SUM(BK235:BM235)</f>
        <v>0</v>
      </c>
      <c r="BO235" s="168"/>
      <c r="BP235" s="152">
        <f t="shared" si="2561"/>
        <v>0</v>
      </c>
      <c r="BQ235" s="152">
        <f t="shared" si="2562"/>
        <v>0</v>
      </c>
      <c r="BR235" s="152">
        <f t="shared" si="2563"/>
        <v>0</v>
      </c>
      <c r="BS235" s="168">
        <f>SUM(BP235:BR235)</f>
        <v>0</v>
      </c>
      <c r="BT235" s="152"/>
      <c r="BU235" s="152"/>
      <c r="BV235" s="152"/>
      <c r="BW235" s="152">
        <f t="shared" si="2564"/>
        <v>0</v>
      </c>
      <c r="BX235" s="152">
        <f t="shared" si="2565"/>
        <v>0</v>
      </c>
      <c r="BY235" s="152">
        <f t="shared" si="2566"/>
        <v>0</v>
      </c>
      <c r="BZ235" s="152">
        <f t="shared" si="2567"/>
        <v>0</v>
      </c>
      <c r="CA235" s="587">
        <f t="shared" si="2568"/>
        <v>0</v>
      </c>
    </row>
    <row r="236" spans="1:79" ht="14.1" customHeight="1" x14ac:dyDescent="0.2">
      <c r="A236" s="122" t="s">
        <v>187</v>
      </c>
      <c r="B236" s="78" t="s">
        <v>13</v>
      </c>
      <c r="C236" s="78"/>
      <c r="D236" s="81" t="s">
        <v>147</v>
      </c>
      <c r="E236" s="79" t="s">
        <v>188</v>
      </c>
      <c r="G236" s="152"/>
      <c r="H236" s="152"/>
      <c r="I236" s="152"/>
      <c r="J236" s="152">
        <f t="shared" si="2543"/>
        <v>0</v>
      </c>
      <c r="K236" s="152"/>
      <c r="L236" s="152"/>
      <c r="M236" s="152"/>
      <c r="N236" s="152">
        <f t="shared" si="2544"/>
        <v>0</v>
      </c>
      <c r="O236" s="152"/>
      <c r="P236" s="152"/>
      <c r="Q236" s="152"/>
      <c r="R236" s="152">
        <f t="shared" si="2545"/>
        <v>0</v>
      </c>
      <c r="S236" s="152"/>
      <c r="T236" s="152"/>
      <c r="U236" s="152"/>
      <c r="V236" s="152">
        <f t="shared" si="2546"/>
        <v>0</v>
      </c>
      <c r="W236" s="152">
        <f>G236-O236+S236+K236</f>
        <v>0</v>
      </c>
      <c r="X236" s="152">
        <f t="shared" si="2547"/>
        <v>0</v>
      </c>
      <c r="Y236" s="152">
        <f t="shared" si="2548"/>
        <v>0</v>
      </c>
      <c r="Z236" s="168">
        <f>SUM(W236:Y236)</f>
        <v>0</v>
      </c>
      <c r="AA236" s="152"/>
      <c r="AB236" s="152"/>
      <c r="AC236" s="152"/>
      <c r="AD236" s="152">
        <f t="shared" si="2549"/>
        <v>0</v>
      </c>
      <c r="AE236" s="152"/>
      <c r="AF236" s="152"/>
      <c r="AG236" s="152"/>
      <c r="AH236" s="152">
        <f t="shared" si="2550"/>
        <v>0</v>
      </c>
      <c r="AI236" s="152"/>
      <c r="AJ236" s="152"/>
      <c r="AK236" s="152"/>
      <c r="AL236" s="152">
        <f t="shared" si="2551"/>
        <v>0</v>
      </c>
      <c r="AM236" s="152"/>
      <c r="AN236" s="152"/>
      <c r="AO236" s="152"/>
      <c r="AP236" s="152">
        <f t="shared" si="2552"/>
        <v>0</v>
      </c>
      <c r="AQ236" s="152">
        <f t="shared" si="2553"/>
        <v>0</v>
      </c>
      <c r="AR236" s="152">
        <f t="shared" si="2553"/>
        <v>0</v>
      </c>
      <c r="AS236" s="152">
        <f t="shared" si="2553"/>
        <v>0</v>
      </c>
      <c r="AT236" s="168">
        <f>SUM(AQ236:AS236)</f>
        <v>0</v>
      </c>
      <c r="AU236" s="152"/>
      <c r="AV236" s="152"/>
      <c r="AW236" s="152"/>
      <c r="AX236" s="152">
        <f t="shared" si="2554"/>
        <v>0</v>
      </c>
      <c r="AY236" s="152"/>
      <c r="AZ236" s="152"/>
      <c r="BA236" s="152"/>
      <c r="BB236" s="152">
        <f t="shared" si="2555"/>
        <v>0</v>
      </c>
      <c r="BC236" s="152"/>
      <c r="BD236" s="152"/>
      <c r="BE236" s="152"/>
      <c r="BF236" s="152">
        <f t="shared" si="2556"/>
        <v>0</v>
      </c>
      <c r="BG236" s="152"/>
      <c r="BH236" s="152"/>
      <c r="BI236" s="152"/>
      <c r="BJ236" s="152">
        <f t="shared" si="2557"/>
        <v>0</v>
      </c>
      <c r="BK236" s="152">
        <f t="shared" si="2558"/>
        <v>0</v>
      </c>
      <c r="BL236" s="152">
        <f t="shared" si="2559"/>
        <v>0</v>
      </c>
      <c r="BM236" s="152">
        <f t="shared" si="2560"/>
        <v>0</v>
      </c>
      <c r="BN236" s="152">
        <f>SUM(BK236:BM236)</f>
        <v>0</v>
      </c>
      <c r="BO236" s="168"/>
      <c r="BP236" s="152">
        <f t="shared" si="2561"/>
        <v>0</v>
      </c>
      <c r="BQ236" s="152">
        <f t="shared" si="2562"/>
        <v>0</v>
      </c>
      <c r="BR236" s="152">
        <f t="shared" si="2563"/>
        <v>0</v>
      </c>
      <c r="BS236" s="168">
        <f>SUM(BP236:BR236)</f>
        <v>0</v>
      </c>
      <c r="BT236" s="152"/>
      <c r="BU236" s="152"/>
      <c r="BV236" s="152"/>
      <c r="BW236" s="152">
        <f t="shared" si="2564"/>
        <v>0</v>
      </c>
      <c r="BX236" s="152">
        <f t="shared" si="2565"/>
        <v>0</v>
      </c>
      <c r="BY236" s="152">
        <f t="shared" si="2566"/>
        <v>0</v>
      </c>
      <c r="BZ236" s="152">
        <f t="shared" si="2567"/>
        <v>0</v>
      </c>
      <c r="CA236" s="587">
        <f t="shared" si="2568"/>
        <v>0</v>
      </c>
    </row>
    <row r="237" spans="1:79" ht="14.1" customHeight="1" x14ac:dyDescent="0.2">
      <c r="A237" s="122" t="s">
        <v>583</v>
      </c>
      <c r="B237" s="78" t="s">
        <v>144</v>
      </c>
      <c r="C237" s="78"/>
      <c r="D237" s="901" t="s">
        <v>584</v>
      </c>
      <c r="E237" s="902"/>
      <c r="G237" s="152"/>
      <c r="H237" s="152"/>
      <c r="I237" s="152"/>
      <c r="J237" s="152">
        <f t="shared" si="2543"/>
        <v>0</v>
      </c>
      <c r="K237" s="152"/>
      <c r="L237" s="152"/>
      <c r="M237" s="152"/>
      <c r="N237" s="152">
        <f t="shared" si="2544"/>
        <v>0</v>
      </c>
      <c r="O237" s="152"/>
      <c r="P237" s="152"/>
      <c r="Q237" s="152"/>
      <c r="R237" s="152">
        <f t="shared" si="2545"/>
        <v>0</v>
      </c>
      <c r="S237" s="152"/>
      <c r="T237" s="152"/>
      <c r="U237" s="152"/>
      <c r="V237" s="152">
        <f t="shared" si="2546"/>
        <v>0</v>
      </c>
      <c r="W237" s="152">
        <f>G237-O237+S237+K237</f>
        <v>0</v>
      </c>
      <c r="X237" s="152">
        <f t="shared" si="2547"/>
        <v>0</v>
      </c>
      <c r="Y237" s="152">
        <f t="shared" si="2548"/>
        <v>0</v>
      </c>
      <c r="Z237" s="168">
        <f>SUM(W237:Y237)</f>
        <v>0</v>
      </c>
      <c r="AA237" s="152"/>
      <c r="AB237" s="152"/>
      <c r="AC237" s="152"/>
      <c r="AD237" s="152">
        <f t="shared" si="2549"/>
        <v>0</v>
      </c>
      <c r="AE237" s="152"/>
      <c r="AF237" s="152"/>
      <c r="AG237" s="152"/>
      <c r="AH237" s="152">
        <f t="shared" si="2550"/>
        <v>0</v>
      </c>
      <c r="AI237" s="152"/>
      <c r="AJ237" s="152"/>
      <c r="AK237" s="152"/>
      <c r="AL237" s="152">
        <f t="shared" si="2551"/>
        <v>0</v>
      </c>
      <c r="AM237" s="152"/>
      <c r="AN237" s="152"/>
      <c r="AO237" s="152"/>
      <c r="AP237" s="152">
        <f t="shared" si="2552"/>
        <v>0</v>
      </c>
      <c r="AQ237" s="152">
        <f t="shared" si="2553"/>
        <v>0</v>
      </c>
      <c r="AR237" s="152">
        <f t="shared" si="2553"/>
        <v>0</v>
      </c>
      <c r="AS237" s="152">
        <f t="shared" si="2553"/>
        <v>0</v>
      </c>
      <c r="AT237" s="168">
        <f>SUM(AQ237:AS237)</f>
        <v>0</v>
      </c>
      <c r="AU237" s="152"/>
      <c r="AV237" s="152"/>
      <c r="AW237" s="152"/>
      <c r="AX237" s="152">
        <f t="shared" si="2554"/>
        <v>0</v>
      </c>
      <c r="AY237" s="152"/>
      <c r="AZ237" s="152"/>
      <c r="BA237" s="152"/>
      <c r="BB237" s="152">
        <f t="shared" si="2555"/>
        <v>0</v>
      </c>
      <c r="BC237" s="152"/>
      <c r="BD237" s="152"/>
      <c r="BE237" s="152"/>
      <c r="BF237" s="152">
        <f t="shared" si="2556"/>
        <v>0</v>
      </c>
      <c r="BG237" s="152"/>
      <c r="BH237" s="152"/>
      <c r="BI237" s="152"/>
      <c r="BJ237" s="152">
        <f t="shared" si="2557"/>
        <v>0</v>
      </c>
      <c r="BK237" s="152">
        <f t="shared" si="2558"/>
        <v>0</v>
      </c>
      <c r="BL237" s="152">
        <f t="shared" si="2559"/>
        <v>0</v>
      </c>
      <c r="BM237" s="152">
        <f t="shared" si="2560"/>
        <v>0</v>
      </c>
      <c r="BN237" s="152">
        <f>SUM(BK237:BM237)</f>
        <v>0</v>
      </c>
      <c r="BO237" s="168"/>
      <c r="BP237" s="152">
        <f t="shared" si="2561"/>
        <v>0</v>
      </c>
      <c r="BQ237" s="152">
        <f t="shared" si="2562"/>
        <v>0</v>
      </c>
      <c r="BR237" s="152">
        <f t="shared" si="2563"/>
        <v>0</v>
      </c>
      <c r="BS237" s="168">
        <f>SUM(BP237:BR237)</f>
        <v>0</v>
      </c>
      <c r="BT237" s="152"/>
      <c r="BU237" s="152"/>
      <c r="BV237" s="152"/>
      <c r="BW237" s="152">
        <f t="shared" si="2564"/>
        <v>0</v>
      </c>
      <c r="BX237" s="152">
        <f t="shared" si="2565"/>
        <v>0</v>
      </c>
      <c r="BY237" s="152">
        <f t="shared" si="2566"/>
        <v>0</v>
      </c>
      <c r="BZ237" s="152">
        <f t="shared" si="2567"/>
        <v>0</v>
      </c>
      <c r="CA237" s="587">
        <f t="shared" si="2568"/>
        <v>0</v>
      </c>
    </row>
    <row r="238" spans="1:79" ht="14.1" customHeight="1" x14ac:dyDescent="0.2">
      <c r="A238" s="522" t="s">
        <v>189</v>
      </c>
      <c r="B238" s="523" t="s">
        <v>64</v>
      </c>
      <c r="C238" s="561"/>
      <c r="D238" s="563"/>
      <c r="E238" s="562"/>
      <c r="F238" s="525"/>
      <c r="G238" s="530">
        <f>G239</f>
        <v>0</v>
      </c>
      <c r="H238" s="530">
        <f t="shared" ref="H238:I238" si="2569">H239</f>
        <v>0</v>
      </c>
      <c r="I238" s="530">
        <f t="shared" si="2569"/>
        <v>0</v>
      </c>
      <c r="J238" s="530">
        <f t="shared" ref="J238" si="2570">J239</f>
        <v>0</v>
      </c>
      <c r="K238" s="530">
        <f>K239</f>
        <v>0</v>
      </c>
      <c r="L238" s="530">
        <f t="shared" ref="L238" si="2571">L239</f>
        <v>0</v>
      </c>
      <c r="M238" s="530">
        <f t="shared" ref="M238" si="2572">M239</f>
        <v>0</v>
      </c>
      <c r="N238" s="530">
        <f t="shared" ref="N238" si="2573">N239</f>
        <v>0</v>
      </c>
      <c r="O238" s="530">
        <f>O239</f>
        <v>0</v>
      </c>
      <c r="P238" s="530">
        <f t="shared" ref="P238" si="2574">P239</f>
        <v>0</v>
      </c>
      <c r="Q238" s="530">
        <f t="shared" ref="Q238" si="2575">Q239</f>
        <v>0</v>
      </c>
      <c r="R238" s="530">
        <f t="shared" ref="R238" si="2576">R239</f>
        <v>0</v>
      </c>
      <c r="S238" s="530">
        <f>S239</f>
        <v>0</v>
      </c>
      <c r="T238" s="530">
        <f t="shared" ref="T238" si="2577">T239</f>
        <v>0</v>
      </c>
      <c r="U238" s="530">
        <f t="shared" ref="U238" si="2578">U239</f>
        <v>0</v>
      </c>
      <c r="V238" s="530">
        <f t="shared" ref="V238" si="2579">V239</f>
        <v>0</v>
      </c>
      <c r="W238" s="530">
        <f t="shared" ref="W238" si="2580">W239</f>
        <v>0</v>
      </c>
      <c r="X238" s="530">
        <f t="shared" ref="X238" si="2581">X239</f>
        <v>0</v>
      </c>
      <c r="Y238" s="530">
        <f t="shared" ref="Y238" si="2582">Y239</f>
        <v>0</v>
      </c>
      <c r="Z238" s="531">
        <f t="shared" ref="Z238:AD238" si="2583">Z239</f>
        <v>0</v>
      </c>
      <c r="AA238" s="530">
        <f t="shared" si="2583"/>
        <v>0</v>
      </c>
      <c r="AB238" s="530">
        <f t="shared" si="2583"/>
        <v>0</v>
      </c>
      <c r="AC238" s="530">
        <f t="shared" si="2583"/>
        <v>0</v>
      </c>
      <c r="AD238" s="530">
        <f t="shared" si="2583"/>
        <v>0</v>
      </c>
      <c r="AE238" s="530">
        <f>AE239</f>
        <v>0</v>
      </c>
      <c r="AF238" s="530">
        <f t="shared" ref="AF238:AH238" si="2584">AF239</f>
        <v>0</v>
      </c>
      <c r="AG238" s="530">
        <f t="shared" si="2584"/>
        <v>0</v>
      </c>
      <c r="AH238" s="530">
        <f t="shared" si="2584"/>
        <v>0</v>
      </c>
      <c r="AI238" s="530">
        <f>AI239</f>
        <v>0</v>
      </c>
      <c r="AJ238" s="530">
        <f t="shared" ref="AJ238:AL238" si="2585">AJ239</f>
        <v>0</v>
      </c>
      <c r="AK238" s="530">
        <f t="shared" si="2585"/>
        <v>0</v>
      </c>
      <c r="AL238" s="530">
        <f t="shared" si="2585"/>
        <v>0</v>
      </c>
      <c r="AM238" s="530">
        <f>AM239</f>
        <v>0</v>
      </c>
      <c r="AN238" s="530">
        <f t="shared" ref="AN238:AT238" si="2586">AN239</f>
        <v>0</v>
      </c>
      <c r="AO238" s="530">
        <f t="shared" si="2586"/>
        <v>0</v>
      </c>
      <c r="AP238" s="530">
        <f t="shared" si="2586"/>
        <v>0</v>
      </c>
      <c r="AQ238" s="530">
        <f t="shared" si="2586"/>
        <v>0</v>
      </c>
      <c r="AR238" s="530">
        <f t="shared" si="2586"/>
        <v>0</v>
      </c>
      <c r="AS238" s="530">
        <f t="shared" si="2586"/>
        <v>0</v>
      </c>
      <c r="AT238" s="531">
        <f t="shared" si="2586"/>
        <v>0</v>
      </c>
      <c r="AU238" s="530">
        <f>AU239</f>
        <v>0</v>
      </c>
      <c r="AV238" s="530">
        <f t="shared" ref="AV238:AX238" si="2587">AV239</f>
        <v>0</v>
      </c>
      <c r="AW238" s="530">
        <f t="shared" si="2587"/>
        <v>0</v>
      </c>
      <c r="AX238" s="530">
        <f t="shared" si="2587"/>
        <v>0</v>
      </c>
      <c r="AY238" s="530">
        <f>AY239</f>
        <v>0</v>
      </c>
      <c r="AZ238" s="530">
        <f t="shared" ref="AZ238" si="2588">AZ239</f>
        <v>0</v>
      </c>
      <c r="BA238" s="530">
        <f t="shared" ref="BA238" si="2589">BA239</f>
        <v>0</v>
      </c>
      <c r="BB238" s="530">
        <f t="shared" ref="BB238" si="2590">BB239</f>
        <v>0</v>
      </c>
      <c r="BC238" s="530">
        <f>BC239</f>
        <v>0</v>
      </c>
      <c r="BD238" s="530">
        <f t="shared" ref="BD238" si="2591">BD239</f>
        <v>0</v>
      </c>
      <c r="BE238" s="530">
        <f t="shared" ref="BE238" si="2592">BE239</f>
        <v>0</v>
      </c>
      <c r="BF238" s="530">
        <f t="shared" ref="BF238" si="2593">BF239</f>
        <v>0</v>
      </c>
      <c r="BG238" s="530">
        <f>BG239</f>
        <v>0</v>
      </c>
      <c r="BH238" s="530">
        <f t="shared" ref="BH238" si="2594">BH239</f>
        <v>0</v>
      </c>
      <c r="BI238" s="530">
        <f t="shared" ref="BI238" si="2595">BI239</f>
        <v>0</v>
      </c>
      <c r="BJ238" s="530">
        <f t="shared" ref="BJ238" si="2596">BJ239</f>
        <v>0</v>
      </c>
      <c r="BK238" s="530">
        <f t="shared" ref="BK238" si="2597">BK239</f>
        <v>0</v>
      </c>
      <c r="BL238" s="530">
        <f t="shared" ref="BL238" si="2598">BL239</f>
        <v>0</v>
      </c>
      <c r="BM238" s="530">
        <f t="shared" ref="BM238" si="2599">BM239</f>
        <v>0</v>
      </c>
      <c r="BN238" s="530">
        <f t="shared" ref="BN238" si="2600">BN239</f>
        <v>0</v>
      </c>
      <c r="BO238" s="532">
        <f t="shared" ref="BO238" si="2601">BO239</f>
        <v>0</v>
      </c>
      <c r="BP238" s="530">
        <f t="shared" ref="BP238" si="2602">BP239</f>
        <v>0</v>
      </c>
      <c r="BQ238" s="530">
        <f t="shared" ref="BQ238" si="2603">BQ239</f>
        <v>0</v>
      </c>
      <c r="BR238" s="530">
        <f t="shared" ref="BR238" si="2604">BR239</f>
        <v>0</v>
      </c>
      <c r="BS238" s="531">
        <f t="shared" ref="BS238" si="2605">BS239</f>
        <v>0</v>
      </c>
      <c r="BT238" s="530">
        <f>BT239</f>
        <v>0</v>
      </c>
      <c r="BU238" s="530">
        <f t="shared" ref="BU238" si="2606">BU239</f>
        <v>0</v>
      </c>
      <c r="BV238" s="530">
        <f t="shared" ref="BV238" si="2607">BV239</f>
        <v>0</v>
      </c>
      <c r="BW238" s="530">
        <f t="shared" ref="BW238" si="2608">BW239</f>
        <v>0</v>
      </c>
      <c r="BX238" s="530">
        <f t="shared" ref="BX238" si="2609">BX239</f>
        <v>0</v>
      </c>
      <c r="BY238" s="530">
        <f t="shared" ref="BY238" si="2610">BY239</f>
        <v>0</v>
      </c>
      <c r="BZ238" s="530">
        <f t="shared" ref="BZ238" si="2611">BZ239</f>
        <v>0</v>
      </c>
      <c r="CA238" s="533">
        <f t="shared" ref="CA238" si="2612">CA239</f>
        <v>0</v>
      </c>
    </row>
    <row r="239" spans="1:79" ht="14.1" customHeight="1" x14ac:dyDescent="0.2">
      <c r="A239" s="122" t="s">
        <v>190</v>
      </c>
      <c r="B239" s="78" t="s">
        <v>126</v>
      </c>
      <c r="C239" s="69" t="s">
        <v>64</v>
      </c>
      <c r="D239" s="69"/>
      <c r="E239" s="79"/>
      <c r="G239" s="152"/>
      <c r="H239" s="152"/>
      <c r="I239" s="152"/>
      <c r="J239" s="152">
        <f t="shared" ref="J239" si="2613">SUM(G239:I239)</f>
        <v>0</v>
      </c>
      <c r="K239" s="152"/>
      <c r="L239" s="152"/>
      <c r="M239" s="152"/>
      <c r="N239" s="152">
        <f t="shared" ref="N239" si="2614">SUM(K239:M239)</f>
        <v>0</v>
      </c>
      <c r="O239" s="152"/>
      <c r="P239" s="152"/>
      <c r="Q239" s="152"/>
      <c r="R239" s="152">
        <f t="shared" ref="R239" si="2615">SUM(O239:Q239)</f>
        <v>0</v>
      </c>
      <c r="S239" s="152"/>
      <c r="T239" s="152"/>
      <c r="U239" s="152"/>
      <c r="V239" s="152">
        <f t="shared" ref="V239" si="2616">SUM(S239:U239)</f>
        <v>0</v>
      </c>
      <c r="W239" s="152">
        <f>G239-O239+S239+K239</f>
        <v>0</v>
      </c>
      <c r="X239" s="152">
        <f t="shared" ref="X239" si="2617">H239-P239+T239+L239</f>
        <v>0</v>
      </c>
      <c r="Y239" s="152">
        <f t="shared" ref="Y239" si="2618">I239-Q239+U239+M239</f>
        <v>0</v>
      </c>
      <c r="Z239" s="168">
        <f>SUM(W239:Y239)</f>
        <v>0</v>
      </c>
      <c r="AA239" s="152"/>
      <c r="AB239" s="152"/>
      <c r="AC239" s="152"/>
      <c r="AD239" s="152">
        <f t="shared" ref="AD239" si="2619">SUM(AA239:AC239)</f>
        <v>0</v>
      </c>
      <c r="AE239" s="152"/>
      <c r="AF239" s="152"/>
      <c r="AG239" s="152"/>
      <c r="AH239" s="152">
        <f t="shared" ref="AH239" si="2620">SUM(AE239:AG239)</f>
        <v>0</v>
      </c>
      <c r="AI239" s="152"/>
      <c r="AJ239" s="152"/>
      <c r="AK239" s="152"/>
      <c r="AL239" s="152">
        <f t="shared" ref="AL239" si="2621">SUM(AI239:AK239)</f>
        <v>0</v>
      </c>
      <c r="AM239" s="152"/>
      <c r="AN239" s="152"/>
      <c r="AO239" s="152"/>
      <c r="AP239" s="152">
        <f t="shared" ref="AP239" si="2622">SUM(AM239:AO239)</f>
        <v>0</v>
      </c>
      <c r="AQ239" s="152">
        <f t="shared" ref="AQ239:AS239" si="2623">AA239+AE239+AI239+AM239</f>
        <v>0</v>
      </c>
      <c r="AR239" s="152">
        <f t="shared" si="2623"/>
        <v>0</v>
      </c>
      <c r="AS239" s="152">
        <f t="shared" si="2623"/>
        <v>0</v>
      </c>
      <c r="AT239" s="168">
        <f>SUM(AQ239:AS239)</f>
        <v>0</v>
      </c>
      <c r="AU239" s="152"/>
      <c r="AV239" s="152"/>
      <c r="AW239" s="152"/>
      <c r="AX239" s="152">
        <f t="shared" ref="AX239" si="2624">SUM(AU239:AW239)</f>
        <v>0</v>
      </c>
      <c r="AY239" s="152"/>
      <c r="AZ239" s="152"/>
      <c r="BA239" s="152"/>
      <c r="BB239" s="152">
        <f t="shared" ref="BB239" si="2625">SUM(AY239:BA239)</f>
        <v>0</v>
      </c>
      <c r="BC239" s="152"/>
      <c r="BD239" s="152"/>
      <c r="BE239" s="152"/>
      <c r="BF239" s="152">
        <f t="shared" ref="BF239" si="2626">SUM(BC239:BE239)</f>
        <v>0</v>
      </c>
      <c r="BG239" s="152"/>
      <c r="BH239" s="152"/>
      <c r="BI239" s="152"/>
      <c r="BJ239" s="152">
        <f t="shared" ref="BJ239" si="2627">SUM(BG239:BI239)</f>
        <v>0</v>
      </c>
      <c r="BK239" s="152">
        <f t="shared" ref="BK239" si="2628">AU239+AY239+BC239+BG239</f>
        <v>0</v>
      </c>
      <c r="BL239" s="152">
        <f t="shared" ref="BL239" si="2629">AV239+AZ239+BD239+BH239</f>
        <v>0</v>
      </c>
      <c r="BM239" s="152">
        <f t="shared" ref="BM239" si="2630">AW239+BA239+BE239+BI239</f>
        <v>0</v>
      </c>
      <c r="BN239" s="152">
        <f>SUM(BK239:BM239)</f>
        <v>0</v>
      </c>
      <c r="BO239" s="168"/>
      <c r="BP239" s="152">
        <f t="shared" ref="BP239" si="2631">W239-AQ239</f>
        <v>0</v>
      </c>
      <c r="BQ239" s="152">
        <f t="shared" ref="BQ239" si="2632">X239-AR239</f>
        <v>0</v>
      </c>
      <c r="BR239" s="152">
        <f t="shared" ref="BR239" si="2633">Y239-AS239</f>
        <v>0</v>
      </c>
      <c r="BS239" s="168">
        <f>SUM(BP239:BR239)</f>
        <v>0</v>
      </c>
      <c r="BT239" s="152"/>
      <c r="BU239" s="152"/>
      <c r="BV239" s="152"/>
      <c r="BW239" s="152">
        <f t="shared" ref="BW239" si="2634">SUM(BT239:BV239)</f>
        <v>0</v>
      </c>
      <c r="BX239" s="152">
        <f t="shared" ref="BX239" si="2635">AQ239-BK239-BT239</f>
        <v>0</v>
      </c>
      <c r="BY239" s="152">
        <f t="shared" ref="BY239" si="2636">AR239-BL239-BU239</f>
        <v>0</v>
      </c>
      <c r="BZ239" s="152">
        <f t="shared" ref="BZ239" si="2637">AS239-BM239-BV239</f>
        <v>0</v>
      </c>
      <c r="CA239" s="587">
        <f t="shared" ref="CA239" si="2638">SUM(BX239:BZ239)</f>
        <v>0</v>
      </c>
    </row>
    <row r="240" spans="1:79" ht="14.1" customHeight="1" x14ac:dyDescent="0.2">
      <c r="A240" s="522" t="s">
        <v>191</v>
      </c>
      <c r="B240" s="560" t="s">
        <v>585</v>
      </c>
      <c r="C240" s="560"/>
      <c r="D240" s="560"/>
      <c r="E240" s="562"/>
      <c r="F240" s="525"/>
      <c r="G240" s="530">
        <f>G241</f>
        <v>0</v>
      </c>
      <c r="H240" s="530">
        <f t="shared" ref="H240:I240" si="2639">H241</f>
        <v>0</v>
      </c>
      <c r="I240" s="530">
        <f t="shared" si="2639"/>
        <v>0</v>
      </c>
      <c r="J240" s="530">
        <f t="shared" ref="J240" si="2640">J241</f>
        <v>0</v>
      </c>
      <c r="K240" s="530">
        <f>K241</f>
        <v>0</v>
      </c>
      <c r="L240" s="530">
        <f t="shared" ref="L240" si="2641">L241</f>
        <v>0</v>
      </c>
      <c r="M240" s="530">
        <f t="shared" ref="M240" si="2642">M241</f>
        <v>0</v>
      </c>
      <c r="N240" s="530">
        <f t="shared" ref="N240" si="2643">N241</f>
        <v>0</v>
      </c>
      <c r="O240" s="530">
        <f>O241</f>
        <v>0</v>
      </c>
      <c r="P240" s="530">
        <f t="shared" ref="P240" si="2644">P241</f>
        <v>0</v>
      </c>
      <c r="Q240" s="530">
        <f t="shared" ref="Q240" si="2645">Q241</f>
        <v>0</v>
      </c>
      <c r="R240" s="530">
        <f t="shared" ref="R240" si="2646">R241</f>
        <v>0</v>
      </c>
      <c r="S240" s="530">
        <f>S241</f>
        <v>0</v>
      </c>
      <c r="T240" s="530">
        <f t="shared" ref="T240" si="2647">T241</f>
        <v>0</v>
      </c>
      <c r="U240" s="530">
        <f t="shared" ref="U240" si="2648">U241</f>
        <v>0</v>
      </c>
      <c r="V240" s="530">
        <f t="shared" ref="V240" si="2649">V241</f>
        <v>0</v>
      </c>
      <c r="W240" s="530">
        <f t="shared" ref="W240" si="2650">W241</f>
        <v>0</v>
      </c>
      <c r="X240" s="530">
        <f t="shared" ref="X240" si="2651">X241</f>
        <v>0</v>
      </c>
      <c r="Y240" s="530">
        <f t="shared" ref="Y240" si="2652">Y241</f>
        <v>0</v>
      </c>
      <c r="Z240" s="531">
        <f t="shared" ref="Z240:AD240" si="2653">Z241</f>
        <v>0</v>
      </c>
      <c r="AA240" s="530">
        <f t="shared" si="2653"/>
        <v>0</v>
      </c>
      <c r="AB240" s="530">
        <f t="shared" si="2653"/>
        <v>0</v>
      </c>
      <c r="AC240" s="530">
        <f t="shared" si="2653"/>
        <v>0</v>
      </c>
      <c r="AD240" s="530">
        <f t="shared" si="2653"/>
        <v>0</v>
      </c>
      <c r="AE240" s="530">
        <f>AE241</f>
        <v>0</v>
      </c>
      <c r="AF240" s="530">
        <f t="shared" ref="AF240:AH240" si="2654">AF241</f>
        <v>0</v>
      </c>
      <c r="AG240" s="530">
        <f t="shared" si="2654"/>
        <v>0</v>
      </c>
      <c r="AH240" s="530">
        <f t="shared" si="2654"/>
        <v>0</v>
      </c>
      <c r="AI240" s="530">
        <f>AI241</f>
        <v>0</v>
      </c>
      <c r="AJ240" s="530">
        <f t="shared" ref="AJ240:AL240" si="2655">AJ241</f>
        <v>0</v>
      </c>
      <c r="AK240" s="530">
        <f t="shared" si="2655"/>
        <v>0</v>
      </c>
      <c r="AL240" s="530">
        <f t="shared" si="2655"/>
        <v>0</v>
      </c>
      <c r="AM240" s="530">
        <f>AM241</f>
        <v>0</v>
      </c>
      <c r="AN240" s="530">
        <f t="shared" ref="AN240:AT240" si="2656">AN241</f>
        <v>0</v>
      </c>
      <c r="AO240" s="530">
        <f t="shared" si="2656"/>
        <v>0</v>
      </c>
      <c r="AP240" s="530">
        <f t="shared" si="2656"/>
        <v>0</v>
      </c>
      <c r="AQ240" s="530">
        <f t="shared" si="2656"/>
        <v>0</v>
      </c>
      <c r="AR240" s="530">
        <f t="shared" si="2656"/>
        <v>0</v>
      </c>
      <c r="AS240" s="530">
        <f t="shared" si="2656"/>
        <v>0</v>
      </c>
      <c r="AT240" s="531">
        <f t="shared" si="2656"/>
        <v>0</v>
      </c>
      <c r="AU240" s="530">
        <f>AU241</f>
        <v>0</v>
      </c>
      <c r="AV240" s="530">
        <f t="shared" ref="AV240:AX240" si="2657">AV241</f>
        <v>0</v>
      </c>
      <c r="AW240" s="530">
        <f t="shared" si="2657"/>
        <v>0</v>
      </c>
      <c r="AX240" s="530">
        <f t="shared" si="2657"/>
        <v>0</v>
      </c>
      <c r="AY240" s="530">
        <f>AY241</f>
        <v>0</v>
      </c>
      <c r="AZ240" s="530">
        <f t="shared" ref="AZ240" si="2658">AZ241</f>
        <v>0</v>
      </c>
      <c r="BA240" s="530">
        <f t="shared" ref="BA240" si="2659">BA241</f>
        <v>0</v>
      </c>
      <c r="BB240" s="530">
        <f t="shared" ref="BB240" si="2660">BB241</f>
        <v>0</v>
      </c>
      <c r="BC240" s="530">
        <f>BC241</f>
        <v>0</v>
      </c>
      <c r="BD240" s="530">
        <f t="shared" ref="BD240" si="2661">BD241</f>
        <v>0</v>
      </c>
      <c r="BE240" s="530">
        <f t="shared" ref="BE240" si="2662">BE241</f>
        <v>0</v>
      </c>
      <c r="BF240" s="530">
        <f t="shared" ref="BF240" si="2663">BF241</f>
        <v>0</v>
      </c>
      <c r="BG240" s="530">
        <f>BG241</f>
        <v>0</v>
      </c>
      <c r="BH240" s="530">
        <f t="shared" ref="BH240" si="2664">BH241</f>
        <v>0</v>
      </c>
      <c r="BI240" s="530">
        <f t="shared" ref="BI240" si="2665">BI241</f>
        <v>0</v>
      </c>
      <c r="BJ240" s="530">
        <f t="shared" ref="BJ240" si="2666">BJ241</f>
        <v>0</v>
      </c>
      <c r="BK240" s="530">
        <f t="shared" ref="BK240" si="2667">BK241</f>
        <v>0</v>
      </c>
      <c r="BL240" s="530">
        <f t="shared" ref="BL240" si="2668">BL241</f>
        <v>0</v>
      </c>
      <c r="BM240" s="530">
        <f t="shared" ref="BM240" si="2669">BM241</f>
        <v>0</v>
      </c>
      <c r="BN240" s="530">
        <f t="shared" ref="BN240" si="2670">BN241</f>
        <v>0</v>
      </c>
      <c r="BO240" s="532">
        <f t="shared" ref="BO240" si="2671">BO241</f>
        <v>0</v>
      </c>
      <c r="BP240" s="530">
        <f t="shared" ref="BP240" si="2672">BP241</f>
        <v>0</v>
      </c>
      <c r="BQ240" s="530">
        <f t="shared" ref="BQ240" si="2673">BQ241</f>
        <v>0</v>
      </c>
      <c r="BR240" s="530">
        <f t="shared" ref="BR240" si="2674">BR241</f>
        <v>0</v>
      </c>
      <c r="BS240" s="531">
        <f t="shared" ref="BS240" si="2675">BS241</f>
        <v>0</v>
      </c>
      <c r="BT240" s="530">
        <f>BT241</f>
        <v>0</v>
      </c>
      <c r="BU240" s="530">
        <f t="shared" ref="BU240" si="2676">BU241</f>
        <v>0</v>
      </c>
      <c r="BV240" s="530">
        <f t="shared" ref="BV240" si="2677">BV241</f>
        <v>0</v>
      </c>
      <c r="BW240" s="530">
        <f t="shared" ref="BW240" si="2678">BW241</f>
        <v>0</v>
      </c>
      <c r="BX240" s="530">
        <f t="shared" ref="BX240" si="2679">BX241</f>
        <v>0</v>
      </c>
      <c r="BY240" s="530">
        <f t="shared" ref="BY240" si="2680">BY241</f>
        <v>0</v>
      </c>
      <c r="BZ240" s="530">
        <f t="shared" ref="BZ240" si="2681">BZ241</f>
        <v>0</v>
      </c>
      <c r="CA240" s="533">
        <f t="shared" ref="CA240" si="2682">CA241</f>
        <v>0</v>
      </c>
    </row>
    <row r="241" spans="1:79" ht="14.1" customHeight="1" x14ac:dyDescent="0.2">
      <c r="A241" s="122" t="s">
        <v>185</v>
      </c>
      <c r="B241" s="78" t="s">
        <v>126</v>
      </c>
      <c r="C241" s="69" t="s">
        <v>192</v>
      </c>
      <c r="D241" s="565"/>
      <c r="E241" s="86"/>
      <c r="G241" s="152"/>
      <c r="H241" s="152"/>
      <c r="I241" s="152"/>
      <c r="J241" s="152">
        <f t="shared" ref="J241" si="2683">SUM(G241:I241)</f>
        <v>0</v>
      </c>
      <c r="K241" s="152"/>
      <c r="L241" s="152"/>
      <c r="M241" s="152"/>
      <c r="N241" s="152">
        <f t="shared" ref="N241" si="2684">SUM(K241:M241)</f>
        <v>0</v>
      </c>
      <c r="O241" s="152"/>
      <c r="P241" s="152"/>
      <c r="Q241" s="152"/>
      <c r="R241" s="152">
        <f t="shared" ref="R241" si="2685">SUM(O241:Q241)</f>
        <v>0</v>
      </c>
      <c r="S241" s="152"/>
      <c r="T241" s="152"/>
      <c r="U241" s="152"/>
      <c r="V241" s="152">
        <f t="shared" ref="V241" si="2686">SUM(S241:U241)</f>
        <v>0</v>
      </c>
      <c r="W241" s="152">
        <f>G241-O241+S241+K241</f>
        <v>0</v>
      </c>
      <c r="X241" s="152">
        <f t="shared" ref="X241" si="2687">H241-P241+T241+L241</f>
        <v>0</v>
      </c>
      <c r="Y241" s="152">
        <f t="shared" ref="Y241" si="2688">I241-Q241+U241+M241</f>
        <v>0</v>
      </c>
      <c r="Z241" s="168">
        <f>SUM(W241:Y241)</f>
        <v>0</v>
      </c>
      <c r="AA241" s="152"/>
      <c r="AB241" s="152"/>
      <c r="AC241" s="152"/>
      <c r="AD241" s="152">
        <f t="shared" ref="AD241" si="2689">SUM(AA241:AC241)</f>
        <v>0</v>
      </c>
      <c r="AE241" s="152"/>
      <c r="AF241" s="152"/>
      <c r="AG241" s="152"/>
      <c r="AH241" s="152">
        <f t="shared" ref="AH241" si="2690">SUM(AE241:AG241)</f>
        <v>0</v>
      </c>
      <c r="AI241" s="152"/>
      <c r="AJ241" s="152"/>
      <c r="AK241" s="152"/>
      <c r="AL241" s="152">
        <f t="shared" ref="AL241" si="2691">SUM(AI241:AK241)</f>
        <v>0</v>
      </c>
      <c r="AM241" s="152"/>
      <c r="AN241" s="152"/>
      <c r="AO241" s="152"/>
      <c r="AP241" s="152">
        <f t="shared" ref="AP241" si="2692">SUM(AM241:AO241)</f>
        <v>0</v>
      </c>
      <c r="AQ241" s="152">
        <f t="shared" ref="AQ241:AS241" si="2693">AA241+AE241+AI241+AM241</f>
        <v>0</v>
      </c>
      <c r="AR241" s="152">
        <f t="shared" si="2693"/>
        <v>0</v>
      </c>
      <c r="AS241" s="152">
        <f t="shared" si="2693"/>
        <v>0</v>
      </c>
      <c r="AT241" s="168">
        <f>SUM(AQ241:AS241)</f>
        <v>0</v>
      </c>
      <c r="AU241" s="152"/>
      <c r="AV241" s="152"/>
      <c r="AW241" s="152"/>
      <c r="AX241" s="152">
        <f t="shared" ref="AX241" si="2694">SUM(AU241:AW241)</f>
        <v>0</v>
      </c>
      <c r="AY241" s="152"/>
      <c r="AZ241" s="152"/>
      <c r="BA241" s="152"/>
      <c r="BB241" s="152">
        <f t="shared" ref="BB241" si="2695">SUM(AY241:BA241)</f>
        <v>0</v>
      </c>
      <c r="BC241" s="152"/>
      <c r="BD241" s="152"/>
      <c r="BE241" s="152"/>
      <c r="BF241" s="152">
        <f t="shared" ref="BF241" si="2696">SUM(BC241:BE241)</f>
        <v>0</v>
      </c>
      <c r="BG241" s="152"/>
      <c r="BH241" s="152"/>
      <c r="BI241" s="152"/>
      <c r="BJ241" s="152">
        <f t="shared" ref="BJ241" si="2697">SUM(BG241:BI241)</f>
        <v>0</v>
      </c>
      <c r="BK241" s="152">
        <f t="shared" ref="BK241" si="2698">AU241+AY241+BC241+BG241</f>
        <v>0</v>
      </c>
      <c r="BL241" s="152">
        <f t="shared" ref="BL241" si="2699">AV241+AZ241+BD241+BH241</f>
        <v>0</v>
      </c>
      <c r="BM241" s="152">
        <f t="shared" ref="BM241" si="2700">AW241+BA241+BE241+BI241</f>
        <v>0</v>
      </c>
      <c r="BN241" s="152">
        <f>SUM(BK241:BM241)</f>
        <v>0</v>
      </c>
      <c r="BO241" s="168"/>
      <c r="BP241" s="152">
        <f t="shared" ref="BP241" si="2701">W241-AQ241</f>
        <v>0</v>
      </c>
      <c r="BQ241" s="152">
        <f t="shared" ref="BQ241" si="2702">X241-AR241</f>
        <v>0</v>
      </c>
      <c r="BR241" s="152">
        <f t="shared" ref="BR241" si="2703">Y241-AS241</f>
        <v>0</v>
      </c>
      <c r="BS241" s="168">
        <f>SUM(BP241:BR241)</f>
        <v>0</v>
      </c>
      <c r="BT241" s="152"/>
      <c r="BU241" s="152"/>
      <c r="BV241" s="152"/>
      <c r="BW241" s="152">
        <f t="shared" ref="BW241" si="2704">SUM(BT241:BV241)</f>
        <v>0</v>
      </c>
      <c r="BX241" s="152">
        <f t="shared" ref="BX241" si="2705">AQ241-BK241-BT241</f>
        <v>0</v>
      </c>
      <c r="BY241" s="152">
        <f t="shared" ref="BY241" si="2706">AR241-BL241-BU241</f>
        <v>0</v>
      </c>
      <c r="BZ241" s="152">
        <f t="shared" ref="BZ241" si="2707">AS241-BM241-BV241</f>
        <v>0</v>
      </c>
      <c r="CA241" s="587">
        <f t="shared" ref="CA241" si="2708">SUM(BX241:BZ241)</f>
        <v>0</v>
      </c>
    </row>
    <row r="242" spans="1:79" ht="14.1" customHeight="1" x14ac:dyDescent="0.2">
      <c r="A242" s="542" t="s">
        <v>193</v>
      </c>
      <c r="B242" s="549" t="s">
        <v>194</v>
      </c>
      <c r="C242" s="549"/>
      <c r="D242" s="549"/>
      <c r="E242" s="543"/>
      <c r="F242" s="537"/>
      <c r="G242" s="538">
        <f>G243+G271+G281+G288+G294</f>
        <v>0</v>
      </c>
      <c r="H242" s="538">
        <f t="shared" ref="H242:I242" si="2709">H243+H271+H281+H288+H294</f>
        <v>182937.25999999998</v>
      </c>
      <c r="I242" s="538">
        <f t="shared" si="2709"/>
        <v>0</v>
      </c>
      <c r="J242" s="538">
        <f t="shared" ref="J242" si="2710">J243+J271+J281+J288+J294</f>
        <v>182937.25999999998</v>
      </c>
      <c r="K242" s="538">
        <f>K243+K271+K281+K288+K294</f>
        <v>0</v>
      </c>
      <c r="L242" s="538">
        <f t="shared" ref="L242" si="2711">L243+L271+L281+L288+L294</f>
        <v>0</v>
      </c>
      <c r="M242" s="538">
        <f t="shared" ref="M242" si="2712">M243+M271+M281+M288+M294</f>
        <v>0</v>
      </c>
      <c r="N242" s="538">
        <f t="shared" ref="N242" si="2713">N243+N271+N281+N288+N294</f>
        <v>0</v>
      </c>
      <c r="O242" s="538">
        <f>O243+O271+O281+O288+O294</f>
        <v>0</v>
      </c>
      <c r="P242" s="538">
        <f t="shared" ref="P242" si="2714">P243+P271+P281+P288+P294</f>
        <v>0</v>
      </c>
      <c r="Q242" s="538">
        <f t="shared" ref="Q242" si="2715">Q243+Q271+Q281+Q288+Q294</f>
        <v>0</v>
      </c>
      <c r="R242" s="538">
        <f t="shared" ref="R242" si="2716">R243+R271+R281+R288+R294</f>
        <v>0</v>
      </c>
      <c r="S242" s="538">
        <f>S243+S271+S281+S288+S294</f>
        <v>0</v>
      </c>
      <c r="T242" s="538">
        <f t="shared" ref="T242" si="2717">T243+T271+T281+T288+T294</f>
        <v>0</v>
      </c>
      <c r="U242" s="538">
        <f t="shared" ref="U242" si="2718">U243+U271+U281+U288+U294</f>
        <v>0</v>
      </c>
      <c r="V242" s="538">
        <f t="shared" ref="V242" si="2719">V243+V271+V281+V288+V294</f>
        <v>0</v>
      </c>
      <c r="W242" s="538">
        <f t="shared" ref="W242" si="2720">W243+W271+W281+W288+W294</f>
        <v>0</v>
      </c>
      <c r="X242" s="538">
        <f t="shared" ref="X242" si="2721">X243+X271+X281+X288+X294</f>
        <v>182937.25999999998</v>
      </c>
      <c r="Y242" s="538">
        <f t="shared" ref="Y242" si="2722">Y243+Y271+Y281+Y288+Y294</f>
        <v>0</v>
      </c>
      <c r="Z242" s="539">
        <f t="shared" ref="Z242:AD242" si="2723">Z243+Z271+Z281+Z288+Z294</f>
        <v>182937.25999999998</v>
      </c>
      <c r="AA242" s="538">
        <f t="shared" si="2723"/>
        <v>0</v>
      </c>
      <c r="AB242" s="538">
        <f t="shared" si="2723"/>
        <v>0</v>
      </c>
      <c r="AC242" s="538">
        <f t="shared" si="2723"/>
        <v>0</v>
      </c>
      <c r="AD242" s="538">
        <f t="shared" si="2723"/>
        <v>0</v>
      </c>
      <c r="AE242" s="538">
        <f>AE243+AE271+AE281+AE288+AE294</f>
        <v>0</v>
      </c>
      <c r="AF242" s="538">
        <f t="shared" ref="AF242:AH242" si="2724">AF243+AF271+AF281+AF288+AF294</f>
        <v>65016.09</v>
      </c>
      <c r="AG242" s="538">
        <f t="shared" si="2724"/>
        <v>0</v>
      </c>
      <c r="AH242" s="538">
        <f t="shared" si="2724"/>
        <v>65016.09</v>
      </c>
      <c r="AI242" s="538">
        <f>AI243+AI271+AI281+AI288+AI294</f>
        <v>0</v>
      </c>
      <c r="AJ242" s="538">
        <f t="shared" ref="AJ242:AL242" si="2725">AJ243+AJ271+AJ281+AJ288+AJ294</f>
        <v>49350.459999999992</v>
      </c>
      <c r="AK242" s="538">
        <f t="shared" si="2725"/>
        <v>0</v>
      </c>
      <c r="AL242" s="538">
        <f t="shared" si="2725"/>
        <v>49350.459999999992</v>
      </c>
      <c r="AM242" s="538">
        <f>AM243+AM271+AM281+AM288+AM294</f>
        <v>0</v>
      </c>
      <c r="AN242" s="538">
        <f t="shared" ref="AN242:AT242" si="2726">AN243+AN271+AN281+AN288+AN294</f>
        <v>53570.71</v>
      </c>
      <c r="AO242" s="538">
        <f t="shared" si="2726"/>
        <v>0</v>
      </c>
      <c r="AP242" s="538">
        <f t="shared" si="2726"/>
        <v>53570.71</v>
      </c>
      <c r="AQ242" s="538">
        <f t="shared" si="2726"/>
        <v>0</v>
      </c>
      <c r="AR242" s="538">
        <f t="shared" si="2726"/>
        <v>167937.25999999998</v>
      </c>
      <c r="AS242" s="538">
        <f t="shared" si="2726"/>
        <v>0</v>
      </c>
      <c r="AT242" s="539">
        <f t="shared" si="2726"/>
        <v>167937.25999999998</v>
      </c>
      <c r="AU242" s="538">
        <f>AU243+AU271+AU281+AU288+AU294</f>
        <v>0</v>
      </c>
      <c r="AV242" s="538">
        <f t="shared" ref="AV242:AX242" si="2727">AV243+AV271+AV281+AV288+AV294</f>
        <v>0</v>
      </c>
      <c r="AW242" s="538">
        <f t="shared" si="2727"/>
        <v>0</v>
      </c>
      <c r="AX242" s="538">
        <f t="shared" si="2727"/>
        <v>0</v>
      </c>
      <c r="AY242" s="538">
        <f>AY243+AY271+AY281+AY288+AY294</f>
        <v>0</v>
      </c>
      <c r="AZ242" s="538">
        <f t="shared" ref="AZ242" si="2728">AZ243+AZ271+AZ281+AZ288+AZ294</f>
        <v>65016.09</v>
      </c>
      <c r="BA242" s="538">
        <f t="shared" ref="BA242" si="2729">BA243+BA271+BA281+BA288+BA294</f>
        <v>0</v>
      </c>
      <c r="BB242" s="538">
        <f t="shared" ref="BB242" si="2730">BB243+BB271+BB281+BB288+BB294</f>
        <v>65016.09</v>
      </c>
      <c r="BC242" s="538">
        <f>BC243+BC271+BC281+BC288+BC294</f>
        <v>0</v>
      </c>
      <c r="BD242" s="538">
        <f t="shared" ref="BD242" si="2731">BD243+BD271+BD281+BD288+BD294</f>
        <v>49350.459999999992</v>
      </c>
      <c r="BE242" s="538">
        <f t="shared" ref="BE242" si="2732">BE243+BE271+BE281+BE288+BE294</f>
        <v>0</v>
      </c>
      <c r="BF242" s="538">
        <f t="shared" ref="BF242" si="2733">BF243+BF271+BF281+BF288+BF294</f>
        <v>49350.459999999992</v>
      </c>
      <c r="BG242" s="538">
        <f>BG243+BG271+BG281+BG288+BG294</f>
        <v>0</v>
      </c>
      <c r="BH242" s="538">
        <f t="shared" ref="BH242" si="2734">BH243+BH271+BH281+BH288+BH294</f>
        <v>53570.71</v>
      </c>
      <c r="BI242" s="538">
        <f t="shared" ref="BI242" si="2735">BI243+BI271+BI281+BI288+BI294</f>
        <v>0</v>
      </c>
      <c r="BJ242" s="538">
        <f t="shared" ref="BJ242" si="2736">BJ243+BJ271+BJ281+BJ288+BJ294</f>
        <v>53570.71</v>
      </c>
      <c r="BK242" s="538">
        <f t="shared" ref="BK242" si="2737">BK243+BK271+BK281+BK288+BK294</f>
        <v>0</v>
      </c>
      <c r="BL242" s="538">
        <f t="shared" ref="BL242" si="2738">BL243+BL271+BL281+BL288+BL294</f>
        <v>167937.25999999998</v>
      </c>
      <c r="BM242" s="538">
        <f t="shared" ref="BM242" si="2739">BM243+BM271+BM281+BM288+BM294</f>
        <v>0</v>
      </c>
      <c r="BN242" s="538">
        <f t="shared" ref="BN242" si="2740">BN243+BN271+BN281+BN288+BN294</f>
        <v>167937.25999999998</v>
      </c>
      <c r="BO242" s="540">
        <f t="shared" ref="BO242" si="2741">BO243+BO271+BO281+BO288+BO294</f>
        <v>0</v>
      </c>
      <c r="BP242" s="538">
        <f t="shared" ref="BP242" si="2742">BP243+BP271+BP281+BP288+BP294</f>
        <v>0</v>
      </c>
      <c r="BQ242" s="538">
        <f t="shared" ref="BQ242" si="2743">BQ243+BQ271+BQ281+BQ288+BQ294</f>
        <v>15000</v>
      </c>
      <c r="BR242" s="538">
        <f t="shared" ref="BR242" si="2744">BR243+BR271+BR281+BR288+BR294</f>
        <v>0</v>
      </c>
      <c r="BS242" s="539">
        <f t="shared" ref="BS242" si="2745">BS243+BS271+BS281+BS288+BS294</f>
        <v>15000</v>
      </c>
      <c r="BT242" s="538">
        <f>BT243+BT271+BT281+BT288+BT294</f>
        <v>0</v>
      </c>
      <c r="BU242" s="538">
        <f t="shared" ref="BU242" si="2746">BU243+BU271+BU281+BU288+BU294</f>
        <v>0</v>
      </c>
      <c r="BV242" s="538">
        <f t="shared" ref="BV242" si="2747">BV243+BV271+BV281+BV288+BV294</f>
        <v>0</v>
      </c>
      <c r="BW242" s="538">
        <f t="shared" ref="BW242" si="2748">BW243+BW271+BW281+BW288+BW294</f>
        <v>0</v>
      </c>
      <c r="BX242" s="538">
        <f t="shared" ref="BX242" si="2749">BX243+BX271+BX281+BX288+BX294</f>
        <v>0</v>
      </c>
      <c r="BY242" s="538">
        <f t="shared" ref="BY242" si="2750">BY243+BY271+BY281+BY288+BY294</f>
        <v>0</v>
      </c>
      <c r="BZ242" s="538">
        <f t="shared" ref="BZ242" si="2751">BZ243+BZ271+BZ281+BZ288+BZ294</f>
        <v>0</v>
      </c>
      <c r="CA242" s="541">
        <f t="shared" ref="CA242" si="2752">CA243+CA271+CA281+CA288+CA294</f>
        <v>0</v>
      </c>
    </row>
    <row r="243" spans="1:79" ht="14.1" customHeight="1" x14ac:dyDescent="0.2">
      <c r="A243" s="559" t="s">
        <v>195</v>
      </c>
      <c r="B243" s="560" t="s">
        <v>210</v>
      </c>
      <c r="C243" s="560"/>
      <c r="D243" s="561"/>
      <c r="E243" s="524"/>
      <c r="F243" s="525"/>
      <c r="G243" s="530">
        <f>G244+G263</f>
        <v>0</v>
      </c>
      <c r="H243" s="530">
        <f t="shared" ref="H243:I243" si="2753">H244+H263</f>
        <v>125860.38999999998</v>
      </c>
      <c r="I243" s="530">
        <f t="shared" si="2753"/>
        <v>0</v>
      </c>
      <c r="J243" s="530">
        <f t="shared" ref="J243" si="2754">J244+J263</f>
        <v>125860.38999999998</v>
      </c>
      <c r="K243" s="530">
        <f>K244+K263</f>
        <v>0</v>
      </c>
      <c r="L243" s="530">
        <f t="shared" ref="L243" si="2755">L244+L263</f>
        <v>0</v>
      </c>
      <c r="M243" s="530">
        <f t="shared" ref="M243" si="2756">M244+M263</f>
        <v>0</v>
      </c>
      <c r="N243" s="530">
        <f t="shared" ref="N243" si="2757">N244+N263</f>
        <v>0</v>
      </c>
      <c r="O243" s="530">
        <f>O244+O263</f>
        <v>0</v>
      </c>
      <c r="P243" s="530">
        <f t="shared" ref="P243" si="2758">P244+P263</f>
        <v>0</v>
      </c>
      <c r="Q243" s="530">
        <f t="shared" ref="Q243" si="2759">Q244+Q263</f>
        <v>0</v>
      </c>
      <c r="R243" s="530">
        <f t="shared" ref="R243" si="2760">R244+R263</f>
        <v>0</v>
      </c>
      <c r="S243" s="530">
        <f>S244+S263</f>
        <v>0</v>
      </c>
      <c r="T243" s="530">
        <f t="shared" ref="T243" si="2761">T244+T263</f>
        <v>0</v>
      </c>
      <c r="U243" s="530">
        <f t="shared" ref="U243" si="2762">U244+U263</f>
        <v>0</v>
      </c>
      <c r="V243" s="530">
        <f t="shared" ref="V243" si="2763">V244+V263</f>
        <v>0</v>
      </c>
      <c r="W243" s="530">
        <f t="shared" ref="W243" si="2764">W244+W263</f>
        <v>0</v>
      </c>
      <c r="X243" s="530">
        <f t="shared" ref="X243" si="2765">X244+X263</f>
        <v>125860.38999999998</v>
      </c>
      <c r="Y243" s="530">
        <f t="shared" ref="Y243" si="2766">Y244+Y263</f>
        <v>0</v>
      </c>
      <c r="Z243" s="531">
        <f t="shared" ref="Z243:AD243" si="2767">Z244+Z263</f>
        <v>125860.38999999998</v>
      </c>
      <c r="AA243" s="530">
        <f t="shared" si="2767"/>
        <v>0</v>
      </c>
      <c r="AB243" s="530">
        <f t="shared" si="2767"/>
        <v>0</v>
      </c>
      <c r="AC243" s="530">
        <f t="shared" si="2767"/>
        <v>0</v>
      </c>
      <c r="AD243" s="530">
        <f t="shared" si="2767"/>
        <v>0</v>
      </c>
      <c r="AE243" s="530">
        <f>AE244+AE263</f>
        <v>0</v>
      </c>
      <c r="AF243" s="530">
        <f t="shared" ref="AF243:AH243" si="2768">AF244+AF263</f>
        <v>25016.09</v>
      </c>
      <c r="AG243" s="530">
        <f t="shared" si="2768"/>
        <v>0</v>
      </c>
      <c r="AH243" s="530">
        <f t="shared" si="2768"/>
        <v>25016.09</v>
      </c>
      <c r="AI243" s="530">
        <f>AI244+AI263</f>
        <v>0</v>
      </c>
      <c r="AJ243" s="530">
        <f t="shared" ref="AJ243:AL243" si="2769">AJ244+AJ263</f>
        <v>41019.839999999997</v>
      </c>
      <c r="AK243" s="530">
        <f t="shared" si="2769"/>
        <v>0</v>
      </c>
      <c r="AL243" s="530">
        <f t="shared" si="2769"/>
        <v>41019.839999999997</v>
      </c>
      <c r="AM243" s="530">
        <f>AM244+AM263</f>
        <v>0</v>
      </c>
      <c r="AN243" s="530">
        <f t="shared" ref="AN243:AT243" si="2770">AN244+AN263</f>
        <v>44824.46</v>
      </c>
      <c r="AO243" s="530">
        <f t="shared" si="2770"/>
        <v>0</v>
      </c>
      <c r="AP243" s="530">
        <f t="shared" si="2770"/>
        <v>44824.46</v>
      </c>
      <c r="AQ243" s="530">
        <f t="shared" si="2770"/>
        <v>0</v>
      </c>
      <c r="AR243" s="530">
        <f t="shared" si="2770"/>
        <v>110860.38999999998</v>
      </c>
      <c r="AS243" s="530">
        <f t="shared" si="2770"/>
        <v>0</v>
      </c>
      <c r="AT243" s="531">
        <f t="shared" si="2770"/>
        <v>110860.38999999998</v>
      </c>
      <c r="AU243" s="530">
        <f>AU244+AU263</f>
        <v>0</v>
      </c>
      <c r="AV243" s="530">
        <f t="shared" ref="AV243:AX243" si="2771">AV244+AV263</f>
        <v>0</v>
      </c>
      <c r="AW243" s="530">
        <f t="shared" si="2771"/>
        <v>0</v>
      </c>
      <c r="AX243" s="530">
        <f t="shared" si="2771"/>
        <v>0</v>
      </c>
      <c r="AY243" s="530">
        <f>AY244+AY263</f>
        <v>0</v>
      </c>
      <c r="AZ243" s="530">
        <f t="shared" ref="AZ243" si="2772">AZ244+AZ263</f>
        <v>25016.09</v>
      </c>
      <c r="BA243" s="530">
        <f t="shared" ref="BA243" si="2773">BA244+BA263</f>
        <v>0</v>
      </c>
      <c r="BB243" s="530">
        <f t="shared" ref="BB243" si="2774">BB244+BB263</f>
        <v>25016.09</v>
      </c>
      <c r="BC243" s="530">
        <f>BC244+BC263</f>
        <v>0</v>
      </c>
      <c r="BD243" s="530">
        <f t="shared" ref="BD243" si="2775">BD244+BD263</f>
        <v>41019.839999999997</v>
      </c>
      <c r="BE243" s="530">
        <f t="shared" ref="BE243" si="2776">BE244+BE263</f>
        <v>0</v>
      </c>
      <c r="BF243" s="530">
        <f t="shared" ref="BF243" si="2777">BF244+BF263</f>
        <v>41019.839999999997</v>
      </c>
      <c r="BG243" s="530">
        <f>BG244+BG263</f>
        <v>0</v>
      </c>
      <c r="BH243" s="530">
        <f t="shared" ref="BH243" si="2778">BH244+BH263</f>
        <v>44824.46</v>
      </c>
      <c r="BI243" s="530">
        <f t="shared" ref="BI243" si="2779">BI244+BI263</f>
        <v>0</v>
      </c>
      <c r="BJ243" s="530">
        <f t="shared" ref="BJ243" si="2780">BJ244+BJ263</f>
        <v>44824.46</v>
      </c>
      <c r="BK243" s="530">
        <f t="shared" ref="BK243" si="2781">BK244+BK263</f>
        <v>0</v>
      </c>
      <c r="BL243" s="530">
        <f t="shared" ref="BL243" si="2782">BL244+BL263</f>
        <v>110860.38999999998</v>
      </c>
      <c r="BM243" s="530">
        <f t="shared" ref="BM243" si="2783">BM244+BM263</f>
        <v>0</v>
      </c>
      <c r="BN243" s="530">
        <f t="shared" ref="BN243" si="2784">BN244+BN263</f>
        <v>110860.38999999998</v>
      </c>
      <c r="BO243" s="532">
        <f t="shared" ref="BO243" si="2785">BO244+BO263</f>
        <v>0</v>
      </c>
      <c r="BP243" s="530">
        <f t="shared" ref="BP243" si="2786">BP244+BP263</f>
        <v>0</v>
      </c>
      <c r="BQ243" s="530">
        <f t="shared" ref="BQ243" si="2787">BQ244+BQ263</f>
        <v>15000</v>
      </c>
      <c r="BR243" s="530">
        <f t="shared" ref="BR243" si="2788">BR244+BR263</f>
        <v>0</v>
      </c>
      <c r="BS243" s="531">
        <f t="shared" ref="BS243" si="2789">BS244+BS263</f>
        <v>15000</v>
      </c>
      <c r="BT243" s="530">
        <f>BT244+BT263</f>
        <v>0</v>
      </c>
      <c r="BU243" s="530">
        <f t="shared" ref="BU243" si="2790">BU244+BU263</f>
        <v>0</v>
      </c>
      <c r="BV243" s="530">
        <f t="shared" ref="BV243" si="2791">BV244+BV263</f>
        <v>0</v>
      </c>
      <c r="BW243" s="530">
        <f t="shared" ref="BW243" si="2792">BW244+BW263</f>
        <v>0</v>
      </c>
      <c r="BX243" s="530">
        <f t="shared" ref="BX243" si="2793">BX244+BX263</f>
        <v>0</v>
      </c>
      <c r="BY243" s="530">
        <f t="shared" ref="BY243" si="2794">BY244+BY263</f>
        <v>0</v>
      </c>
      <c r="BZ243" s="530">
        <f t="shared" ref="BZ243" si="2795">BZ244+BZ263</f>
        <v>0</v>
      </c>
      <c r="CA243" s="533">
        <f t="shared" ref="CA243" si="2796">CA244+CA263</f>
        <v>0</v>
      </c>
    </row>
    <row r="244" spans="1:79" ht="14.1" customHeight="1" x14ac:dyDescent="0.2">
      <c r="A244" s="133" t="s">
        <v>197</v>
      </c>
      <c r="B244" s="78" t="s">
        <v>126</v>
      </c>
      <c r="C244" s="899" t="s">
        <v>212</v>
      </c>
      <c r="D244" s="899"/>
      <c r="E244" s="900"/>
      <c r="F244" s="90"/>
      <c r="G244" s="157">
        <f>G245+G251+G255</f>
        <v>0</v>
      </c>
      <c r="H244" s="157">
        <f t="shared" ref="H244:I244" si="2797">H245+H251+H255</f>
        <v>86508.68</v>
      </c>
      <c r="I244" s="157">
        <f t="shared" si="2797"/>
        <v>0</v>
      </c>
      <c r="J244" s="157">
        <f t="shared" ref="J244" si="2798">J245+J251+J255</f>
        <v>86508.68</v>
      </c>
      <c r="K244" s="157">
        <f>K245+K251+K255</f>
        <v>0</v>
      </c>
      <c r="L244" s="157">
        <f t="shared" ref="L244" si="2799">L245+L251+L255</f>
        <v>0</v>
      </c>
      <c r="M244" s="157">
        <f t="shared" ref="M244" si="2800">M245+M251+M255</f>
        <v>0</v>
      </c>
      <c r="N244" s="157">
        <f t="shared" ref="N244" si="2801">N245+N251+N255</f>
        <v>0</v>
      </c>
      <c r="O244" s="157">
        <f>O245+O251+O255</f>
        <v>0</v>
      </c>
      <c r="P244" s="157">
        <f t="shared" ref="P244" si="2802">P245+P251+P255</f>
        <v>0</v>
      </c>
      <c r="Q244" s="157">
        <f t="shared" ref="Q244" si="2803">Q245+Q251+Q255</f>
        <v>0</v>
      </c>
      <c r="R244" s="157">
        <f t="shared" ref="R244" si="2804">R245+R251+R255</f>
        <v>0</v>
      </c>
      <c r="S244" s="157">
        <f>S245+S251+S255</f>
        <v>0</v>
      </c>
      <c r="T244" s="157">
        <f t="shared" ref="T244" si="2805">T245+T251+T255</f>
        <v>0</v>
      </c>
      <c r="U244" s="157">
        <f t="shared" ref="U244" si="2806">U245+U251+U255</f>
        <v>0</v>
      </c>
      <c r="V244" s="157">
        <f t="shared" ref="V244" si="2807">V245+V251+V255</f>
        <v>0</v>
      </c>
      <c r="W244" s="157">
        <f t="shared" ref="W244" si="2808">W245+W251+W255</f>
        <v>0</v>
      </c>
      <c r="X244" s="157">
        <f t="shared" ref="X244" si="2809">X245+X251+X255</f>
        <v>86508.68</v>
      </c>
      <c r="Y244" s="157">
        <f t="shared" ref="Y244" si="2810">Y245+Y251+Y255</f>
        <v>0</v>
      </c>
      <c r="Z244" s="100">
        <f t="shared" ref="Z244:AD244" si="2811">Z245+Z251+Z255</f>
        <v>86508.68</v>
      </c>
      <c r="AA244" s="157">
        <f t="shared" si="2811"/>
        <v>0</v>
      </c>
      <c r="AB244" s="157">
        <f t="shared" si="2811"/>
        <v>0</v>
      </c>
      <c r="AC244" s="157">
        <f t="shared" si="2811"/>
        <v>0</v>
      </c>
      <c r="AD244" s="157">
        <f t="shared" si="2811"/>
        <v>0</v>
      </c>
      <c r="AE244" s="157">
        <f>AE245+AE251+AE255</f>
        <v>0</v>
      </c>
      <c r="AF244" s="157">
        <f t="shared" ref="AF244:AH244" si="2812">AF245+AF251+AF255</f>
        <v>19777.59</v>
      </c>
      <c r="AG244" s="157">
        <f t="shared" si="2812"/>
        <v>0</v>
      </c>
      <c r="AH244" s="157">
        <f t="shared" si="2812"/>
        <v>19777.59</v>
      </c>
      <c r="AI244" s="157">
        <f>AI245+AI251+AI255</f>
        <v>0</v>
      </c>
      <c r="AJ244" s="157">
        <f t="shared" ref="AJ244:AL244" si="2813">AJ245+AJ251+AJ255</f>
        <v>20496.63</v>
      </c>
      <c r="AK244" s="157">
        <f t="shared" si="2813"/>
        <v>0</v>
      </c>
      <c r="AL244" s="157">
        <f t="shared" si="2813"/>
        <v>20496.63</v>
      </c>
      <c r="AM244" s="157">
        <f>AM245+AM251+AM255</f>
        <v>0</v>
      </c>
      <c r="AN244" s="157">
        <f t="shared" ref="AN244:AT244" si="2814">AN245+AN251+AN255</f>
        <v>31234.46</v>
      </c>
      <c r="AO244" s="157">
        <f t="shared" si="2814"/>
        <v>0</v>
      </c>
      <c r="AP244" s="157">
        <f t="shared" si="2814"/>
        <v>31234.46</v>
      </c>
      <c r="AQ244" s="157">
        <f t="shared" si="2814"/>
        <v>0</v>
      </c>
      <c r="AR244" s="157">
        <f t="shared" si="2814"/>
        <v>71508.679999999993</v>
      </c>
      <c r="AS244" s="157">
        <f t="shared" si="2814"/>
        <v>0</v>
      </c>
      <c r="AT244" s="100">
        <f t="shared" si="2814"/>
        <v>71508.679999999993</v>
      </c>
      <c r="AU244" s="157">
        <f>AU245+AU251+AU255</f>
        <v>0</v>
      </c>
      <c r="AV244" s="157">
        <f t="shared" ref="AV244:AX244" si="2815">AV245+AV251+AV255</f>
        <v>0</v>
      </c>
      <c r="AW244" s="157">
        <f t="shared" si="2815"/>
        <v>0</v>
      </c>
      <c r="AX244" s="157">
        <f t="shared" si="2815"/>
        <v>0</v>
      </c>
      <c r="AY244" s="157">
        <f>AY245+AY251+AY255</f>
        <v>0</v>
      </c>
      <c r="AZ244" s="157">
        <f t="shared" ref="AZ244" si="2816">AZ245+AZ251+AZ255</f>
        <v>19777.59</v>
      </c>
      <c r="BA244" s="157">
        <f t="shared" ref="BA244" si="2817">BA245+BA251+BA255</f>
        <v>0</v>
      </c>
      <c r="BB244" s="157">
        <f t="shared" ref="BB244" si="2818">BB245+BB251+BB255</f>
        <v>19777.59</v>
      </c>
      <c r="BC244" s="157">
        <f>BC245+BC251+BC255</f>
        <v>0</v>
      </c>
      <c r="BD244" s="157">
        <f t="shared" ref="BD244" si="2819">BD245+BD251+BD255</f>
        <v>20496.63</v>
      </c>
      <c r="BE244" s="157">
        <f t="shared" ref="BE244" si="2820">BE245+BE251+BE255</f>
        <v>0</v>
      </c>
      <c r="BF244" s="157">
        <f t="shared" ref="BF244" si="2821">BF245+BF251+BF255</f>
        <v>20496.63</v>
      </c>
      <c r="BG244" s="157">
        <f>BG245+BG251+BG255</f>
        <v>0</v>
      </c>
      <c r="BH244" s="157">
        <f t="shared" ref="BH244" si="2822">BH245+BH251+BH255</f>
        <v>31234.46</v>
      </c>
      <c r="BI244" s="157">
        <f t="shared" ref="BI244" si="2823">BI245+BI251+BI255</f>
        <v>0</v>
      </c>
      <c r="BJ244" s="157">
        <f t="shared" ref="BJ244" si="2824">BJ245+BJ251+BJ255</f>
        <v>31234.46</v>
      </c>
      <c r="BK244" s="157">
        <f t="shared" ref="BK244" si="2825">BK245+BK251+BK255</f>
        <v>0</v>
      </c>
      <c r="BL244" s="157">
        <f t="shared" ref="BL244" si="2826">BL245+BL251+BL255</f>
        <v>71508.679999999993</v>
      </c>
      <c r="BM244" s="157">
        <f t="shared" ref="BM244" si="2827">BM245+BM251+BM255</f>
        <v>0</v>
      </c>
      <c r="BN244" s="157">
        <f t="shared" ref="BN244" si="2828">BN245+BN251+BN255</f>
        <v>71508.679999999993</v>
      </c>
      <c r="BO244" s="173">
        <f t="shared" ref="BO244" si="2829">BO245+BO251+BO255</f>
        <v>0</v>
      </c>
      <c r="BP244" s="157">
        <f t="shared" ref="BP244" si="2830">BP245+BP251+BP255</f>
        <v>0</v>
      </c>
      <c r="BQ244" s="157">
        <f t="shared" ref="BQ244" si="2831">BQ245+BQ251+BQ255</f>
        <v>15000</v>
      </c>
      <c r="BR244" s="157">
        <f t="shared" ref="BR244" si="2832">BR245+BR251+BR255</f>
        <v>0</v>
      </c>
      <c r="BS244" s="100">
        <f t="shared" ref="BS244" si="2833">BS245+BS251+BS255</f>
        <v>15000</v>
      </c>
      <c r="BT244" s="157">
        <f>BT245+BT251+BT255</f>
        <v>0</v>
      </c>
      <c r="BU244" s="157">
        <f t="shared" ref="BU244" si="2834">BU245+BU251+BU255</f>
        <v>0</v>
      </c>
      <c r="BV244" s="157">
        <f t="shared" ref="BV244" si="2835">BV245+BV251+BV255</f>
        <v>0</v>
      </c>
      <c r="BW244" s="157">
        <f t="shared" ref="BW244" si="2836">BW245+BW251+BW255</f>
        <v>0</v>
      </c>
      <c r="BX244" s="157">
        <f t="shared" ref="BX244" si="2837">BX245+BX251+BX255</f>
        <v>0</v>
      </c>
      <c r="BY244" s="157">
        <f t="shared" ref="BY244" si="2838">BY245+BY251+BY255</f>
        <v>0</v>
      </c>
      <c r="BZ244" s="157">
        <f t="shared" ref="BZ244" si="2839">BZ245+BZ251+BZ255</f>
        <v>0</v>
      </c>
      <c r="CA244" s="134">
        <f t="shared" ref="CA244" si="2840">CA245+CA251+CA255</f>
        <v>0</v>
      </c>
    </row>
    <row r="245" spans="1:79" ht="14.1" customHeight="1" x14ac:dyDescent="0.2">
      <c r="A245" s="133" t="s">
        <v>586</v>
      </c>
      <c r="B245" s="78"/>
      <c r="C245" s="81" t="s">
        <v>146</v>
      </c>
      <c r="D245" s="69" t="s">
        <v>213</v>
      </c>
      <c r="E245" s="567"/>
      <c r="F245" s="90"/>
      <c r="G245" s="158">
        <f>G246</f>
        <v>0</v>
      </c>
      <c r="H245" s="158">
        <f t="shared" ref="H245:I245" si="2841">H246</f>
        <v>76508.679999999993</v>
      </c>
      <c r="I245" s="158">
        <f t="shared" si="2841"/>
        <v>0</v>
      </c>
      <c r="J245" s="158">
        <f t="shared" ref="J245" si="2842">J246</f>
        <v>76508.679999999993</v>
      </c>
      <c r="K245" s="158">
        <f>K246</f>
        <v>0</v>
      </c>
      <c r="L245" s="158">
        <f t="shared" ref="L245" si="2843">L246</f>
        <v>0</v>
      </c>
      <c r="M245" s="158">
        <f t="shared" ref="M245" si="2844">M246</f>
        <v>0</v>
      </c>
      <c r="N245" s="158">
        <f t="shared" ref="N245" si="2845">N246</f>
        <v>0</v>
      </c>
      <c r="O245" s="158">
        <f>O246</f>
        <v>0</v>
      </c>
      <c r="P245" s="158">
        <f t="shared" ref="P245" si="2846">P246</f>
        <v>0</v>
      </c>
      <c r="Q245" s="158">
        <f t="shared" ref="Q245" si="2847">Q246</f>
        <v>0</v>
      </c>
      <c r="R245" s="158">
        <f t="shared" ref="R245" si="2848">R246</f>
        <v>0</v>
      </c>
      <c r="S245" s="158">
        <f>S246</f>
        <v>0</v>
      </c>
      <c r="T245" s="158">
        <f t="shared" ref="T245" si="2849">T246</f>
        <v>0</v>
      </c>
      <c r="U245" s="158">
        <f t="shared" ref="U245" si="2850">U246</f>
        <v>0</v>
      </c>
      <c r="V245" s="158">
        <f t="shared" ref="V245" si="2851">V246</f>
        <v>0</v>
      </c>
      <c r="W245" s="158">
        <f t="shared" ref="W245" si="2852">W246</f>
        <v>0</v>
      </c>
      <c r="X245" s="158">
        <f t="shared" ref="X245" si="2853">X246</f>
        <v>76508.679999999993</v>
      </c>
      <c r="Y245" s="158">
        <f t="shared" ref="Y245" si="2854">Y246</f>
        <v>0</v>
      </c>
      <c r="Z245" s="96">
        <f t="shared" ref="Z245:AD245" si="2855">Z246</f>
        <v>76508.679999999993</v>
      </c>
      <c r="AA245" s="158">
        <f t="shared" si="2855"/>
        <v>0</v>
      </c>
      <c r="AB245" s="158">
        <f t="shared" si="2855"/>
        <v>0</v>
      </c>
      <c r="AC245" s="158">
        <f t="shared" si="2855"/>
        <v>0</v>
      </c>
      <c r="AD245" s="158">
        <f t="shared" si="2855"/>
        <v>0</v>
      </c>
      <c r="AE245" s="158">
        <f>AE246</f>
        <v>0</v>
      </c>
      <c r="AF245" s="158">
        <f t="shared" ref="AF245:AH245" si="2856">AF246</f>
        <v>19777.59</v>
      </c>
      <c r="AG245" s="158">
        <f t="shared" si="2856"/>
        <v>0</v>
      </c>
      <c r="AH245" s="158">
        <f t="shared" si="2856"/>
        <v>19777.59</v>
      </c>
      <c r="AI245" s="158">
        <f>AI246</f>
        <v>0</v>
      </c>
      <c r="AJ245" s="158">
        <f t="shared" ref="AJ245:AL245" si="2857">AJ246</f>
        <v>20496.63</v>
      </c>
      <c r="AK245" s="158">
        <f t="shared" si="2857"/>
        <v>0</v>
      </c>
      <c r="AL245" s="158">
        <f t="shared" si="2857"/>
        <v>20496.63</v>
      </c>
      <c r="AM245" s="158">
        <f>AM246</f>
        <v>0</v>
      </c>
      <c r="AN245" s="158">
        <f t="shared" ref="AN245:AT245" si="2858">AN246</f>
        <v>26234.46</v>
      </c>
      <c r="AO245" s="158">
        <f t="shared" si="2858"/>
        <v>0</v>
      </c>
      <c r="AP245" s="158">
        <f t="shared" si="2858"/>
        <v>26234.46</v>
      </c>
      <c r="AQ245" s="158">
        <f t="shared" si="2858"/>
        <v>0</v>
      </c>
      <c r="AR245" s="158">
        <f t="shared" si="2858"/>
        <v>66508.679999999993</v>
      </c>
      <c r="AS245" s="158">
        <f t="shared" si="2858"/>
        <v>0</v>
      </c>
      <c r="AT245" s="96">
        <f t="shared" si="2858"/>
        <v>66508.679999999993</v>
      </c>
      <c r="AU245" s="158">
        <f>AU246</f>
        <v>0</v>
      </c>
      <c r="AV245" s="158">
        <f t="shared" ref="AV245:AX245" si="2859">AV246</f>
        <v>0</v>
      </c>
      <c r="AW245" s="158">
        <f t="shared" si="2859"/>
        <v>0</v>
      </c>
      <c r="AX245" s="158">
        <f t="shared" si="2859"/>
        <v>0</v>
      </c>
      <c r="AY245" s="158">
        <f>AY246</f>
        <v>0</v>
      </c>
      <c r="AZ245" s="158">
        <f t="shared" ref="AZ245" si="2860">AZ246</f>
        <v>19777.59</v>
      </c>
      <c r="BA245" s="158">
        <f t="shared" ref="BA245" si="2861">BA246</f>
        <v>0</v>
      </c>
      <c r="BB245" s="158">
        <f t="shared" ref="BB245" si="2862">BB246</f>
        <v>19777.59</v>
      </c>
      <c r="BC245" s="158">
        <f>BC246</f>
        <v>0</v>
      </c>
      <c r="BD245" s="158">
        <f t="shared" ref="BD245" si="2863">BD246</f>
        <v>20496.63</v>
      </c>
      <c r="BE245" s="158">
        <f t="shared" ref="BE245" si="2864">BE246</f>
        <v>0</v>
      </c>
      <c r="BF245" s="158">
        <f t="shared" ref="BF245" si="2865">BF246</f>
        <v>20496.63</v>
      </c>
      <c r="BG245" s="158">
        <f>BG246</f>
        <v>0</v>
      </c>
      <c r="BH245" s="158">
        <f t="shared" ref="BH245" si="2866">BH246</f>
        <v>26234.46</v>
      </c>
      <c r="BI245" s="158">
        <f t="shared" ref="BI245" si="2867">BI246</f>
        <v>0</v>
      </c>
      <c r="BJ245" s="158">
        <f t="shared" ref="BJ245" si="2868">BJ246</f>
        <v>26234.46</v>
      </c>
      <c r="BK245" s="158">
        <f t="shared" ref="BK245" si="2869">BK246</f>
        <v>0</v>
      </c>
      <c r="BL245" s="158">
        <f t="shared" ref="BL245" si="2870">BL246</f>
        <v>66508.679999999993</v>
      </c>
      <c r="BM245" s="158">
        <f t="shared" ref="BM245" si="2871">BM246</f>
        <v>0</v>
      </c>
      <c r="BN245" s="158">
        <f t="shared" ref="BN245" si="2872">BN246</f>
        <v>66508.679999999993</v>
      </c>
      <c r="BO245" s="174">
        <f t="shared" ref="BO245" si="2873">BO246</f>
        <v>0</v>
      </c>
      <c r="BP245" s="158">
        <f t="shared" ref="BP245" si="2874">BP246</f>
        <v>0</v>
      </c>
      <c r="BQ245" s="158">
        <f t="shared" ref="BQ245" si="2875">BQ246</f>
        <v>10000</v>
      </c>
      <c r="BR245" s="158">
        <f t="shared" ref="BR245" si="2876">BR246</f>
        <v>0</v>
      </c>
      <c r="BS245" s="96">
        <f t="shared" ref="BS245" si="2877">BS246</f>
        <v>10000</v>
      </c>
      <c r="BT245" s="158">
        <f>BT246</f>
        <v>0</v>
      </c>
      <c r="BU245" s="158">
        <f t="shared" ref="BU245" si="2878">BU246</f>
        <v>0</v>
      </c>
      <c r="BV245" s="158">
        <f t="shared" ref="BV245" si="2879">BV246</f>
        <v>0</v>
      </c>
      <c r="BW245" s="158">
        <f t="shared" ref="BW245" si="2880">BW246</f>
        <v>0</v>
      </c>
      <c r="BX245" s="158">
        <f t="shared" ref="BX245" si="2881">BX246</f>
        <v>0</v>
      </c>
      <c r="BY245" s="158">
        <f t="shared" ref="BY245" si="2882">BY246</f>
        <v>0</v>
      </c>
      <c r="BZ245" s="158">
        <f t="shared" ref="BZ245" si="2883">BZ246</f>
        <v>0</v>
      </c>
      <c r="CA245" s="135">
        <f t="shared" ref="CA245" si="2884">CA246</f>
        <v>0</v>
      </c>
    </row>
    <row r="246" spans="1:79" ht="14.1" customHeight="1" x14ac:dyDescent="0.2">
      <c r="A246" s="136" t="s">
        <v>587</v>
      </c>
      <c r="B246" s="62"/>
      <c r="C246" s="63">
        <v>1</v>
      </c>
      <c r="D246" s="64" t="s">
        <v>588</v>
      </c>
      <c r="E246" s="65"/>
      <c r="G246" s="154">
        <f>SUM(G247:G250)</f>
        <v>0</v>
      </c>
      <c r="H246" s="154">
        <f t="shared" ref="H246:I246" si="2885">SUM(H247:H250)</f>
        <v>76508.679999999993</v>
      </c>
      <c r="I246" s="154">
        <f t="shared" si="2885"/>
        <v>0</v>
      </c>
      <c r="J246" s="154">
        <f t="shared" ref="J246" si="2886">SUM(J247:J250)</f>
        <v>76508.679999999993</v>
      </c>
      <c r="K246" s="154">
        <f>SUM(K247:K250)</f>
        <v>0</v>
      </c>
      <c r="L246" s="154">
        <f t="shared" ref="L246" si="2887">SUM(L247:L250)</f>
        <v>0</v>
      </c>
      <c r="M246" s="154">
        <f t="shared" ref="M246" si="2888">SUM(M247:M250)</f>
        <v>0</v>
      </c>
      <c r="N246" s="154">
        <f t="shared" ref="N246" si="2889">SUM(N247:N250)</f>
        <v>0</v>
      </c>
      <c r="O246" s="154">
        <f>SUM(O247:O250)</f>
        <v>0</v>
      </c>
      <c r="P246" s="154">
        <f t="shared" ref="P246" si="2890">SUM(P247:P250)</f>
        <v>0</v>
      </c>
      <c r="Q246" s="154">
        <f t="shared" ref="Q246" si="2891">SUM(Q247:Q250)</f>
        <v>0</v>
      </c>
      <c r="R246" s="154">
        <f t="shared" ref="R246" si="2892">SUM(R247:R250)</f>
        <v>0</v>
      </c>
      <c r="S246" s="154">
        <f>SUM(S247:S250)</f>
        <v>0</v>
      </c>
      <c r="T246" s="154">
        <f t="shared" ref="T246" si="2893">SUM(T247:T250)</f>
        <v>0</v>
      </c>
      <c r="U246" s="154">
        <f t="shared" ref="U246" si="2894">SUM(U247:U250)</f>
        <v>0</v>
      </c>
      <c r="V246" s="154">
        <f t="shared" ref="V246" si="2895">SUM(V247:V250)</f>
        <v>0</v>
      </c>
      <c r="W246" s="154">
        <f t="shared" ref="W246" si="2896">SUM(W247:W250)</f>
        <v>0</v>
      </c>
      <c r="X246" s="154">
        <f t="shared" ref="X246" si="2897">SUM(X247:X250)</f>
        <v>76508.679999999993</v>
      </c>
      <c r="Y246" s="154">
        <f t="shared" ref="Y246" si="2898">SUM(Y247:Y250)</f>
        <v>0</v>
      </c>
      <c r="Z246" s="84">
        <f t="shared" ref="Z246:AD246" si="2899">SUM(Z247:Z250)</f>
        <v>76508.679999999993</v>
      </c>
      <c r="AA246" s="154">
        <f t="shared" si="2899"/>
        <v>0</v>
      </c>
      <c r="AB246" s="154">
        <f t="shared" si="2899"/>
        <v>0</v>
      </c>
      <c r="AC246" s="154">
        <f t="shared" si="2899"/>
        <v>0</v>
      </c>
      <c r="AD246" s="154">
        <f t="shared" si="2899"/>
        <v>0</v>
      </c>
      <c r="AE246" s="154">
        <f>SUM(AE247:AE250)</f>
        <v>0</v>
      </c>
      <c r="AF246" s="154">
        <f t="shared" ref="AF246:AH246" si="2900">SUM(AF247:AF250)</f>
        <v>19777.59</v>
      </c>
      <c r="AG246" s="154">
        <f t="shared" si="2900"/>
        <v>0</v>
      </c>
      <c r="AH246" s="154">
        <f t="shared" si="2900"/>
        <v>19777.59</v>
      </c>
      <c r="AI246" s="154">
        <f>SUM(AI247:AI250)</f>
        <v>0</v>
      </c>
      <c r="AJ246" s="154">
        <f t="shared" ref="AJ246:AL246" si="2901">SUM(AJ247:AJ250)</f>
        <v>20496.63</v>
      </c>
      <c r="AK246" s="154">
        <f t="shared" si="2901"/>
        <v>0</v>
      </c>
      <c r="AL246" s="154">
        <f t="shared" si="2901"/>
        <v>20496.63</v>
      </c>
      <c r="AM246" s="154">
        <f>SUM(AM247:AM250)</f>
        <v>0</v>
      </c>
      <c r="AN246" s="154">
        <f t="shared" ref="AN246:AT246" si="2902">SUM(AN247:AN250)</f>
        <v>26234.46</v>
      </c>
      <c r="AO246" s="154">
        <f t="shared" si="2902"/>
        <v>0</v>
      </c>
      <c r="AP246" s="154">
        <f t="shared" si="2902"/>
        <v>26234.46</v>
      </c>
      <c r="AQ246" s="154">
        <f t="shared" si="2902"/>
        <v>0</v>
      </c>
      <c r="AR246" s="154">
        <f t="shared" si="2902"/>
        <v>66508.679999999993</v>
      </c>
      <c r="AS246" s="154">
        <f t="shared" si="2902"/>
        <v>0</v>
      </c>
      <c r="AT246" s="84">
        <f t="shared" si="2902"/>
        <v>66508.679999999993</v>
      </c>
      <c r="AU246" s="154">
        <f>SUM(AU247:AU250)</f>
        <v>0</v>
      </c>
      <c r="AV246" s="154">
        <f t="shared" ref="AV246:AX246" si="2903">SUM(AV247:AV250)</f>
        <v>0</v>
      </c>
      <c r="AW246" s="154">
        <f t="shared" si="2903"/>
        <v>0</v>
      </c>
      <c r="AX246" s="154">
        <f t="shared" si="2903"/>
        <v>0</v>
      </c>
      <c r="AY246" s="154">
        <f>SUM(AY247:AY250)</f>
        <v>0</v>
      </c>
      <c r="AZ246" s="154">
        <f t="shared" ref="AZ246" si="2904">SUM(AZ247:AZ250)</f>
        <v>19777.59</v>
      </c>
      <c r="BA246" s="154">
        <f t="shared" ref="BA246" si="2905">SUM(BA247:BA250)</f>
        <v>0</v>
      </c>
      <c r="BB246" s="154">
        <f t="shared" ref="BB246" si="2906">SUM(BB247:BB250)</f>
        <v>19777.59</v>
      </c>
      <c r="BC246" s="154">
        <f>SUM(BC247:BC250)</f>
        <v>0</v>
      </c>
      <c r="BD246" s="154">
        <f t="shared" ref="BD246" si="2907">SUM(BD247:BD250)</f>
        <v>20496.63</v>
      </c>
      <c r="BE246" s="154">
        <f t="shared" ref="BE246" si="2908">SUM(BE247:BE250)</f>
        <v>0</v>
      </c>
      <c r="BF246" s="154">
        <f t="shared" ref="BF246" si="2909">SUM(BF247:BF250)</f>
        <v>20496.63</v>
      </c>
      <c r="BG246" s="154">
        <f>SUM(BG247:BG250)</f>
        <v>0</v>
      </c>
      <c r="BH246" s="154">
        <f t="shared" ref="BH246" si="2910">SUM(BH247:BH250)</f>
        <v>26234.46</v>
      </c>
      <c r="BI246" s="154">
        <f t="shared" ref="BI246" si="2911">SUM(BI247:BI250)</f>
        <v>0</v>
      </c>
      <c r="BJ246" s="154">
        <f t="shared" ref="BJ246" si="2912">SUM(BJ247:BJ250)</f>
        <v>26234.46</v>
      </c>
      <c r="BK246" s="154">
        <f t="shared" ref="BK246" si="2913">SUM(BK247:BK250)</f>
        <v>0</v>
      </c>
      <c r="BL246" s="154">
        <f t="shared" ref="BL246" si="2914">SUM(BL247:BL250)</f>
        <v>66508.679999999993</v>
      </c>
      <c r="BM246" s="154">
        <f t="shared" ref="BM246" si="2915">SUM(BM247:BM250)</f>
        <v>0</v>
      </c>
      <c r="BN246" s="154">
        <f t="shared" ref="BN246" si="2916">SUM(BN247:BN250)</f>
        <v>66508.679999999993</v>
      </c>
      <c r="BO246" s="170">
        <f t="shared" ref="BO246" si="2917">SUM(BO247:BO250)</f>
        <v>0</v>
      </c>
      <c r="BP246" s="154">
        <f t="shared" ref="BP246" si="2918">SUM(BP247:BP250)</f>
        <v>0</v>
      </c>
      <c r="BQ246" s="154">
        <f t="shared" ref="BQ246" si="2919">SUM(BQ247:BQ250)</f>
        <v>10000</v>
      </c>
      <c r="BR246" s="154">
        <f t="shared" ref="BR246" si="2920">SUM(BR247:BR250)</f>
        <v>0</v>
      </c>
      <c r="BS246" s="84">
        <f t="shared" ref="BS246" si="2921">SUM(BS247:BS250)</f>
        <v>10000</v>
      </c>
      <c r="BT246" s="154">
        <f>SUM(BT247:BT250)</f>
        <v>0</v>
      </c>
      <c r="BU246" s="154">
        <f t="shared" ref="BU246" si="2922">SUM(BU247:BU250)</f>
        <v>0</v>
      </c>
      <c r="BV246" s="154">
        <f t="shared" ref="BV246" si="2923">SUM(BV247:BV250)</f>
        <v>0</v>
      </c>
      <c r="BW246" s="154">
        <f t="shared" ref="BW246" si="2924">SUM(BW247:BW250)</f>
        <v>0</v>
      </c>
      <c r="BX246" s="154">
        <f t="shared" ref="BX246" si="2925">SUM(BX247:BX250)</f>
        <v>0</v>
      </c>
      <c r="BY246" s="154">
        <f t="shared" ref="BY246" si="2926">SUM(BY247:BY250)</f>
        <v>0</v>
      </c>
      <c r="BZ246" s="154">
        <f t="shared" ref="BZ246" si="2927">SUM(BZ247:BZ250)</f>
        <v>0</v>
      </c>
      <c r="CA246" s="126">
        <f t="shared" ref="CA246" si="2928">SUM(CA247:CA250)</f>
        <v>0</v>
      </c>
    </row>
    <row r="247" spans="1:79" ht="14.1" customHeight="1" x14ac:dyDescent="0.2">
      <c r="A247" s="127" t="s">
        <v>589</v>
      </c>
      <c r="B247" s="568"/>
      <c r="C247" s="78"/>
      <c r="D247" s="69" t="s">
        <v>126</v>
      </c>
      <c r="E247" s="75" t="s">
        <v>590</v>
      </c>
      <c r="F247" s="90"/>
      <c r="G247" s="159"/>
      <c r="H247" s="159">
        <v>76508.679999999993</v>
      </c>
      <c r="I247" s="159"/>
      <c r="J247" s="159">
        <f t="shared" ref="J247:J250" si="2929">SUM(G247:I247)</f>
        <v>76508.679999999993</v>
      </c>
      <c r="K247" s="159"/>
      <c r="L247" s="159"/>
      <c r="M247" s="159"/>
      <c r="N247" s="159">
        <f t="shared" ref="N247:N250" si="2930">SUM(K247:M247)</f>
        <v>0</v>
      </c>
      <c r="O247" s="159"/>
      <c r="P247" s="159"/>
      <c r="Q247" s="159"/>
      <c r="R247" s="159">
        <f t="shared" ref="R247:R250" si="2931">SUM(O247:Q247)</f>
        <v>0</v>
      </c>
      <c r="S247" s="159"/>
      <c r="T247" s="159"/>
      <c r="U247" s="159"/>
      <c r="V247" s="159">
        <f t="shared" ref="V247:V250" si="2932">SUM(S247:U247)</f>
        <v>0</v>
      </c>
      <c r="W247" s="159">
        <f>G247-O247+S247+K247</f>
        <v>0</v>
      </c>
      <c r="X247" s="159">
        <f t="shared" ref="X247:X250" si="2933">H247-P247+T247+L247</f>
        <v>76508.679999999993</v>
      </c>
      <c r="Y247" s="159">
        <f t="shared" ref="Y247:Y250" si="2934">I247-Q247+U247+M247</f>
        <v>0</v>
      </c>
      <c r="Z247" s="588">
        <f>SUM(W247:Y247)</f>
        <v>76508.679999999993</v>
      </c>
      <c r="AA247" s="159"/>
      <c r="AB247" s="159"/>
      <c r="AC247" s="159"/>
      <c r="AD247" s="159">
        <f t="shared" ref="AD247:AD250" si="2935">SUM(AA247:AC247)</f>
        <v>0</v>
      </c>
      <c r="AE247" s="159"/>
      <c r="AF247" s="159">
        <f>1000+1300+100+1000+1000+800+2872+2218+351.8+2940+3400+2795.79</f>
        <v>19777.59</v>
      </c>
      <c r="AG247" s="159"/>
      <c r="AH247" s="159">
        <f t="shared" ref="AH247:AH250" si="2936">SUM(AE247:AG247)</f>
        <v>19777.59</v>
      </c>
      <c r="AI247" s="159"/>
      <c r="AJ247" s="159">
        <v>20496.63</v>
      </c>
      <c r="AK247" s="159"/>
      <c r="AL247" s="159">
        <f t="shared" ref="AL247:AL250" si="2937">SUM(AI247:AK247)</f>
        <v>20496.63</v>
      </c>
      <c r="AM247" s="159"/>
      <c r="AN247" s="159">
        <f>1482.55+18000+6751.91</f>
        <v>26234.46</v>
      </c>
      <c r="AO247" s="159"/>
      <c r="AP247" s="159">
        <f t="shared" ref="AP247:AP250" si="2938">SUM(AM247:AO247)</f>
        <v>26234.46</v>
      </c>
      <c r="AQ247" s="159">
        <f t="shared" ref="AQ247:AS250" si="2939">AA247+AE247+AI247+AM247</f>
        <v>0</v>
      </c>
      <c r="AR247" s="159">
        <f t="shared" si="2939"/>
        <v>66508.679999999993</v>
      </c>
      <c r="AS247" s="159">
        <f t="shared" si="2939"/>
        <v>0</v>
      </c>
      <c r="AT247" s="588">
        <f>SUM(AQ247:AS247)</f>
        <v>66508.679999999993</v>
      </c>
      <c r="AU247" s="159"/>
      <c r="AV247" s="159"/>
      <c r="AW247" s="159"/>
      <c r="AX247" s="159">
        <f t="shared" ref="AX247:AX250" si="2940">SUM(AU247:AW247)</f>
        <v>0</v>
      </c>
      <c r="AY247" s="159"/>
      <c r="AZ247" s="159">
        <f>1000+1300+100+1000+1000+800+2872+2218+351.8+2940+3400+2795.79</f>
        <v>19777.59</v>
      </c>
      <c r="BA247" s="159"/>
      <c r="BB247" s="159">
        <f t="shared" ref="BB247:BB250" si="2941">SUM(AY247:BA247)</f>
        <v>19777.59</v>
      </c>
      <c r="BC247" s="159"/>
      <c r="BD247" s="159">
        <f>20300.23+196.4</f>
        <v>20496.63</v>
      </c>
      <c r="BE247" s="159"/>
      <c r="BF247" s="159">
        <f t="shared" ref="BF247:BF250" si="2942">SUM(BC247:BE247)</f>
        <v>20496.63</v>
      </c>
      <c r="BG247" s="159"/>
      <c r="BH247" s="159">
        <f>1482.55+18000+6751.91</f>
        <v>26234.46</v>
      </c>
      <c r="BI247" s="159"/>
      <c r="BJ247" s="159">
        <f t="shared" ref="BJ247:BJ250" si="2943">SUM(BG247:BI247)</f>
        <v>26234.46</v>
      </c>
      <c r="BK247" s="159">
        <f t="shared" ref="BK247:BK250" si="2944">AU247+AY247+BC247+BG247</f>
        <v>0</v>
      </c>
      <c r="BL247" s="159">
        <f t="shared" ref="BL247:BL250" si="2945">AV247+AZ247+BD247+BH247</f>
        <v>66508.679999999993</v>
      </c>
      <c r="BM247" s="159">
        <f t="shared" ref="BM247:BM250" si="2946">AW247+BA247+BE247+BI247</f>
        <v>0</v>
      </c>
      <c r="BN247" s="159">
        <f>SUM(BK247:BM247)</f>
        <v>66508.679999999993</v>
      </c>
      <c r="BO247" s="588"/>
      <c r="BP247" s="159">
        <f t="shared" ref="BP247:BP250" si="2947">W247-AQ247</f>
        <v>0</v>
      </c>
      <c r="BQ247" s="159">
        <f t="shared" ref="BQ247:BQ250" si="2948">X247-AR247</f>
        <v>10000</v>
      </c>
      <c r="BR247" s="159">
        <f t="shared" ref="BR247:BR250" si="2949">Y247-AS247</f>
        <v>0</v>
      </c>
      <c r="BS247" s="588">
        <f>SUM(BP247:BR247)</f>
        <v>10000</v>
      </c>
      <c r="BT247" s="159"/>
      <c r="BU247" s="159"/>
      <c r="BV247" s="159"/>
      <c r="BW247" s="159">
        <f t="shared" ref="BW247:BW250" si="2950">SUM(BT247:BV247)</f>
        <v>0</v>
      </c>
      <c r="BX247" s="159">
        <f t="shared" ref="BX247:BX250" si="2951">AQ247-BK247-BT247</f>
        <v>0</v>
      </c>
      <c r="BY247" s="159">
        <f t="shared" ref="BY247:BY250" si="2952">AR247-BL247-BU247</f>
        <v>0</v>
      </c>
      <c r="BZ247" s="159">
        <f t="shared" ref="BZ247:BZ250" si="2953">AS247-BM247-BV247</f>
        <v>0</v>
      </c>
      <c r="CA247" s="583">
        <f t="shared" ref="CA247:CA250" si="2954">SUM(BX247:BZ247)</f>
        <v>0</v>
      </c>
    </row>
    <row r="248" spans="1:79" ht="14.1" customHeight="1" x14ac:dyDescent="0.2">
      <c r="A248" s="127" t="s">
        <v>591</v>
      </c>
      <c r="B248" s="568"/>
      <c r="C248" s="81"/>
      <c r="D248" s="69" t="s">
        <v>131</v>
      </c>
      <c r="E248" s="75" t="s">
        <v>592</v>
      </c>
      <c r="F248" s="90"/>
      <c r="G248" s="159"/>
      <c r="H248" s="159"/>
      <c r="I248" s="159"/>
      <c r="J248" s="159">
        <f t="shared" si="2929"/>
        <v>0</v>
      </c>
      <c r="K248" s="159"/>
      <c r="L248" s="159"/>
      <c r="M248" s="159"/>
      <c r="N248" s="159">
        <f t="shared" si="2930"/>
        <v>0</v>
      </c>
      <c r="O248" s="159"/>
      <c r="P248" s="159"/>
      <c r="Q248" s="159"/>
      <c r="R248" s="159">
        <f t="shared" si="2931"/>
        <v>0</v>
      </c>
      <c r="S248" s="159"/>
      <c r="T248" s="159"/>
      <c r="U248" s="159"/>
      <c r="V248" s="159">
        <f t="shared" si="2932"/>
        <v>0</v>
      </c>
      <c r="W248" s="159">
        <f>G248-O248+S248+K248</f>
        <v>0</v>
      </c>
      <c r="X248" s="159">
        <f t="shared" si="2933"/>
        <v>0</v>
      </c>
      <c r="Y248" s="159">
        <f t="shared" si="2934"/>
        <v>0</v>
      </c>
      <c r="Z248" s="588">
        <f>SUM(W248:Y248)</f>
        <v>0</v>
      </c>
      <c r="AA248" s="159"/>
      <c r="AB248" s="159"/>
      <c r="AC248" s="159"/>
      <c r="AD248" s="159">
        <f t="shared" si="2935"/>
        <v>0</v>
      </c>
      <c r="AE248" s="159"/>
      <c r="AF248" s="159"/>
      <c r="AG248" s="159"/>
      <c r="AH248" s="159">
        <f t="shared" si="2936"/>
        <v>0</v>
      </c>
      <c r="AI248" s="159"/>
      <c r="AJ248" s="159"/>
      <c r="AK248" s="159"/>
      <c r="AL248" s="159">
        <f t="shared" si="2937"/>
        <v>0</v>
      </c>
      <c r="AM248" s="159"/>
      <c r="AN248" s="159"/>
      <c r="AO248" s="159"/>
      <c r="AP248" s="159">
        <f t="shared" si="2938"/>
        <v>0</v>
      </c>
      <c r="AQ248" s="159">
        <f t="shared" si="2939"/>
        <v>0</v>
      </c>
      <c r="AR248" s="159">
        <f t="shared" si="2939"/>
        <v>0</v>
      </c>
      <c r="AS248" s="159">
        <f t="shared" si="2939"/>
        <v>0</v>
      </c>
      <c r="AT248" s="588">
        <f>SUM(AQ248:AS248)</f>
        <v>0</v>
      </c>
      <c r="AU248" s="159"/>
      <c r="AV248" s="159"/>
      <c r="AW248" s="159"/>
      <c r="AX248" s="159">
        <f t="shared" si="2940"/>
        <v>0</v>
      </c>
      <c r="AY248" s="159"/>
      <c r="AZ248" s="159"/>
      <c r="BA248" s="159"/>
      <c r="BB248" s="159">
        <f t="shared" si="2941"/>
        <v>0</v>
      </c>
      <c r="BC248" s="159"/>
      <c r="BD248" s="159"/>
      <c r="BE248" s="159"/>
      <c r="BF248" s="159">
        <f t="shared" si="2942"/>
        <v>0</v>
      </c>
      <c r="BG248" s="159"/>
      <c r="BH248" s="159"/>
      <c r="BI248" s="159"/>
      <c r="BJ248" s="159">
        <f t="shared" si="2943"/>
        <v>0</v>
      </c>
      <c r="BK248" s="159">
        <f t="shared" si="2944"/>
        <v>0</v>
      </c>
      <c r="BL248" s="159">
        <f t="shared" si="2945"/>
        <v>0</v>
      </c>
      <c r="BM248" s="159">
        <f t="shared" si="2946"/>
        <v>0</v>
      </c>
      <c r="BN248" s="159">
        <f>SUM(BK248:BM248)</f>
        <v>0</v>
      </c>
      <c r="BO248" s="588"/>
      <c r="BP248" s="159">
        <f t="shared" si="2947"/>
        <v>0</v>
      </c>
      <c r="BQ248" s="159">
        <f t="shared" si="2948"/>
        <v>0</v>
      </c>
      <c r="BR248" s="159">
        <f t="shared" si="2949"/>
        <v>0</v>
      </c>
      <c r="BS248" s="588">
        <f>SUM(BP248:BR248)</f>
        <v>0</v>
      </c>
      <c r="BT248" s="159"/>
      <c r="BU248" s="159"/>
      <c r="BV248" s="159"/>
      <c r="BW248" s="159">
        <f t="shared" si="2950"/>
        <v>0</v>
      </c>
      <c r="BX248" s="159">
        <f t="shared" si="2951"/>
        <v>0</v>
      </c>
      <c r="BY248" s="159">
        <f t="shared" si="2952"/>
        <v>0</v>
      </c>
      <c r="BZ248" s="159">
        <f t="shared" si="2953"/>
        <v>0</v>
      </c>
      <c r="CA248" s="583">
        <f t="shared" si="2954"/>
        <v>0</v>
      </c>
    </row>
    <row r="249" spans="1:79" ht="14.1" customHeight="1" x14ac:dyDescent="0.2">
      <c r="A249" s="127" t="s">
        <v>593</v>
      </c>
      <c r="B249" s="568"/>
      <c r="C249" s="81"/>
      <c r="D249" s="69" t="s">
        <v>134</v>
      </c>
      <c r="E249" s="75" t="s">
        <v>594</v>
      </c>
      <c r="F249" s="90"/>
      <c r="G249" s="159"/>
      <c r="H249" s="159"/>
      <c r="I249" s="159"/>
      <c r="J249" s="159">
        <f t="shared" si="2929"/>
        <v>0</v>
      </c>
      <c r="K249" s="159"/>
      <c r="L249" s="159"/>
      <c r="M249" s="159"/>
      <c r="N249" s="159">
        <f t="shared" si="2930"/>
        <v>0</v>
      </c>
      <c r="O249" s="159"/>
      <c r="P249" s="159"/>
      <c r="Q249" s="159"/>
      <c r="R249" s="159">
        <f t="shared" si="2931"/>
        <v>0</v>
      </c>
      <c r="S249" s="159"/>
      <c r="T249" s="159"/>
      <c r="U249" s="159"/>
      <c r="V249" s="159">
        <f t="shared" si="2932"/>
        <v>0</v>
      </c>
      <c r="W249" s="159">
        <f>G249-O249+S249+K249</f>
        <v>0</v>
      </c>
      <c r="X249" s="159">
        <f t="shared" si="2933"/>
        <v>0</v>
      </c>
      <c r="Y249" s="159">
        <f t="shared" si="2934"/>
        <v>0</v>
      </c>
      <c r="Z249" s="588">
        <f>SUM(W249:Y249)</f>
        <v>0</v>
      </c>
      <c r="AA249" s="159"/>
      <c r="AB249" s="159"/>
      <c r="AC249" s="159"/>
      <c r="AD249" s="159">
        <f t="shared" si="2935"/>
        <v>0</v>
      </c>
      <c r="AE249" s="159"/>
      <c r="AF249" s="159"/>
      <c r="AG249" s="159"/>
      <c r="AH249" s="159">
        <f t="shared" si="2936"/>
        <v>0</v>
      </c>
      <c r="AI249" s="159"/>
      <c r="AJ249" s="159"/>
      <c r="AK249" s="159"/>
      <c r="AL249" s="159">
        <f t="shared" si="2937"/>
        <v>0</v>
      </c>
      <c r="AM249" s="159"/>
      <c r="AN249" s="159"/>
      <c r="AO249" s="159"/>
      <c r="AP249" s="159">
        <f t="shared" si="2938"/>
        <v>0</v>
      </c>
      <c r="AQ249" s="159">
        <f t="shared" si="2939"/>
        <v>0</v>
      </c>
      <c r="AR249" s="159">
        <f t="shared" si="2939"/>
        <v>0</v>
      </c>
      <c r="AS249" s="159">
        <f t="shared" si="2939"/>
        <v>0</v>
      </c>
      <c r="AT249" s="588">
        <f>SUM(AQ249:AS249)</f>
        <v>0</v>
      </c>
      <c r="AU249" s="159"/>
      <c r="AV249" s="159"/>
      <c r="AW249" s="159"/>
      <c r="AX249" s="159">
        <f t="shared" si="2940"/>
        <v>0</v>
      </c>
      <c r="AY249" s="159"/>
      <c r="AZ249" s="159"/>
      <c r="BA249" s="159"/>
      <c r="BB249" s="159">
        <f t="shared" si="2941"/>
        <v>0</v>
      </c>
      <c r="BC249" s="159"/>
      <c r="BD249" s="159"/>
      <c r="BE249" s="159"/>
      <c r="BF249" s="159">
        <f t="shared" si="2942"/>
        <v>0</v>
      </c>
      <c r="BG249" s="159"/>
      <c r="BH249" s="159"/>
      <c r="BI249" s="159"/>
      <c r="BJ249" s="159">
        <f t="shared" si="2943"/>
        <v>0</v>
      </c>
      <c r="BK249" s="159">
        <f t="shared" si="2944"/>
        <v>0</v>
      </c>
      <c r="BL249" s="159">
        <f t="shared" si="2945"/>
        <v>0</v>
      </c>
      <c r="BM249" s="159">
        <f t="shared" si="2946"/>
        <v>0</v>
      </c>
      <c r="BN249" s="159">
        <f>SUM(BK249:BM249)</f>
        <v>0</v>
      </c>
      <c r="BO249" s="588"/>
      <c r="BP249" s="159">
        <f t="shared" si="2947"/>
        <v>0</v>
      </c>
      <c r="BQ249" s="159">
        <f t="shared" si="2948"/>
        <v>0</v>
      </c>
      <c r="BR249" s="159">
        <f t="shared" si="2949"/>
        <v>0</v>
      </c>
      <c r="BS249" s="588">
        <f>SUM(BP249:BR249)</f>
        <v>0</v>
      </c>
      <c r="BT249" s="159"/>
      <c r="BU249" s="159"/>
      <c r="BV249" s="159"/>
      <c r="BW249" s="159">
        <f t="shared" si="2950"/>
        <v>0</v>
      </c>
      <c r="BX249" s="159">
        <f t="shared" si="2951"/>
        <v>0</v>
      </c>
      <c r="BY249" s="159">
        <f t="shared" si="2952"/>
        <v>0</v>
      </c>
      <c r="BZ249" s="159">
        <f t="shared" si="2953"/>
        <v>0</v>
      </c>
      <c r="CA249" s="583">
        <f t="shared" si="2954"/>
        <v>0</v>
      </c>
    </row>
    <row r="250" spans="1:79" ht="14.1" customHeight="1" x14ac:dyDescent="0.2">
      <c r="A250" s="127" t="s">
        <v>595</v>
      </c>
      <c r="B250" s="568"/>
      <c r="C250" s="81"/>
      <c r="D250" s="69" t="s">
        <v>144</v>
      </c>
      <c r="E250" s="75" t="s">
        <v>596</v>
      </c>
      <c r="F250" s="90"/>
      <c r="G250" s="159"/>
      <c r="H250" s="159"/>
      <c r="I250" s="159"/>
      <c r="J250" s="159">
        <f t="shared" si="2929"/>
        <v>0</v>
      </c>
      <c r="K250" s="159"/>
      <c r="L250" s="159"/>
      <c r="M250" s="159"/>
      <c r="N250" s="159">
        <f t="shared" si="2930"/>
        <v>0</v>
      </c>
      <c r="O250" s="159"/>
      <c r="P250" s="159"/>
      <c r="Q250" s="159"/>
      <c r="R250" s="159">
        <f t="shared" si="2931"/>
        <v>0</v>
      </c>
      <c r="S250" s="159"/>
      <c r="T250" s="159"/>
      <c r="U250" s="159"/>
      <c r="V250" s="159">
        <f t="shared" si="2932"/>
        <v>0</v>
      </c>
      <c r="W250" s="159">
        <f>G250-O250+S250+K250</f>
        <v>0</v>
      </c>
      <c r="X250" s="159">
        <f t="shared" si="2933"/>
        <v>0</v>
      </c>
      <c r="Y250" s="159">
        <f t="shared" si="2934"/>
        <v>0</v>
      </c>
      <c r="Z250" s="588">
        <f>SUM(W250:Y250)</f>
        <v>0</v>
      </c>
      <c r="AA250" s="159"/>
      <c r="AB250" s="159"/>
      <c r="AC250" s="159"/>
      <c r="AD250" s="159">
        <f t="shared" si="2935"/>
        <v>0</v>
      </c>
      <c r="AE250" s="159"/>
      <c r="AF250" s="159"/>
      <c r="AG250" s="159"/>
      <c r="AH250" s="159">
        <f t="shared" si="2936"/>
        <v>0</v>
      </c>
      <c r="AI250" s="159"/>
      <c r="AJ250" s="159"/>
      <c r="AK250" s="159"/>
      <c r="AL250" s="159">
        <f t="shared" si="2937"/>
        <v>0</v>
      </c>
      <c r="AM250" s="159"/>
      <c r="AN250" s="159"/>
      <c r="AO250" s="159"/>
      <c r="AP250" s="159">
        <f t="shared" si="2938"/>
        <v>0</v>
      </c>
      <c r="AQ250" s="159">
        <f t="shared" si="2939"/>
        <v>0</v>
      </c>
      <c r="AR250" s="159">
        <f t="shared" si="2939"/>
        <v>0</v>
      </c>
      <c r="AS250" s="159">
        <f t="shared" si="2939"/>
        <v>0</v>
      </c>
      <c r="AT250" s="588">
        <f>SUM(AQ250:AS250)</f>
        <v>0</v>
      </c>
      <c r="AU250" s="159"/>
      <c r="AV250" s="159"/>
      <c r="AW250" s="159"/>
      <c r="AX250" s="159">
        <f t="shared" si="2940"/>
        <v>0</v>
      </c>
      <c r="AY250" s="159"/>
      <c r="AZ250" s="159"/>
      <c r="BA250" s="159"/>
      <c r="BB250" s="159">
        <f t="shared" si="2941"/>
        <v>0</v>
      </c>
      <c r="BC250" s="159"/>
      <c r="BD250" s="159"/>
      <c r="BE250" s="159"/>
      <c r="BF250" s="159">
        <f t="shared" si="2942"/>
        <v>0</v>
      </c>
      <c r="BG250" s="159"/>
      <c r="BH250" s="159"/>
      <c r="BI250" s="159"/>
      <c r="BJ250" s="159">
        <f t="shared" si="2943"/>
        <v>0</v>
      </c>
      <c r="BK250" s="159">
        <f t="shared" si="2944"/>
        <v>0</v>
      </c>
      <c r="BL250" s="159">
        <f t="shared" si="2945"/>
        <v>0</v>
      </c>
      <c r="BM250" s="159">
        <f t="shared" si="2946"/>
        <v>0</v>
      </c>
      <c r="BN250" s="159">
        <f>SUM(BK250:BM250)</f>
        <v>0</v>
      </c>
      <c r="BO250" s="588"/>
      <c r="BP250" s="159">
        <f t="shared" si="2947"/>
        <v>0</v>
      </c>
      <c r="BQ250" s="159">
        <f t="shared" si="2948"/>
        <v>0</v>
      </c>
      <c r="BR250" s="159">
        <f t="shared" si="2949"/>
        <v>0</v>
      </c>
      <c r="BS250" s="588">
        <f>SUM(BP250:BR250)</f>
        <v>0</v>
      </c>
      <c r="BT250" s="159"/>
      <c r="BU250" s="159"/>
      <c r="BV250" s="159"/>
      <c r="BW250" s="159">
        <f t="shared" si="2950"/>
        <v>0</v>
      </c>
      <c r="BX250" s="159">
        <f t="shared" si="2951"/>
        <v>0</v>
      </c>
      <c r="BY250" s="159">
        <f t="shared" si="2952"/>
        <v>0</v>
      </c>
      <c r="BZ250" s="159">
        <f t="shared" si="2953"/>
        <v>0</v>
      </c>
      <c r="CA250" s="583">
        <f t="shared" si="2954"/>
        <v>0</v>
      </c>
    </row>
    <row r="251" spans="1:79" ht="14.1" customHeight="1" x14ac:dyDescent="0.2">
      <c r="A251" s="127" t="s">
        <v>597</v>
      </c>
      <c r="B251" s="568"/>
      <c r="C251" s="78">
        <v>2</v>
      </c>
      <c r="D251" s="69" t="s">
        <v>214</v>
      </c>
      <c r="E251" s="75"/>
      <c r="G251" s="153">
        <f>G252</f>
        <v>0</v>
      </c>
      <c r="H251" s="153">
        <f t="shared" ref="H251:I251" si="2955">H252</f>
        <v>0</v>
      </c>
      <c r="I251" s="153">
        <f t="shared" si="2955"/>
        <v>0</v>
      </c>
      <c r="J251" s="153">
        <f t="shared" ref="J251" si="2956">J252</f>
        <v>0</v>
      </c>
      <c r="K251" s="153">
        <f>K252</f>
        <v>0</v>
      </c>
      <c r="L251" s="153">
        <f t="shared" ref="L251" si="2957">L252</f>
        <v>0</v>
      </c>
      <c r="M251" s="153">
        <f t="shared" ref="M251" si="2958">M252</f>
        <v>0</v>
      </c>
      <c r="N251" s="153">
        <f t="shared" ref="N251" si="2959">N252</f>
        <v>0</v>
      </c>
      <c r="O251" s="153">
        <f>O252</f>
        <v>0</v>
      </c>
      <c r="P251" s="153">
        <f t="shared" ref="P251" si="2960">P252</f>
        <v>0</v>
      </c>
      <c r="Q251" s="153">
        <f t="shared" ref="Q251" si="2961">Q252</f>
        <v>0</v>
      </c>
      <c r="R251" s="153">
        <f t="shared" ref="R251" si="2962">R252</f>
        <v>0</v>
      </c>
      <c r="S251" s="153">
        <f>S252</f>
        <v>0</v>
      </c>
      <c r="T251" s="153">
        <f t="shared" ref="T251" si="2963">T252</f>
        <v>0</v>
      </c>
      <c r="U251" s="153">
        <f t="shared" ref="U251" si="2964">U252</f>
        <v>0</v>
      </c>
      <c r="V251" s="153">
        <f t="shared" ref="V251" si="2965">V252</f>
        <v>0</v>
      </c>
      <c r="W251" s="153">
        <f t="shared" ref="W251" si="2966">W252</f>
        <v>0</v>
      </c>
      <c r="X251" s="153">
        <f t="shared" ref="X251" si="2967">X252</f>
        <v>0</v>
      </c>
      <c r="Y251" s="153">
        <f t="shared" ref="Y251" si="2968">Y252</f>
        <v>0</v>
      </c>
      <c r="Z251" s="85">
        <f t="shared" ref="Z251:AD251" si="2969">Z252</f>
        <v>0</v>
      </c>
      <c r="AA251" s="153">
        <f t="shared" si="2969"/>
        <v>0</v>
      </c>
      <c r="AB251" s="153">
        <f t="shared" si="2969"/>
        <v>0</v>
      </c>
      <c r="AC251" s="153">
        <f t="shared" si="2969"/>
        <v>0</v>
      </c>
      <c r="AD251" s="153">
        <f t="shared" si="2969"/>
        <v>0</v>
      </c>
      <c r="AE251" s="153">
        <f>AE252</f>
        <v>0</v>
      </c>
      <c r="AF251" s="153">
        <f t="shared" ref="AF251:AH251" si="2970">AF252</f>
        <v>0</v>
      </c>
      <c r="AG251" s="153">
        <f t="shared" si="2970"/>
        <v>0</v>
      </c>
      <c r="AH251" s="153">
        <f t="shared" si="2970"/>
        <v>0</v>
      </c>
      <c r="AI251" s="153">
        <f>AI252</f>
        <v>0</v>
      </c>
      <c r="AJ251" s="153">
        <f t="shared" ref="AJ251:AL251" si="2971">AJ252</f>
        <v>0</v>
      </c>
      <c r="AK251" s="153">
        <f t="shared" si="2971"/>
        <v>0</v>
      </c>
      <c r="AL251" s="153">
        <f t="shared" si="2971"/>
        <v>0</v>
      </c>
      <c r="AM251" s="153">
        <f>AM252</f>
        <v>0</v>
      </c>
      <c r="AN251" s="153">
        <f t="shared" ref="AN251:AT251" si="2972">AN252</f>
        <v>0</v>
      </c>
      <c r="AO251" s="153">
        <f t="shared" si="2972"/>
        <v>0</v>
      </c>
      <c r="AP251" s="153">
        <f t="shared" si="2972"/>
        <v>0</v>
      </c>
      <c r="AQ251" s="153">
        <f t="shared" si="2972"/>
        <v>0</v>
      </c>
      <c r="AR251" s="153">
        <f t="shared" si="2972"/>
        <v>0</v>
      </c>
      <c r="AS251" s="153">
        <f t="shared" si="2972"/>
        <v>0</v>
      </c>
      <c r="AT251" s="85">
        <f t="shared" si="2972"/>
        <v>0</v>
      </c>
      <c r="AU251" s="153">
        <f>AU252</f>
        <v>0</v>
      </c>
      <c r="AV251" s="153">
        <f t="shared" ref="AV251:AX251" si="2973">AV252</f>
        <v>0</v>
      </c>
      <c r="AW251" s="153">
        <f t="shared" si="2973"/>
        <v>0</v>
      </c>
      <c r="AX251" s="153">
        <f t="shared" si="2973"/>
        <v>0</v>
      </c>
      <c r="AY251" s="153">
        <f>AY252</f>
        <v>0</v>
      </c>
      <c r="AZ251" s="153">
        <f t="shared" ref="AZ251" si="2974">AZ252</f>
        <v>0</v>
      </c>
      <c r="BA251" s="153">
        <f t="shared" ref="BA251" si="2975">BA252</f>
        <v>0</v>
      </c>
      <c r="BB251" s="153">
        <f t="shared" ref="BB251" si="2976">BB252</f>
        <v>0</v>
      </c>
      <c r="BC251" s="153">
        <f>BC252</f>
        <v>0</v>
      </c>
      <c r="BD251" s="153">
        <f t="shared" ref="BD251" si="2977">BD252</f>
        <v>0</v>
      </c>
      <c r="BE251" s="153">
        <f t="shared" ref="BE251" si="2978">BE252</f>
        <v>0</v>
      </c>
      <c r="BF251" s="153">
        <f t="shared" ref="BF251" si="2979">BF252</f>
        <v>0</v>
      </c>
      <c r="BG251" s="153">
        <f>BG252</f>
        <v>0</v>
      </c>
      <c r="BH251" s="153">
        <f t="shared" ref="BH251" si="2980">BH252</f>
        <v>0</v>
      </c>
      <c r="BI251" s="153">
        <f t="shared" ref="BI251" si="2981">BI252</f>
        <v>0</v>
      </c>
      <c r="BJ251" s="153">
        <f t="shared" ref="BJ251" si="2982">BJ252</f>
        <v>0</v>
      </c>
      <c r="BK251" s="153">
        <f t="shared" ref="BK251" si="2983">BK252</f>
        <v>0</v>
      </c>
      <c r="BL251" s="153">
        <f t="shared" ref="BL251" si="2984">BL252</f>
        <v>0</v>
      </c>
      <c r="BM251" s="153">
        <f t="shared" ref="BM251" si="2985">BM252</f>
        <v>0</v>
      </c>
      <c r="BN251" s="153">
        <f t="shared" ref="BN251" si="2986">BN252</f>
        <v>0</v>
      </c>
      <c r="BO251" s="169">
        <f t="shared" ref="BO251" si="2987">BO252</f>
        <v>0</v>
      </c>
      <c r="BP251" s="153">
        <f t="shared" ref="BP251" si="2988">BP252</f>
        <v>0</v>
      </c>
      <c r="BQ251" s="153">
        <f t="shared" ref="BQ251" si="2989">BQ252</f>
        <v>0</v>
      </c>
      <c r="BR251" s="153">
        <f t="shared" ref="BR251" si="2990">BR252</f>
        <v>0</v>
      </c>
      <c r="BS251" s="85">
        <f t="shared" ref="BS251" si="2991">BS252</f>
        <v>0</v>
      </c>
      <c r="BT251" s="153">
        <f>BT252</f>
        <v>0</v>
      </c>
      <c r="BU251" s="153">
        <f t="shared" ref="BU251" si="2992">BU252</f>
        <v>0</v>
      </c>
      <c r="BV251" s="153">
        <f t="shared" ref="BV251" si="2993">BV252</f>
        <v>0</v>
      </c>
      <c r="BW251" s="153">
        <f t="shared" ref="BW251" si="2994">BW252</f>
        <v>0</v>
      </c>
      <c r="BX251" s="153">
        <f t="shared" ref="BX251" si="2995">BX252</f>
        <v>0</v>
      </c>
      <c r="BY251" s="153">
        <f t="shared" ref="BY251" si="2996">BY252</f>
        <v>0</v>
      </c>
      <c r="BZ251" s="153">
        <f t="shared" ref="BZ251" si="2997">BZ252</f>
        <v>0</v>
      </c>
      <c r="CA251" s="124">
        <f t="shared" ref="CA251" si="2998">CA252</f>
        <v>0</v>
      </c>
    </row>
    <row r="252" spans="1:79" ht="14.1" customHeight="1" x14ac:dyDescent="0.2">
      <c r="A252" s="136" t="s">
        <v>598</v>
      </c>
      <c r="B252" s="62"/>
      <c r="C252" s="66">
        <v>1</v>
      </c>
      <c r="D252" s="64" t="s">
        <v>599</v>
      </c>
      <c r="E252" s="65"/>
      <c r="G252" s="154">
        <f>SUM(G253:G254)</f>
        <v>0</v>
      </c>
      <c r="H252" s="154">
        <f t="shared" ref="H252:I252" si="2999">SUM(H253:H254)</f>
        <v>0</v>
      </c>
      <c r="I252" s="154">
        <f t="shared" si="2999"/>
        <v>0</v>
      </c>
      <c r="J252" s="154">
        <f t="shared" ref="J252" si="3000">SUM(J253:J254)</f>
        <v>0</v>
      </c>
      <c r="K252" s="154">
        <f>SUM(K253:K254)</f>
        <v>0</v>
      </c>
      <c r="L252" s="154">
        <f t="shared" ref="L252" si="3001">SUM(L253:L254)</f>
        <v>0</v>
      </c>
      <c r="M252" s="154">
        <f t="shared" ref="M252" si="3002">SUM(M253:M254)</f>
        <v>0</v>
      </c>
      <c r="N252" s="154">
        <f t="shared" ref="N252" si="3003">SUM(N253:N254)</f>
        <v>0</v>
      </c>
      <c r="O252" s="154">
        <f>SUM(O253:O254)</f>
        <v>0</v>
      </c>
      <c r="P252" s="154">
        <f t="shared" ref="P252" si="3004">SUM(P253:P254)</f>
        <v>0</v>
      </c>
      <c r="Q252" s="154">
        <f t="shared" ref="Q252" si="3005">SUM(Q253:Q254)</f>
        <v>0</v>
      </c>
      <c r="R252" s="154">
        <f t="shared" ref="R252" si="3006">SUM(R253:R254)</f>
        <v>0</v>
      </c>
      <c r="S252" s="154">
        <f>SUM(S253:S254)</f>
        <v>0</v>
      </c>
      <c r="T252" s="154">
        <f t="shared" ref="T252" si="3007">SUM(T253:T254)</f>
        <v>0</v>
      </c>
      <c r="U252" s="154">
        <f t="shared" ref="U252" si="3008">SUM(U253:U254)</f>
        <v>0</v>
      </c>
      <c r="V252" s="154">
        <f t="shared" ref="V252" si="3009">SUM(V253:V254)</f>
        <v>0</v>
      </c>
      <c r="W252" s="154">
        <f t="shared" ref="W252" si="3010">SUM(W253:W254)</f>
        <v>0</v>
      </c>
      <c r="X252" s="154">
        <f t="shared" ref="X252" si="3011">SUM(X253:X254)</f>
        <v>0</v>
      </c>
      <c r="Y252" s="154">
        <f t="shared" ref="Y252" si="3012">SUM(Y253:Y254)</f>
        <v>0</v>
      </c>
      <c r="Z252" s="84">
        <f t="shared" ref="Z252:AD252" si="3013">SUM(Z253:Z254)</f>
        <v>0</v>
      </c>
      <c r="AA252" s="154">
        <f t="shared" si="3013"/>
        <v>0</v>
      </c>
      <c r="AB252" s="154">
        <f t="shared" si="3013"/>
        <v>0</v>
      </c>
      <c r="AC252" s="154">
        <f t="shared" si="3013"/>
        <v>0</v>
      </c>
      <c r="AD252" s="154">
        <f t="shared" si="3013"/>
        <v>0</v>
      </c>
      <c r="AE252" s="154">
        <f>SUM(AE253:AE254)</f>
        <v>0</v>
      </c>
      <c r="AF252" s="154">
        <f t="shared" ref="AF252:AH252" si="3014">SUM(AF253:AF254)</f>
        <v>0</v>
      </c>
      <c r="AG252" s="154">
        <f t="shared" si="3014"/>
        <v>0</v>
      </c>
      <c r="AH252" s="154">
        <f t="shared" si="3014"/>
        <v>0</v>
      </c>
      <c r="AI252" s="154">
        <f>SUM(AI253:AI254)</f>
        <v>0</v>
      </c>
      <c r="AJ252" s="154">
        <f t="shared" ref="AJ252:AL252" si="3015">SUM(AJ253:AJ254)</f>
        <v>0</v>
      </c>
      <c r="AK252" s="154">
        <f t="shared" si="3015"/>
        <v>0</v>
      </c>
      <c r="AL252" s="154">
        <f t="shared" si="3015"/>
        <v>0</v>
      </c>
      <c r="AM252" s="154">
        <f>SUM(AM253:AM254)</f>
        <v>0</v>
      </c>
      <c r="AN252" s="154">
        <f t="shared" ref="AN252:AT252" si="3016">SUM(AN253:AN254)</f>
        <v>0</v>
      </c>
      <c r="AO252" s="154">
        <f t="shared" si="3016"/>
        <v>0</v>
      </c>
      <c r="AP252" s="154">
        <f t="shared" si="3016"/>
        <v>0</v>
      </c>
      <c r="AQ252" s="154">
        <f t="shared" si="3016"/>
        <v>0</v>
      </c>
      <c r="AR252" s="154">
        <f t="shared" si="3016"/>
        <v>0</v>
      </c>
      <c r="AS252" s="154">
        <f t="shared" si="3016"/>
        <v>0</v>
      </c>
      <c r="AT252" s="84">
        <f t="shared" si="3016"/>
        <v>0</v>
      </c>
      <c r="AU252" s="154">
        <f>SUM(AU253:AU254)</f>
        <v>0</v>
      </c>
      <c r="AV252" s="154">
        <f t="shared" ref="AV252:AX252" si="3017">SUM(AV253:AV254)</f>
        <v>0</v>
      </c>
      <c r="AW252" s="154">
        <f t="shared" si="3017"/>
        <v>0</v>
      </c>
      <c r="AX252" s="154">
        <f t="shared" si="3017"/>
        <v>0</v>
      </c>
      <c r="AY252" s="154">
        <f>SUM(AY253:AY254)</f>
        <v>0</v>
      </c>
      <c r="AZ252" s="154">
        <f t="shared" ref="AZ252" si="3018">SUM(AZ253:AZ254)</f>
        <v>0</v>
      </c>
      <c r="BA252" s="154">
        <f t="shared" ref="BA252" si="3019">SUM(BA253:BA254)</f>
        <v>0</v>
      </c>
      <c r="BB252" s="154">
        <f t="shared" ref="BB252" si="3020">SUM(BB253:BB254)</f>
        <v>0</v>
      </c>
      <c r="BC252" s="154">
        <f>SUM(BC253:BC254)</f>
        <v>0</v>
      </c>
      <c r="BD252" s="154">
        <f t="shared" ref="BD252" si="3021">SUM(BD253:BD254)</f>
        <v>0</v>
      </c>
      <c r="BE252" s="154">
        <f t="shared" ref="BE252" si="3022">SUM(BE253:BE254)</f>
        <v>0</v>
      </c>
      <c r="BF252" s="154">
        <f t="shared" ref="BF252" si="3023">SUM(BF253:BF254)</f>
        <v>0</v>
      </c>
      <c r="BG252" s="154">
        <f>SUM(BG253:BG254)</f>
        <v>0</v>
      </c>
      <c r="BH252" s="154">
        <f t="shared" ref="BH252" si="3024">SUM(BH253:BH254)</f>
        <v>0</v>
      </c>
      <c r="BI252" s="154">
        <f t="shared" ref="BI252" si="3025">SUM(BI253:BI254)</f>
        <v>0</v>
      </c>
      <c r="BJ252" s="154">
        <f t="shared" ref="BJ252" si="3026">SUM(BJ253:BJ254)</f>
        <v>0</v>
      </c>
      <c r="BK252" s="154">
        <f t="shared" ref="BK252" si="3027">SUM(BK253:BK254)</f>
        <v>0</v>
      </c>
      <c r="BL252" s="154">
        <f t="shared" ref="BL252" si="3028">SUM(BL253:BL254)</f>
        <v>0</v>
      </c>
      <c r="BM252" s="154">
        <f t="shared" ref="BM252" si="3029">SUM(BM253:BM254)</f>
        <v>0</v>
      </c>
      <c r="BN252" s="154">
        <f t="shared" ref="BN252" si="3030">SUM(BN253:BN254)</f>
        <v>0</v>
      </c>
      <c r="BO252" s="170">
        <f t="shared" ref="BO252" si="3031">SUM(BO253:BO254)</f>
        <v>0</v>
      </c>
      <c r="BP252" s="154">
        <f t="shared" ref="BP252" si="3032">SUM(BP253:BP254)</f>
        <v>0</v>
      </c>
      <c r="BQ252" s="154">
        <f t="shared" ref="BQ252" si="3033">SUM(BQ253:BQ254)</f>
        <v>0</v>
      </c>
      <c r="BR252" s="154">
        <f t="shared" ref="BR252" si="3034">SUM(BR253:BR254)</f>
        <v>0</v>
      </c>
      <c r="BS252" s="84">
        <f t="shared" ref="BS252" si="3035">SUM(BS253:BS254)</f>
        <v>0</v>
      </c>
      <c r="BT252" s="154">
        <f>SUM(BT253:BT254)</f>
        <v>0</v>
      </c>
      <c r="BU252" s="154">
        <f t="shared" ref="BU252" si="3036">SUM(BU253:BU254)</f>
        <v>0</v>
      </c>
      <c r="BV252" s="154">
        <f t="shared" ref="BV252" si="3037">SUM(BV253:BV254)</f>
        <v>0</v>
      </c>
      <c r="BW252" s="154">
        <f t="shared" ref="BW252" si="3038">SUM(BW253:BW254)</f>
        <v>0</v>
      </c>
      <c r="BX252" s="154">
        <f t="shared" ref="BX252" si="3039">SUM(BX253:BX254)</f>
        <v>0</v>
      </c>
      <c r="BY252" s="154">
        <f t="shared" ref="BY252" si="3040">SUM(BY253:BY254)</f>
        <v>0</v>
      </c>
      <c r="BZ252" s="154">
        <f t="shared" ref="BZ252" si="3041">SUM(BZ253:BZ254)</f>
        <v>0</v>
      </c>
      <c r="CA252" s="126">
        <f t="shared" ref="CA252" si="3042">SUM(CA253:CA254)</f>
        <v>0</v>
      </c>
    </row>
    <row r="253" spans="1:79" ht="14.1" customHeight="1" x14ac:dyDescent="0.2">
      <c r="A253" s="127" t="s">
        <v>600</v>
      </c>
      <c r="B253" s="568"/>
      <c r="C253" s="78"/>
      <c r="D253" s="69" t="s">
        <v>126</v>
      </c>
      <c r="E253" s="75" t="s">
        <v>215</v>
      </c>
      <c r="F253" s="90"/>
      <c r="G253" s="159"/>
      <c r="H253" s="159"/>
      <c r="I253" s="159"/>
      <c r="J253" s="159">
        <f t="shared" ref="J253:J254" si="3043">SUM(G253:I253)</f>
        <v>0</v>
      </c>
      <c r="K253" s="159"/>
      <c r="L253" s="159"/>
      <c r="M253" s="159"/>
      <c r="N253" s="159">
        <f t="shared" ref="N253:N254" si="3044">SUM(K253:M253)</f>
        <v>0</v>
      </c>
      <c r="O253" s="159"/>
      <c r="P253" s="159"/>
      <c r="Q253" s="159"/>
      <c r="R253" s="159">
        <f t="shared" ref="R253:R254" si="3045">SUM(O253:Q253)</f>
        <v>0</v>
      </c>
      <c r="S253" s="159"/>
      <c r="T253" s="159"/>
      <c r="U253" s="159"/>
      <c r="V253" s="159">
        <f t="shared" ref="V253:V254" si="3046">SUM(S253:U253)</f>
        <v>0</v>
      </c>
      <c r="W253" s="159">
        <f>G253-O253+S253+K253</f>
        <v>0</v>
      </c>
      <c r="X253" s="159">
        <f t="shared" ref="X253:X254" si="3047">H253-P253+T253+L253</f>
        <v>0</v>
      </c>
      <c r="Y253" s="159">
        <f t="shared" ref="Y253:Y254" si="3048">I253-Q253+U253+M253</f>
        <v>0</v>
      </c>
      <c r="Z253" s="588">
        <f>SUM(W253:Y253)</f>
        <v>0</v>
      </c>
      <c r="AA253" s="159"/>
      <c r="AB253" s="159"/>
      <c r="AC253" s="159"/>
      <c r="AD253" s="159">
        <f t="shared" ref="AD253:AD254" si="3049">SUM(AA253:AC253)</f>
        <v>0</v>
      </c>
      <c r="AE253" s="159"/>
      <c r="AF253" s="159"/>
      <c r="AG253" s="159"/>
      <c r="AH253" s="159">
        <f t="shared" ref="AH253:AH254" si="3050">SUM(AE253:AG253)</f>
        <v>0</v>
      </c>
      <c r="AI253" s="159"/>
      <c r="AJ253" s="159"/>
      <c r="AK253" s="159"/>
      <c r="AL253" s="159">
        <f t="shared" ref="AL253:AL254" si="3051">SUM(AI253:AK253)</f>
        <v>0</v>
      </c>
      <c r="AM253" s="159"/>
      <c r="AN253" s="159"/>
      <c r="AO253" s="159"/>
      <c r="AP253" s="159">
        <f t="shared" ref="AP253:AP254" si="3052">SUM(AM253:AO253)</f>
        <v>0</v>
      </c>
      <c r="AQ253" s="159">
        <f t="shared" ref="AQ253:AS254" si="3053">AA253+AE253+AI253+AM253</f>
        <v>0</v>
      </c>
      <c r="AR253" s="159">
        <f t="shared" si="3053"/>
        <v>0</v>
      </c>
      <c r="AS253" s="159">
        <f t="shared" si="3053"/>
        <v>0</v>
      </c>
      <c r="AT253" s="588">
        <f>SUM(AQ253:AS253)</f>
        <v>0</v>
      </c>
      <c r="AU253" s="159"/>
      <c r="AV253" s="159"/>
      <c r="AW253" s="159"/>
      <c r="AX253" s="159">
        <f t="shared" ref="AX253:AX254" si="3054">SUM(AU253:AW253)</f>
        <v>0</v>
      </c>
      <c r="AY253" s="159"/>
      <c r="AZ253" s="159"/>
      <c r="BA253" s="159"/>
      <c r="BB253" s="159">
        <f t="shared" ref="BB253:BB254" si="3055">SUM(AY253:BA253)</f>
        <v>0</v>
      </c>
      <c r="BC253" s="159"/>
      <c r="BD253" s="159"/>
      <c r="BE253" s="159"/>
      <c r="BF253" s="159">
        <f t="shared" ref="BF253:BF254" si="3056">SUM(BC253:BE253)</f>
        <v>0</v>
      </c>
      <c r="BG253" s="159"/>
      <c r="BH253" s="159"/>
      <c r="BI253" s="159"/>
      <c r="BJ253" s="159">
        <f t="shared" ref="BJ253:BJ254" si="3057">SUM(BG253:BI253)</f>
        <v>0</v>
      </c>
      <c r="BK253" s="159">
        <f t="shared" ref="BK253:BK254" si="3058">AU253+AY253+BC253+BG253</f>
        <v>0</v>
      </c>
      <c r="BL253" s="159">
        <f t="shared" ref="BL253:BL254" si="3059">AV253+AZ253+BD253+BH253</f>
        <v>0</v>
      </c>
      <c r="BM253" s="159">
        <f t="shared" ref="BM253:BM254" si="3060">AW253+BA253+BE253+BI253</f>
        <v>0</v>
      </c>
      <c r="BN253" s="159">
        <f>SUM(BK253:BM253)</f>
        <v>0</v>
      </c>
      <c r="BO253" s="588"/>
      <c r="BP253" s="159">
        <f t="shared" ref="BP253:BP254" si="3061">W253-AQ253</f>
        <v>0</v>
      </c>
      <c r="BQ253" s="159">
        <f t="shared" ref="BQ253:BQ254" si="3062">X253-AR253</f>
        <v>0</v>
      </c>
      <c r="BR253" s="159">
        <f t="shared" ref="BR253:BR254" si="3063">Y253-AS253</f>
        <v>0</v>
      </c>
      <c r="BS253" s="588">
        <f>SUM(BP253:BR253)</f>
        <v>0</v>
      </c>
      <c r="BT253" s="159"/>
      <c r="BU253" s="159"/>
      <c r="BV253" s="159"/>
      <c r="BW253" s="159">
        <f t="shared" ref="BW253:BW254" si="3064">SUM(BT253:BV253)</f>
        <v>0</v>
      </c>
      <c r="BX253" s="159">
        <f t="shared" ref="BX253:BX254" si="3065">AQ253-BK253-BT253</f>
        <v>0</v>
      </c>
      <c r="BY253" s="159">
        <f t="shared" ref="BY253:BY254" si="3066">AR253-BL253-BU253</f>
        <v>0</v>
      </c>
      <c r="BZ253" s="159">
        <f t="shared" ref="BZ253:BZ254" si="3067">AS253-BM253-BV253</f>
        <v>0</v>
      </c>
      <c r="CA253" s="583">
        <f t="shared" ref="CA253:CA254" si="3068">SUM(BX253:BZ253)</f>
        <v>0</v>
      </c>
    </row>
    <row r="254" spans="1:79" ht="14.1" customHeight="1" x14ac:dyDescent="0.2">
      <c r="A254" s="127" t="s">
        <v>601</v>
      </c>
      <c r="B254" s="568"/>
      <c r="C254" s="78"/>
      <c r="D254" s="69" t="s">
        <v>131</v>
      </c>
      <c r="E254" s="75" t="s">
        <v>602</v>
      </c>
      <c r="F254" s="90"/>
      <c r="G254" s="159"/>
      <c r="H254" s="159"/>
      <c r="I254" s="159"/>
      <c r="J254" s="159">
        <f t="shared" si="3043"/>
        <v>0</v>
      </c>
      <c r="K254" s="159"/>
      <c r="L254" s="159"/>
      <c r="M254" s="159"/>
      <c r="N254" s="159">
        <f t="shared" si="3044"/>
        <v>0</v>
      </c>
      <c r="O254" s="159"/>
      <c r="P254" s="159"/>
      <c r="Q254" s="159"/>
      <c r="R254" s="159">
        <f t="shared" si="3045"/>
        <v>0</v>
      </c>
      <c r="S254" s="159"/>
      <c r="T254" s="159"/>
      <c r="U254" s="159"/>
      <c r="V254" s="159">
        <f t="shared" si="3046"/>
        <v>0</v>
      </c>
      <c r="W254" s="159">
        <f>G254-O254+S254+K254</f>
        <v>0</v>
      </c>
      <c r="X254" s="159">
        <f t="shared" si="3047"/>
        <v>0</v>
      </c>
      <c r="Y254" s="159">
        <f t="shared" si="3048"/>
        <v>0</v>
      </c>
      <c r="Z254" s="588">
        <f>SUM(W254:Y254)</f>
        <v>0</v>
      </c>
      <c r="AA254" s="159"/>
      <c r="AB254" s="159"/>
      <c r="AC254" s="159"/>
      <c r="AD254" s="159">
        <f t="shared" si="3049"/>
        <v>0</v>
      </c>
      <c r="AE254" s="159"/>
      <c r="AF254" s="159"/>
      <c r="AG254" s="159"/>
      <c r="AH254" s="159">
        <f t="shared" si="3050"/>
        <v>0</v>
      </c>
      <c r="AI254" s="159"/>
      <c r="AJ254" s="159"/>
      <c r="AK254" s="159"/>
      <c r="AL254" s="159">
        <f t="shared" si="3051"/>
        <v>0</v>
      </c>
      <c r="AM254" s="159"/>
      <c r="AN254" s="159"/>
      <c r="AO254" s="159"/>
      <c r="AP254" s="159">
        <f t="shared" si="3052"/>
        <v>0</v>
      </c>
      <c r="AQ254" s="159">
        <f t="shared" si="3053"/>
        <v>0</v>
      </c>
      <c r="AR254" s="159">
        <f t="shared" si="3053"/>
        <v>0</v>
      </c>
      <c r="AS254" s="159">
        <f t="shared" si="3053"/>
        <v>0</v>
      </c>
      <c r="AT254" s="588">
        <f>SUM(AQ254:AS254)</f>
        <v>0</v>
      </c>
      <c r="AU254" s="159"/>
      <c r="AV254" s="159"/>
      <c r="AW254" s="159"/>
      <c r="AX254" s="159">
        <f t="shared" si="3054"/>
        <v>0</v>
      </c>
      <c r="AY254" s="159"/>
      <c r="AZ254" s="159"/>
      <c r="BA254" s="159"/>
      <c r="BB254" s="159">
        <f t="shared" si="3055"/>
        <v>0</v>
      </c>
      <c r="BC254" s="159"/>
      <c r="BD254" s="159"/>
      <c r="BE254" s="159"/>
      <c r="BF254" s="159">
        <f t="shared" si="3056"/>
        <v>0</v>
      </c>
      <c r="BG254" s="159"/>
      <c r="BH254" s="159"/>
      <c r="BI254" s="159"/>
      <c r="BJ254" s="159">
        <f t="shared" si="3057"/>
        <v>0</v>
      </c>
      <c r="BK254" s="159">
        <f t="shared" si="3058"/>
        <v>0</v>
      </c>
      <c r="BL254" s="159">
        <f t="shared" si="3059"/>
        <v>0</v>
      </c>
      <c r="BM254" s="159">
        <f t="shared" si="3060"/>
        <v>0</v>
      </c>
      <c r="BN254" s="159">
        <f>SUM(BK254:BM254)</f>
        <v>0</v>
      </c>
      <c r="BO254" s="588"/>
      <c r="BP254" s="159">
        <f t="shared" si="3061"/>
        <v>0</v>
      </c>
      <c r="BQ254" s="159">
        <f t="shared" si="3062"/>
        <v>0</v>
      </c>
      <c r="BR254" s="159">
        <f t="shared" si="3063"/>
        <v>0</v>
      </c>
      <c r="BS254" s="588">
        <f>SUM(BP254:BR254)</f>
        <v>0</v>
      </c>
      <c r="BT254" s="159"/>
      <c r="BU254" s="159"/>
      <c r="BV254" s="159"/>
      <c r="BW254" s="159">
        <f t="shared" si="3064"/>
        <v>0</v>
      </c>
      <c r="BX254" s="159">
        <f t="shared" si="3065"/>
        <v>0</v>
      </c>
      <c r="BY254" s="159">
        <f t="shared" si="3066"/>
        <v>0</v>
      </c>
      <c r="BZ254" s="159">
        <f t="shared" si="3067"/>
        <v>0</v>
      </c>
      <c r="CA254" s="583">
        <f t="shared" si="3068"/>
        <v>0</v>
      </c>
    </row>
    <row r="255" spans="1:79" ht="14.1" customHeight="1" x14ac:dyDescent="0.2">
      <c r="A255" s="127" t="s">
        <v>603</v>
      </c>
      <c r="B255" s="568"/>
      <c r="C255" s="78">
        <v>3</v>
      </c>
      <c r="D255" s="69" t="s">
        <v>216</v>
      </c>
      <c r="E255" s="75"/>
      <c r="F255" s="90"/>
      <c r="G255" s="160">
        <f>SUM(G256:G262)</f>
        <v>0</v>
      </c>
      <c r="H255" s="160">
        <f t="shared" ref="H255:I255" si="3069">SUM(H256:H262)</f>
        <v>10000</v>
      </c>
      <c r="I255" s="160">
        <f t="shared" si="3069"/>
        <v>0</v>
      </c>
      <c r="J255" s="160">
        <f t="shared" ref="J255" si="3070">SUM(J256:J262)</f>
        <v>10000</v>
      </c>
      <c r="K255" s="160">
        <f>SUM(K256:K262)</f>
        <v>0</v>
      </c>
      <c r="L255" s="160">
        <f t="shared" ref="L255" si="3071">SUM(L256:L262)</f>
        <v>0</v>
      </c>
      <c r="M255" s="160">
        <f t="shared" ref="M255" si="3072">SUM(M256:M262)</f>
        <v>0</v>
      </c>
      <c r="N255" s="160">
        <f t="shared" ref="N255" si="3073">SUM(N256:N262)</f>
        <v>0</v>
      </c>
      <c r="O255" s="160">
        <f>SUM(O256:O262)</f>
        <v>0</v>
      </c>
      <c r="P255" s="160">
        <f t="shared" ref="P255" si="3074">SUM(P256:P262)</f>
        <v>0</v>
      </c>
      <c r="Q255" s="160">
        <f t="shared" ref="Q255" si="3075">SUM(Q256:Q262)</f>
        <v>0</v>
      </c>
      <c r="R255" s="160">
        <f t="shared" ref="R255" si="3076">SUM(R256:R262)</f>
        <v>0</v>
      </c>
      <c r="S255" s="160">
        <f>SUM(S256:S262)</f>
        <v>0</v>
      </c>
      <c r="T255" s="160">
        <f t="shared" ref="T255" si="3077">SUM(T256:T262)</f>
        <v>0</v>
      </c>
      <c r="U255" s="160">
        <f t="shared" ref="U255" si="3078">SUM(U256:U262)</f>
        <v>0</v>
      </c>
      <c r="V255" s="160">
        <f t="shared" ref="V255" si="3079">SUM(V256:V262)</f>
        <v>0</v>
      </c>
      <c r="W255" s="160">
        <f t="shared" ref="W255" si="3080">SUM(W256:W262)</f>
        <v>0</v>
      </c>
      <c r="X255" s="160">
        <f t="shared" ref="X255" si="3081">SUM(X256:X262)</f>
        <v>10000</v>
      </c>
      <c r="Y255" s="160">
        <f t="shared" ref="Y255" si="3082">SUM(Y256:Y262)</f>
        <v>0</v>
      </c>
      <c r="Z255" s="99">
        <f t="shared" ref="Z255:AD255" si="3083">SUM(Z256:Z262)</f>
        <v>10000</v>
      </c>
      <c r="AA255" s="160">
        <f t="shared" si="3083"/>
        <v>0</v>
      </c>
      <c r="AB255" s="160">
        <f t="shared" si="3083"/>
        <v>0</v>
      </c>
      <c r="AC255" s="160">
        <f t="shared" si="3083"/>
        <v>0</v>
      </c>
      <c r="AD255" s="160">
        <f t="shared" si="3083"/>
        <v>0</v>
      </c>
      <c r="AE255" s="160">
        <f>SUM(AE256:AE262)</f>
        <v>0</v>
      </c>
      <c r="AF255" s="160">
        <f t="shared" ref="AF255:AH255" si="3084">SUM(AF256:AF262)</f>
        <v>0</v>
      </c>
      <c r="AG255" s="160">
        <f t="shared" si="3084"/>
        <v>0</v>
      </c>
      <c r="AH255" s="160">
        <f t="shared" si="3084"/>
        <v>0</v>
      </c>
      <c r="AI255" s="160">
        <f>SUM(AI256:AI262)</f>
        <v>0</v>
      </c>
      <c r="AJ255" s="160">
        <f t="shared" ref="AJ255:AL255" si="3085">SUM(AJ256:AJ262)</f>
        <v>0</v>
      </c>
      <c r="AK255" s="160">
        <f t="shared" si="3085"/>
        <v>0</v>
      </c>
      <c r="AL255" s="160">
        <f t="shared" si="3085"/>
        <v>0</v>
      </c>
      <c r="AM255" s="160">
        <f>SUM(AM256:AM262)</f>
        <v>0</v>
      </c>
      <c r="AN255" s="160">
        <f t="shared" ref="AN255:AT255" si="3086">SUM(AN256:AN262)</f>
        <v>5000</v>
      </c>
      <c r="AO255" s="160">
        <f t="shared" si="3086"/>
        <v>0</v>
      </c>
      <c r="AP255" s="160">
        <f t="shared" si="3086"/>
        <v>5000</v>
      </c>
      <c r="AQ255" s="160">
        <f t="shared" si="3086"/>
        <v>0</v>
      </c>
      <c r="AR255" s="160">
        <f t="shared" si="3086"/>
        <v>5000</v>
      </c>
      <c r="AS255" s="160">
        <f t="shared" si="3086"/>
        <v>0</v>
      </c>
      <c r="AT255" s="99">
        <f t="shared" si="3086"/>
        <v>5000</v>
      </c>
      <c r="AU255" s="160">
        <f>SUM(AU256:AU262)</f>
        <v>0</v>
      </c>
      <c r="AV255" s="160">
        <f t="shared" ref="AV255:AX255" si="3087">SUM(AV256:AV262)</f>
        <v>0</v>
      </c>
      <c r="AW255" s="160">
        <f t="shared" si="3087"/>
        <v>0</v>
      </c>
      <c r="AX255" s="160">
        <f t="shared" si="3087"/>
        <v>0</v>
      </c>
      <c r="AY255" s="160">
        <f>SUM(AY256:AY262)</f>
        <v>0</v>
      </c>
      <c r="AZ255" s="160">
        <f t="shared" ref="AZ255" si="3088">SUM(AZ256:AZ262)</f>
        <v>0</v>
      </c>
      <c r="BA255" s="160">
        <f t="shared" ref="BA255" si="3089">SUM(BA256:BA262)</f>
        <v>0</v>
      </c>
      <c r="BB255" s="160">
        <f t="shared" ref="BB255" si="3090">SUM(BB256:BB262)</f>
        <v>0</v>
      </c>
      <c r="BC255" s="160">
        <f>SUM(BC256:BC262)</f>
        <v>0</v>
      </c>
      <c r="BD255" s="160">
        <f t="shared" ref="BD255" si="3091">SUM(BD256:BD262)</f>
        <v>0</v>
      </c>
      <c r="BE255" s="160">
        <f t="shared" ref="BE255" si="3092">SUM(BE256:BE262)</f>
        <v>0</v>
      </c>
      <c r="BF255" s="160">
        <f t="shared" ref="BF255" si="3093">SUM(BF256:BF262)</f>
        <v>0</v>
      </c>
      <c r="BG255" s="160">
        <f>SUM(BG256:BG262)</f>
        <v>0</v>
      </c>
      <c r="BH255" s="160">
        <f t="shared" ref="BH255" si="3094">SUM(BH256:BH262)</f>
        <v>5000</v>
      </c>
      <c r="BI255" s="160">
        <f t="shared" ref="BI255" si="3095">SUM(BI256:BI262)</f>
        <v>0</v>
      </c>
      <c r="BJ255" s="160">
        <f t="shared" ref="BJ255" si="3096">SUM(BJ256:BJ262)</f>
        <v>5000</v>
      </c>
      <c r="BK255" s="160">
        <f t="shared" ref="BK255" si="3097">SUM(BK256:BK262)</f>
        <v>0</v>
      </c>
      <c r="BL255" s="160">
        <f t="shared" ref="BL255" si="3098">SUM(BL256:BL262)</f>
        <v>5000</v>
      </c>
      <c r="BM255" s="160">
        <f t="shared" ref="BM255" si="3099">SUM(BM256:BM262)</f>
        <v>0</v>
      </c>
      <c r="BN255" s="160">
        <f t="shared" ref="BN255" si="3100">SUM(BN256:BN262)</f>
        <v>5000</v>
      </c>
      <c r="BO255" s="175">
        <f t="shared" ref="BO255" si="3101">SUM(BO256:BO262)</f>
        <v>0</v>
      </c>
      <c r="BP255" s="160">
        <f t="shared" ref="BP255" si="3102">SUM(BP256:BP262)</f>
        <v>0</v>
      </c>
      <c r="BQ255" s="160">
        <f t="shared" ref="BQ255" si="3103">SUM(BQ256:BQ262)</f>
        <v>5000</v>
      </c>
      <c r="BR255" s="160">
        <f t="shared" ref="BR255" si="3104">SUM(BR256:BR262)</f>
        <v>0</v>
      </c>
      <c r="BS255" s="99">
        <f t="shared" ref="BS255" si="3105">SUM(BS256:BS262)</f>
        <v>5000</v>
      </c>
      <c r="BT255" s="160">
        <f>SUM(BT256:BT262)</f>
        <v>0</v>
      </c>
      <c r="BU255" s="160">
        <f t="shared" ref="BU255" si="3106">SUM(BU256:BU262)</f>
        <v>0</v>
      </c>
      <c r="BV255" s="160">
        <f t="shared" ref="BV255" si="3107">SUM(BV256:BV262)</f>
        <v>0</v>
      </c>
      <c r="BW255" s="160">
        <f t="shared" ref="BW255" si="3108">SUM(BW256:BW262)</f>
        <v>0</v>
      </c>
      <c r="BX255" s="160">
        <f t="shared" ref="BX255" si="3109">SUM(BX256:BX262)</f>
        <v>0</v>
      </c>
      <c r="BY255" s="160">
        <f t="shared" ref="BY255" si="3110">SUM(BY256:BY262)</f>
        <v>0</v>
      </c>
      <c r="BZ255" s="160">
        <f t="shared" ref="BZ255" si="3111">SUM(BZ256:BZ262)</f>
        <v>0</v>
      </c>
      <c r="CA255" s="137">
        <f t="shared" ref="CA255" si="3112">SUM(CA256:CA262)</f>
        <v>0</v>
      </c>
    </row>
    <row r="256" spans="1:79" ht="14.1" customHeight="1" x14ac:dyDescent="0.2">
      <c r="A256" s="127" t="s">
        <v>604</v>
      </c>
      <c r="B256" s="568"/>
      <c r="C256" s="78"/>
      <c r="D256" s="98" t="s">
        <v>146</v>
      </c>
      <c r="E256" s="75" t="s">
        <v>605</v>
      </c>
      <c r="F256" s="90"/>
      <c r="G256" s="159"/>
      <c r="H256" s="159">
        <v>10000</v>
      </c>
      <c r="I256" s="159"/>
      <c r="J256" s="159">
        <f t="shared" ref="J256:J262" si="3113">SUM(G256:I256)</f>
        <v>10000</v>
      </c>
      <c r="K256" s="159"/>
      <c r="L256" s="159"/>
      <c r="M256" s="159"/>
      <c r="N256" s="159">
        <f t="shared" ref="N256:N262" si="3114">SUM(K256:M256)</f>
        <v>0</v>
      </c>
      <c r="O256" s="159"/>
      <c r="P256" s="159"/>
      <c r="Q256" s="159"/>
      <c r="R256" s="159">
        <f t="shared" ref="R256:R262" si="3115">SUM(O256:Q256)</f>
        <v>0</v>
      </c>
      <c r="S256" s="159"/>
      <c r="T256" s="159"/>
      <c r="U256" s="159"/>
      <c r="V256" s="159">
        <f t="shared" ref="V256:V262" si="3116">SUM(S256:U256)</f>
        <v>0</v>
      </c>
      <c r="W256" s="159">
        <f t="shared" ref="W256:W262" si="3117">G256-O256+S256+K256</f>
        <v>0</v>
      </c>
      <c r="X256" s="159">
        <f t="shared" ref="X256:X262" si="3118">H256-P256+T256+L256</f>
        <v>10000</v>
      </c>
      <c r="Y256" s="159">
        <f t="shared" ref="Y256:Y262" si="3119">I256-Q256+U256+M256</f>
        <v>0</v>
      </c>
      <c r="Z256" s="588">
        <f t="shared" ref="Z256:Z262" si="3120">SUM(W256:Y256)</f>
        <v>10000</v>
      </c>
      <c r="AA256" s="159"/>
      <c r="AB256" s="159"/>
      <c r="AC256" s="159"/>
      <c r="AD256" s="159">
        <f t="shared" ref="AD256:AD262" si="3121">SUM(AA256:AC256)</f>
        <v>0</v>
      </c>
      <c r="AE256" s="159"/>
      <c r="AF256" s="159"/>
      <c r="AG256" s="159"/>
      <c r="AH256" s="159">
        <f t="shared" ref="AH256:AH262" si="3122">SUM(AE256:AG256)</f>
        <v>0</v>
      </c>
      <c r="AI256" s="159"/>
      <c r="AJ256" s="159"/>
      <c r="AK256" s="159"/>
      <c r="AL256" s="159">
        <f t="shared" ref="AL256:AL262" si="3123">SUM(AI256:AK256)</f>
        <v>0</v>
      </c>
      <c r="AM256" s="159"/>
      <c r="AN256" s="159">
        <v>5000</v>
      </c>
      <c r="AO256" s="159"/>
      <c r="AP256" s="159">
        <f t="shared" ref="AP256:AP262" si="3124">SUM(AM256:AO256)</f>
        <v>5000</v>
      </c>
      <c r="AQ256" s="159">
        <f t="shared" ref="AQ256:AS262" si="3125">AA256+AE256+AI256+AM256</f>
        <v>0</v>
      </c>
      <c r="AR256" s="159">
        <f t="shared" si="3125"/>
        <v>5000</v>
      </c>
      <c r="AS256" s="159">
        <f t="shared" si="3125"/>
        <v>0</v>
      </c>
      <c r="AT256" s="588">
        <f t="shared" ref="AT256:AT262" si="3126">SUM(AQ256:AS256)</f>
        <v>5000</v>
      </c>
      <c r="AU256" s="159"/>
      <c r="AV256" s="159"/>
      <c r="AW256" s="159"/>
      <c r="AX256" s="159">
        <f t="shared" ref="AX256:AX262" si="3127">SUM(AU256:AW256)</f>
        <v>0</v>
      </c>
      <c r="AY256" s="159"/>
      <c r="AZ256" s="159"/>
      <c r="BA256" s="159"/>
      <c r="BB256" s="159">
        <f t="shared" ref="BB256:BB262" si="3128">SUM(AY256:BA256)</f>
        <v>0</v>
      </c>
      <c r="BC256" s="159"/>
      <c r="BD256" s="159"/>
      <c r="BE256" s="159"/>
      <c r="BF256" s="159">
        <f t="shared" ref="BF256:BF262" si="3129">SUM(BC256:BE256)</f>
        <v>0</v>
      </c>
      <c r="BG256" s="159"/>
      <c r="BH256" s="159">
        <v>5000</v>
      </c>
      <c r="BI256" s="159"/>
      <c r="BJ256" s="159">
        <f t="shared" ref="BJ256:BJ262" si="3130">SUM(BG256:BI256)</f>
        <v>5000</v>
      </c>
      <c r="BK256" s="159">
        <f t="shared" ref="BK256:BK262" si="3131">AU256+AY256+BC256+BG256</f>
        <v>0</v>
      </c>
      <c r="BL256" s="159">
        <f t="shared" ref="BL256:BL262" si="3132">AV256+AZ256+BD256+BH256</f>
        <v>5000</v>
      </c>
      <c r="BM256" s="159">
        <f t="shared" ref="BM256:BM262" si="3133">AW256+BA256+BE256+BI256</f>
        <v>0</v>
      </c>
      <c r="BN256" s="159">
        <f t="shared" ref="BN256:BN262" si="3134">SUM(BK256:BM256)</f>
        <v>5000</v>
      </c>
      <c r="BO256" s="588"/>
      <c r="BP256" s="159">
        <f t="shared" ref="BP256:BP262" si="3135">W256-AQ256</f>
        <v>0</v>
      </c>
      <c r="BQ256" s="159">
        <f t="shared" ref="BQ256:BQ262" si="3136">X256-AR256</f>
        <v>5000</v>
      </c>
      <c r="BR256" s="159">
        <f t="shared" ref="BR256:BR262" si="3137">Y256-AS256</f>
        <v>0</v>
      </c>
      <c r="BS256" s="588">
        <f t="shared" ref="BS256:BS262" si="3138">SUM(BP256:BR256)</f>
        <v>5000</v>
      </c>
      <c r="BT256" s="159"/>
      <c r="BU256" s="159"/>
      <c r="BV256" s="159"/>
      <c r="BW256" s="159">
        <f t="shared" ref="BW256:BW262" si="3139">SUM(BT256:BV256)</f>
        <v>0</v>
      </c>
      <c r="BX256" s="159">
        <f t="shared" ref="BX256:BX262" si="3140">AQ256-BK256-BT256</f>
        <v>0</v>
      </c>
      <c r="BY256" s="159">
        <f t="shared" ref="BY256:BY262" si="3141">AR256-BL256-BU256</f>
        <v>0</v>
      </c>
      <c r="BZ256" s="159">
        <f t="shared" ref="BZ256:BZ262" si="3142">AS256-BM256-BV256</f>
        <v>0</v>
      </c>
      <c r="CA256" s="583">
        <f t="shared" ref="CA256:CA262" si="3143">SUM(BX256:BZ256)</f>
        <v>0</v>
      </c>
    </row>
    <row r="257" spans="1:79" ht="14.1" customHeight="1" x14ac:dyDescent="0.2">
      <c r="A257" s="127" t="s">
        <v>606</v>
      </c>
      <c r="B257" s="568"/>
      <c r="C257" s="78"/>
      <c r="D257" s="98" t="s">
        <v>147</v>
      </c>
      <c r="E257" s="75" t="s">
        <v>667</v>
      </c>
      <c r="F257" s="90"/>
      <c r="G257" s="159"/>
      <c r="H257" s="159"/>
      <c r="I257" s="159"/>
      <c r="J257" s="159">
        <f t="shared" si="3113"/>
        <v>0</v>
      </c>
      <c r="K257" s="159"/>
      <c r="L257" s="159"/>
      <c r="M257" s="159"/>
      <c r="N257" s="159">
        <f t="shared" si="3114"/>
        <v>0</v>
      </c>
      <c r="O257" s="159"/>
      <c r="P257" s="159"/>
      <c r="Q257" s="159"/>
      <c r="R257" s="159">
        <f t="shared" si="3115"/>
        <v>0</v>
      </c>
      <c r="S257" s="159"/>
      <c r="T257" s="159"/>
      <c r="U257" s="159"/>
      <c r="V257" s="159">
        <f t="shared" si="3116"/>
        <v>0</v>
      </c>
      <c r="W257" s="159">
        <f t="shared" si="3117"/>
        <v>0</v>
      </c>
      <c r="X257" s="159">
        <f t="shared" si="3118"/>
        <v>0</v>
      </c>
      <c r="Y257" s="159">
        <f t="shared" si="3119"/>
        <v>0</v>
      </c>
      <c r="Z257" s="588">
        <f t="shared" si="3120"/>
        <v>0</v>
      </c>
      <c r="AA257" s="159"/>
      <c r="AB257" s="159"/>
      <c r="AC257" s="159"/>
      <c r="AD257" s="159">
        <f t="shared" si="3121"/>
        <v>0</v>
      </c>
      <c r="AE257" s="159"/>
      <c r="AF257" s="159"/>
      <c r="AG257" s="159"/>
      <c r="AH257" s="159">
        <f t="shared" si="3122"/>
        <v>0</v>
      </c>
      <c r="AI257" s="159"/>
      <c r="AJ257" s="159"/>
      <c r="AK257" s="159"/>
      <c r="AL257" s="159">
        <f t="shared" si="3123"/>
        <v>0</v>
      </c>
      <c r="AM257" s="159"/>
      <c r="AN257" s="159"/>
      <c r="AO257" s="159"/>
      <c r="AP257" s="159">
        <f t="shared" si="3124"/>
        <v>0</v>
      </c>
      <c r="AQ257" s="159">
        <f t="shared" si="3125"/>
        <v>0</v>
      </c>
      <c r="AR257" s="159">
        <f t="shared" si="3125"/>
        <v>0</v>
      </c>
      <c r="AS257" s="159">
        <f t="shared" si="3125"/>
        <v>0</v>
      </c>
      <c r="AT257" s="588">
        <f t="shared" si="3126"/>
        <v>0</v>
      </c>
      <c r="AU257" s="159"/>
      <c r="AV257" s="159"/>
      <c r="AW257" s="159"/>
      <c r="AX257" s="159">
        <f t="shared" si="3127"/>
        <v>0</v>
      </c>
      <c r="AY257" s="159"/>
      <c r="AZ257" s="159"/>
      <c r="BA257" s="159"/>
      <c r="BB257" s="159">
        <f t="shared" si="3128"/>
        <v>0</v>
      </c>
      <c r="BC257" s="159"/>
      <c r="BD257" s="159"/>
      <c r="BE257" s="159"/>
      <c r="BF257" s="159">
        <f t="shared" si="3129"/>
        <v>0</v>
      </c>
      <c r="BG257" s="159"/>
      <c r="BH257" s="159"/>
      <c r="BI257" s="159"/>
      <c r="BJ257" s="159">
        <f t="shared" si="3130"/>
        <v>0</v>
      </c>
      <c r="BK257" s="159">
        <f t="shared" si="3131"/>
        <v>0</v>
      </c>
      <c r="BL257" s="159">
        <f t="shared" si="3132"/>
        <v>0</v>
      </c>
      <c r="BM257" s="159">
        <f t="shared" si="3133"/>
        <v>0</v>
      </c>
      <c r="BN257" s="159">
        <f t="shared" si="3134"/>
        <v>0</v>
      </c>
      <c r="BO257" s="588"/>
      <c r="BP257" s="159">
        <f t="shared" si="3135"/>
        <v>0</v>
      </c>
      <c r="BQ257" s="159">
        <f t="shared" si="3136"/>
        <v>0</v>
      </c>
      <c r="BR257" s="159">
        <f t="shared" si="3137"/>
        <v>0</v>
      </c>
      <c r="BS257" s="588">
        <f t="shared" si="3138"/>
        <v>0</v>
      </c>
      <c r="BT257" s="159"/>
      <c r="BU257" s="159"/>
      <c r="BV257" s="159"/>
      <c r="BW257" s="159">
        <f t="shared" si="3139"/>
        <v>0</v>
      </c>
      <c r="BX257" s="159">
        <f t="shared" si="3140"/>
        <v>0</v>
      </c>
      <c r="BY257" s="159">
        <f t="shared" si="3141"/>
        <v>0</v>
      </c>
      <c r="BZ257" s="159">
        <f t="shared" si="3142"/>
        <v>0</v>
      </c>
      <c r="CA257" s="583">
        <f t="shared" si="3143"/>
        <v>0</v>
      </c>
    </row>
    <row r="258" spans="1:79" ht="14.1" customHeight="1" x14ac:dyDescent="0.2">
      <c r="A258" s="127" t="s">
        <v>607</v>
      </c>
      <c r="B258" s="568"/>
      <c r="C258" s="78"/>
      <c r="D258" s="98" t="s">
        <v>149</v>
      </c>
      <c r="E258" s="75" t="s">
        <v>608</v>
      </c>
      <c r="F258" s="90"/>
      <c r="G258" s="159"/>
      <c r="H258" s="159"/>
      <c r="I258" s="159"/>
      <c r="J258" s="159">
        <f t="shared" si="3113"/>
        <v>0</v>
      </c>
      <c r="K258" s="159"/>
      <c r="L258" s="159"/>
      <c r="M258" s="159"/>
      <c r="N258" s="159">
        <f t="shared" si="3114"/>
        <v>0</v>
      </c>
      <c r="O258" s="159"/>
      <c r="P258" s="159"/>
      <c r="Q258" s="159"/>
      <c r="R258" s="159">
        <f t="shared" si="3115"/>
        <v>0</v>
      </c>
      <c r="S258" s="159"/>
      <c r="T258" s="159"/>
      <c r="U258" s="159"/>
      <c r="V258" s="159">
        <f t="shared" si="3116"/>
        <v>0</v>
      </c>
      <c r="W258" s="159">
        <f t="shared" si="3117"/>
        <v>0</v>
      </c>
      <c r="X258" s="159">
        <f t="shared" si="3118"/>
        <v>0</v>
      </c>
      <c r="Y258" s="159">
        <f t="shared" si="3119"/>
        <v>0</v>
      </c>
      <c r="Z258" s="588">
        <f t="shared" si="3120"/>
        <v>0</v>
      </c>
      <c r="AA258" s="159"/>
      <c r="AB258" s="159"/>
      <c r="AC258" s="159"/>
      <c r="AD258" s="159">
        <f t="shared" si="3121"/>
        <v>0</v>
      </c>
      <c r="AE258" s="159"/>
      <c r="AF258" s="159"/>
      <c r="AG258" s="159"/>
      <c r="AH258" s="159">
        <f t="shared" si="3122"/>
        <v>0</v>
      </c>
      <c r="AI258" s="159"/>
      <c r="AJ258" s="159"/>
      <c r="AK258" s="159"/>
      <c r="AL258" s="159">
        <f t="shared" si="3123"/>
        <v>0</v>
      </c>
      <c r="AM258" s="159"/>
      <c r="AN258" s="159"/>
      <c r="AO258" s="159"/>
      <c r="AP258" s="159">
        <f t="shared" si="3124"/>
        <v>0</v>
      </c>
      <c r="AQ258" s="159">
        <f t="shared" si="3125"/>
        <v>0</v>
      </c>
      <c r="AR258" s="159">
        <f t="shared" si="3125"/>
        <v>0</v>
      </c>
      <c r="AS258" s="159">
        <f t="shared" si="3125"/>
        <v>0</v>
      </c>
      <c r="AT258" s="588">
        <f t="shared" si="3126"/>
        <v>0</v>
      </c>
      <c r="AU258" s="159"/>
      <c r="AV258" s="159"/>
      <c r="AW258" s="159"/>
      <c r="AX258" s="159">
        <f t="shared" si="3127"/>
        <v>0</v>
      </c>
      <c r="AY258" s="159"/>
      <c r="AZ258" s="159"/>
      <c r="BA258" s="159"/>
      <c r="BB258" s="159">
        <f t="shared" si="3128"/>
        <v>0</v>
      </c>
      <c r="BC258" s="159"/>
      <c r="BD258" s="159"/>
      <c r="BE258" s="159"/>
      <c r="BF258" s="159">
        <f t="shared" si="3129"/>
        <v>0</v>
      </c>
      <c r="BG258" s="159"/>
      <c r="BH258" s="159"/>
      <c r="BI258" s="159"/>
      <c r="BJ258" s="159">
        <f t="shared" si="3130"/>
        <v>0</v>
      </c>
      <c r="BK258" s="159">
        <f t="shared" si="3131"/>
        <v>0</v>
      </c>
      <c r="BL258" s="159">
        <f t="shared" si="3132"/>
        <v>0</v>
      </c>
      <c r="BM258" s="159">
        <f t="shared" si="3133"/>
        <v>0</v>
      </c>
      <c r="BN258" s="159">
        <f t="shared" si="3134"/>
        <v>0</v>
      </c>
      <c r="BO258" s="588"/>
      <c r="BP258" s="159">
        <f t="shared" si="3135"/>
        <v>0</v>
      </c>
      <c r="BQ258" s="159">
        <f t="shared" si="3136"/>
        <v>0</v>
      </c>
      <c r="BR258" s="159">
        <f t="shared" si="3137"/>
        <v>0</v>
      </c>
      <c r="BS258" s="588">
        <f t="shared" si="3138"/>
        <v>0</v>
      </c>
      <c r="BT258" s="159"/>
      <c r="BU258" s="159"/>
      <c r="BV258" s="159"/>
      <c r="BW258" s="159">
        <f t="shared" si="3139"/>
        <v>0</v>
      </c>
      <c r="BX258" s="159">
        <f t="shared" si="3140"/>
        <v>0</v>
      </c>
      <c r="BY258" s="159">
        <f t="shared" si="3141"/>
        <v>0</v>
      </c>
      <c r="BZ258" s="159">
        <f t="shared" si="3142"/>
        <v>0</v>
      </c>
      <c r="CA258" s="583">
        <f t="shared" si="3143"/>
        <v>0</v>
      </c>
    </row>
    <row r="259" spans="1:79" ht="14.1" customHeight="1" x14ac:dyDescent="0.2">
      <c r="A259" s="127" t="s">
        <v>609</v>
      </c>
      <c r="B259" s="568"/>
      <c r="C259" s="78"/>
      <c r="D259" s="98" t="s">
        <v>150</v>
      </c>
      <c r="E259" s="75" t="s">
        <v>610</v>
      </c>
      <c r="F259" s="90"/>
      <c r="G259" s="159"/>
      <c r="H259" s="159"/>
      <c r="I259" s="159"/>
      <c r="J259" s="159">
        <f t="shared" si="3113"/>
        <v>0</v>
      </c>
      <c r="K259" s="159"/>
      <c r="L259" s="159"/>
      <c r="M259" s="159"/>
      <c r="N259" s="159">
        <f t="shared" si="3114"/>
        <v>0</v>
      </c>
      <c r="O259" s="159"/>
      <c r="P259" s="159"/>
      <c r="Q259" s="159"/>
      <c r="R259" s="159">
        <f t="shared" si="3115"/>
        <v>0</v>
      </c>
      <c r="S259" s="159"/>
      <c r="T259" s="159"/>
      <c r="U259" s="159"/>
      <c r="V259" s="159">
        <f t="shared" si="3116"/>
        <v>0</v>
      </c>
      <c r="W259" s="159">
        <f t="shared" si="3117"/>
        <v>0</v>
      </c>
      <c r="X259" s="159">
        <f t="shared" si="3118"/>
        <v>0</v>
      </c>
      <c r="Y259" s="159">
        <f t="shared" si="3119"/>
        <v>0</v>
      </c>
      <c r="Z259" s="588">
        <f t="shared" si="3120"/>
        <v>0</v>
      </c>
      <c r="AA259" s="159"/>
      <c r="AB259" s="159"/>
      <c r="AC259" s="159"/>
      <c r="AD259" s="159">
        <f t="shared" si="3121"/>
        <v>0</v>
      </c>
      <c r="AE259" s="159"/>
      <c r="AF259" s="159"/>
      <c r="AG259" s="159"/>
      <c r="AH259" s="159">
        <f t="shared" si="3122"/>
        <v>0</v>
      </c>
      <c r="AI259" s="159"/>
      <c r="AJ259" s="159"/>
      <c r="AK259" s="159"/>
      <c r="AL259" s="159">
        <f t="shared" si="3123"/>
        <v>0</v>
      </c>
      <c r="AM259" s="159"/>
      <c r="AN259" s="159"/>
      <c r="AO259" s="159"/>
      <c r="AP259" s="159">
        <f t="shared" si="3124"/>
        <v>0</v>
      </c>
      <c r="AQ259" s="159">
        <f t="shared" si="3125"/>
        <v>0</v>
      </c>
      <c r="AR259" s="159">
        <f t="shared" si="3125"/>
        <v>0</v>
      </c>
      <c r="AS259" s="159">
        <f t="shared" si="3125"/>
        <v>0</v>
      </c>
      <c r="AT259" s="588">
        <f t="shared" si="3126"/>
        <v>0</v>
      </c>
      <c r="AU259" s="159"/>
      <c r="AV259" s="159"/>
      <c r="AW259" s="159"/>
      <c r="AX259" s="159">
        <f t="shared" si="3127"/>
        <v>0</v>
      </c>
      <c r="AY259" s="159"/>
      <c r="AZ259" s="159"/>
      <c r="BA259" s="159"/>
      <c r="BB259" s="159">
        <f t="shared" si="3128"/>
        <v>0</v>
      </c>
      <c r="BC259" s="159"/>
      <c r="BD259" s="159"/>
      <c r="BE259" s="159"/>
      <c r="BF259" s="159">
        <f t="shared" si="3129"/>
        <v>0</v>
      </c>
      <c r="BG259" s="159"/>
      <c r="BH259" s="159"/>
      <c r="BI259" s="159"/>
      <c r="BJ259" s="159">
        <f t="shared" si="3130"/>
        <v>0</v>
      </c>
      <c r="BK259" s="159">
        <f t="shared" si="3131"/>
        <v>0</v>
      </c>
      <c r="BL259" s="159">
        <f t="shared" si="3132"/>
        <v>0</v>
      </c>
      <c r="BM259" s="159">
        <f t="shared" si="3133"/>
        <v>0</v>
      </c>
      <c r="BN259" s="159">
        <f t="shared" si="3134"/>
        <v>0</v>
      </c>
      <c r="BO259" s="588"/>
      <c r="BP259" s="159">
        <f t="shared" si="3135"/>
        <v>0</v>
      </c>
      <c r="BQ259" s="159">
        <f t="shared" si="3136"/>
        <v>0</v>
      </c>
      <c r="BR259" s="159">
        <f t="shared" si="3137"/>
        <v>0</v>
      </c>
      <c r="BS259" s="588">
        <f t="shared" si="3138"/>
        <v>0</v>
      </c>
      <c r="BT259" s="159"/>
      <c r="BU259" s="159"/>
      <c r="BV259" s="159"/>
      <c r="BW259" s="159">
        <f t="shared" si="3139"/>
        <v>0</v>
      </c>
      <c r="BX259" s="159">
        <f t="shared" si="3140"/>
        <v>0</v>
      </c>
      <c r="BY259" s="159">
        <f t="shared" si="3141"/>
        <v>0</v>
      </c>
      <c r="BZ259" s="159">
        <f t="shared" si="3142"/>
        <v>0</v>
      </c>
      <c r="CA259" s="583">
        <f t="shared" si="3143"/>
        <v>0</v>
      </c>
    </row>
    <row r="260" spans="1:79" ht="14.1" customHeight="1" x14ac:dyDescent="0.2">
      <c r="A260" s="127" t="s">
        <v>611</v>
      </c>
      <c r="B260" s="568"/>
      <c r="C260" s="78"/>
      <c r="D260" s="98" t="s">
        <v>200</v>
      </c>
      <c r="E260" s="75" t="s">
        <v>612</v>
      </c>
      <c r="F260" s="90"/>
      <c r="G260" s="159"/>
      <c r="H260" s="159"/>
      <c r="I260" s="159"/>
      <c r="J260" s="159">
        <f t="shared" si="3113"/>
        <v>0</v>
      </c>
      <c r="K260" s="159"/>
      <c r="L260" s="159"/>
      <c r="M260" s="159"/>
      <c r="N260" s="159">
        <f t="shared" si="3114"/>
        <v>0</v>
      </c>
      <c r="O260" s="159"/>
      <c r="P260" s="159"/>
      <c r="Q260" s="159"/>
      <c r="R260" s="159">
        <f t="shared" si="3115"/>
        <v>0</v>
      </c>
      <c r="S260" s="159"/>
      <c r="T260" s="159"/>
      <c r="U260" s="159"/>
      <c r="V260" s="159">
        <f t="shared" si="3116"/>
        <v>0</v>
      </c>
      <c r="W260" s="159">
        <f t="shared" si="3117"/>
        <v>0</v>
      </c>
      <c r="X260" s="159">
        <f t="shared" si="3118"/>
        <v>0</v>
      </c>
      <c r="Y260" s="159">
        <f t="shared" si="3119"/>
        <v>0</v>
      </c>
      <c r="Z260" s="588">
        <f t="shared" si="3120"/>
        <v>0</v>
      </c>
      <c r="AA260" s="159"/>
      <c r="AB260" s="159"/>
      <c r="AC260" s="159"/>
      <c r="AD260" s="159">
        <f t="shared" si="3121"/>
        <v>0</v>
      </c>
      <c r="AE260" s="159"/>
      <c r="AF260" s="159"/>
      <c r="AG260" s="159"/>
      <c r="AH260" s="159">
        <f t="shared" si="3122"/>
        <v>0</v>
      </c>
      <c r="AI260" s="159"/>
      <c r="AJ260" s="159"/>
      <c r="AK260" s="159"/>
      <c r="AL260" s="159">
        <f t="shared" si="3123"/>
        <v>0</v>
      </c>
      <c r="AM260" s="159"/>
      <c r="AN260" s="159"/>
      <c r="AO260" s="159"/>
      <c r="AP260" s="159">
        <f t="shared" si="3124"/>
        <v>0</v>
      </c>
      <c r="AQ260" s="159">
        <f t="shared" si="3125"/>
        <v>0</v>
      </c>
      <c r="AR260" s="159">
        <f t="shared" si="3125"/>
        <v>0</v>
      </c>
      <c r="AS260" s="159">
        <f t="shared" si="3125"/>
        <v>0</v>
      </c>
      <c r="AT260" s="588">
        <f t="shared" si="3126"/>
        <v>0</v>
      </c>
      <c r="AU260" s="159"/>
      <c r="AV260" s="159"/>
      <c r="AW260" s="159"/>
      <c r="AX260" s="159">
        <f t="shared" si="3127"/>
        <v>0</v>
      </c>
      <c r="AY260" s="159"/>
      <c r="AZ260" s="159"/>
      <c r="BA260" s="159"/>
      <c r="BB260" s="159">
        <f t="shared" si="3128"/>
        <v>0</v>
      </c>
      <c r="BC260" s="159"/>
      <c r="BD260" s="159"/>
      <c r="BE260" s="159"/>
      <c r="BF260" s="159">
        <f t="shared" si="3129"/>
        <v>0</v>
      </c>
      <c r="BG260" s="159"/>
      <c r="BH260" s="159"/>
      <c r="BI260" s="159"/>
      <c r="BJ260" s="159">
        <f t="shared" si="3130"/>
        <v>0</v>
      </c>
      <c r="BK260" s="159">
        <f t="shared" si="3131"/>
        <v>0</v>
      </c>
      <c r="BL260" s="159">
        <f t="shared" si="3132"/>
        <v>0</v>
      </c>
      <c r="BM260" s="159">
        <f t="shared" si="3133"/>
        <v>0</v>
      </c>
      <c r="BN260" s="159">
        <f t="shared" si="3134"/>
        <v>0</v>
      </c>
      <c r="BO260" s="588"/>
      <c r="BP260" s="159">
        <f t="shared" si="3135"/>
        <v>0</v>
      </c>
      <c r="BQ260" s="159">
        <f t="shared" si="3136"/>
        <v>0</v>
      </c>
      <c r="BR260" s="159">
        <f t="shared" si="3137"/>
        <v>0</v>
      </c>
      <c r="BS260" s="588">
        <f t="shared" si="3138"/>
        <v>0</v>
      </c>
      <c r="BT260" s="159"/>
      <c r="BU260" s="159"/>
      <c r="BV260" s="159"/>
      <c r="BW260" s="159">
        <f t="shared" si="3139"/>
        <v>0</v>
      </c>
      <c r="BX260" s="159">
        <f t="shared" si="3140"/>
        <v>0</v>
      </c>
      <c r="BY260" s="159">
        <f t="shared" si="3141"/>
        <v>0</v>
      </c>
      <c r="BZ260" s="159">
        <f t="shared" si="3142"/>
        <v>0</v>
      </c>
      <c r="CA260" s="583">
        <f t="shared" si="3143"/>
        <v>0</v>
      </c>
    </row>
    <row r="261" spans="1:79" ht="14.1" customHeight="1" x14ac:dyDescent="0.2">
      <c r="A261" s="127" t="s">
        <v>613</v>
      </c>
      <c r="B261" s="568"/>
      <c r="C261" s="78"/>
      <c r="D261" s="98" t="s">
        <v>201</v>
      </c>
      <c r="E261" s="75" t="s">
        <v>614</v>
      </c>
      <c r="F261" s="90"/>
      <c r="G261" s="159"/>
      <c r="H261" s="159"/>
      <c r="I261" s="159"/>
      <c r="J261" s="159">
        <f t="shared" si="3113"/>
        <v>0</v>
      </c>
      <c r="K261" s="159"/>
      <c r="L261" s="159"/>
      <c r="M261" s="159"/>
      <c r="N261" s="159">
        <f t="shared" si="3114"/>
        <v>0</v>
      </c>
      <c r="O261" s="159"/>
      <c r="P261" s="159"/>
      <c r="Q261" s="159"/>
      <c r="R261" s="159">
        <f t="shared" si="3115"/>
        <v>0</v>
      </c>
      <c r="S261" s="159"/>
      <c r="T261" s="159"/>
      <c r="U261" s="159"/>
      <c r="V261" s="159">
        <f t="shared" si="3116"/>
        <v>0</v>
      </c>
      <c r="W261" s="159">
        <f t="shared" si="3117"/>
        <v>0</v>
      </c>
      <c r="X261" s="159">
        <f t="shared" si="3118"/>
        <v>0</v>
      </c>
      <c r="Y261" s="159">
        <f t="shared" si="3119"/>
        <v>0</v>
      </c>
      <c r="Z261" s="588">
        <f t="shared" si="3120"/>
        <v>0</v>
      </c>
      <c r="AA261" s="159"/>
      <c r="AB261" s="159"/>
      <c r="AC261" s="159"/>
      <c r="AD261" s="159">
        <f t="shared" si="3121"/>
        <v>0</v>
      </c>
      <c r="AE261" s="159"/>
      <c r="AF261" s="159"/>
      <c r="AG261" s="159"/>
      <c r="AH261" s="159">
        <f t="shared" si="3122"/>
        <v>0</v>
      </c>
      <c r="AI261" s="159"/>
      <c r="AJ261" s="159"/>
      <c r="AK261" s="159"/>
      <c r="AL261" s="159">
        <f t="shared" si="3123"/>
        <v>0</v>
      </c>
      <c r="AM261" s="159"/>
      <c r="AN261" s="159"/>
      <c r="AO261" s="159"/>
      <c r="AP261" s="159">
        <f t="shared" si="3124"/>
        <v>0</v>
      </c>
      <c r="AQ261" s="159">
        <f t="shared" si="3125"/>
        <v>0</v>
      </c>
      <c r="AR261" s="159">
        <f t="shared" si="3125"/>
        <v>0</v>
      </c>
      <c r="AS261" s="159">
        <f t="shared" si="3125"/>
        <v>0</v>
      </c>
      <c r="AT261" s="588">
        <f t="shared" si="3126"/>
        <v>0</v>
      </c>
      <c r="AU261" s="159"/>
      <c r="AV261" s="159"/>
      <c r="AW261" s="159"/>
      <c r="AX261" s="159">
        <f t="shared" si="3127"/>
        <v>0</v>
      </c>
      <c r="AY261" s="159"/>
      <c r="AZ261" s="159"/>
      <c r="BA261" s="159"/>
      <c r="BB261" s="159">
        <f t="shared" si="3128"/>
        <v>0</v>
      </c>
      <c r="BC261" s="159"/>
      <c r="BD261" s="159"/>
      <c r="BE261" s="159"/>
      <c r="BF261" s="159">
        <f t="shared" si="3129"/>
        <v>0</v>
      </c>
      <c r="BG261" s="159"/>
      <c r="BH261" s="159"/>
      <c r="BI261" s="159"/>
      <c r="BJ261" s="159">
        <f t="shared" si="3130"/>
        <v>0</v>
      </c>
      <c r="BK261" s="159">
        <f t="shared" si="3131"/>
        <v>0</v>
      </c>
      <c r="BL261" s="159">
        <f t="shared" si="3132"/>
        <v>0</v>
      </c>
      <c r="BM261" s="159">
        <f t="shared" si="3133"/>
        <v>0</v>
      </c>
      <c r="BN261" s="159">
        <f t="shared" si="3134"/>
        <v>0</v>
      </c>
      <c r="BO261" s="588"/>
      <c r="BP261" s="159">
        <f t="shared" si="3135"/>
        <v>0</v>
      </c>
      <c r="BQ261" s="159">
        <f t="shared" si="3136"/>
        <v>0</v>
      </c>
      <c r="BR261" s="159">
        <f t="shared" si="3137"/>
        <v>0</v>
      </c>
      <c r="BS261" s="588">
        <f t="shared" si="3138"/>
        <v>0</v>
      </c>
      <c r="BT261" s="159"/>
      <c r="BU261" s="159"/>
      <c r="BV261" s="159"/>
      <c r="BW261" s="159">
        <f t="shared" si="3139"/>
        <v>0</v>
      </c>
      <c r="BX261" s="159">
        <f t="shared" si="3140"/>
        <v>0</v>
      </c>
      <c r="BY261" s="159">
        <f t="shared" si="3141"/>
        <v>0</v>
      </c>
      <c r="BZ261" s="159">
        <f t="shared" si="3142"/>
        <v>0</v>
      </c>
      <c r="CA261" s="583">
        <f t="shared" si="3143"/>
        <v>0</v>
      </c>
    </row>
    <row r="262" spans="1:79" ht="14.1" customHeight="1" x14ac:dyDescent="0.2">
      <c r="A262" s="127" t="s">
        <v>615</v>
      </c>
      <c r="B262" s="568"/>
      <c r="C262" s="78"/>
      <c r="D262" s="98" t="s">
        <v>199</v>
      </c>
      <c r="E262" s="75" t="s">
        <v>616</v>
      </c>
      <c r="F262" s="90"/>
      <c r="G262" s="159"/>
      <c r="H262" s="159"/>
      <c r="I262" s="159"/>
      <c r="J262" s="159">
        <f t="shared" si="3113"/>
        <v>0</v>
      </c>
      <c r="K262" s="159"/>
      <c r="L262" s="159"/>
      <c r="M262" s="159"/>
      <c r="N262" s="159">
        <f t="shared" si="3114"/>
        <v>0</v>
      </c>
      <c r="O262" s="159"/>
      <c r="P262" s="159"/>
      <c r="Q262" s="159"/>
      <c r="R262" s="159">
        <f t="shared" si="3115"/>
        <v>0</v>
      </c>
      <c r="S262" s="159"/>
      <c r="T262" s="159"/>
      <c r="U262" s="159"/>
      <c r="V262" s="159">
        <f t="shared" si="3116"/>
        <v>0</v>
      </c>
      <c r="W262" s="159">
        <f t="shared" si="3117"/>
        <v>0</v>
      </c>
      <c r="X262" s="159">
        <f t="shared" si="3118"/>
        <v>0</v>
      </c>
      <c r="Y262" s="159">
        <f t="shared" si="3119"/>
        <v>0</v>
      </c>
      <c r="Z262" s="588">
        <f t="shared" si="3120"/>
        <v>0</v>
      </c>
      <c r="AA262" s="159"/>
      <c r="AB262" s="159"/>
      <c r="AC262" s="159"/>
      <c r="AD262" s="159">
        <f t="shared" si="3121"/>
        <v>0</v>
      </c>
      <c r="AE262" s="159"/>
      <c r="AF262" s="159"/>
      <c r="AG262" s="159"/>
      <c r="AH262" s="159">
        <f t="shared" si="3122"/>
        <v>0</v>
      </c>
      <c r="AI262" s="159"/>
      <c r="AJ262" s="159"/>
      <c r="AK262" s="159"/>
      <c r="AL262" s="159">
        <f t="shared" si="3123"/>
        <v>0</v>
      </c>
      <c r="AM262" s="159"/>
      <c r="AN262" s="159"/>
      <c r="AO262" s="159"/>
      <c r="AP262" s="159">
        <f t="shared" si="3124"/>
        <v>0</v>
      </c>
      <c r="AQ262" s="159">
        <f t="shared" si="3125"/>
        <v>0</v>
      </c>
      <c r="AR262" s="159">
        <f t="shared" si="3125"/>
        <v>0</v>
      </c>
      <c r="AS262" s="159">
        <f t="shared" si="3125"/>
        <v>0</v>
      </c>
      <c r="AT262" s="588">
        <f t="shared" si="3126"/>
        <v>0</v>
      </c>
      <c r="AU262" s="159"/>
      <c r="AV262" s="159"/>
      <c r="AW262" s="159"/>
      <c r="AX262" s="159">
        <f t="shared" si="3127"/>
        <v>0</v>
      </c>
      <c r="AY262" s="159"/>
      <c r="AZ262" s="159"/>
      <c r="BA262" s="159"/>
      <c r="BB262" s="159">
        <f t="shared" si="3128"/>
        <v>0</v>
      </c>
      <c r="BC262" s="159"/>
      <c r="BD262" s="159"/>
      <c r="BE262" s="159"/>
      <c r="BF262" s="159">
        <f t="shared" si="3129"/>
        <v>0</v>
      </c>
      <c r="BG262" s="159"/>
      <c r="BH262" s="159"/>
      <c r="BI262" s="159"/>
      <c r="BJ262" s="159">
        <f t="shared" si="3130"/>
        <v>0</v>
      </c>
      <c r="BK262" s="159">
        <f t="shared" si="3131"/>
        <v>0</v>
      </c>
      <c r="BL262" s="159">
        <f t="shared" si="3132"/>
        <v>0</v>
      </c>
      <c r="BM262" s="159">
        <f t="shared" si="3133"/>
        <v>0</v>
      </c>
      <c r="BN262" s="159">
        <f t="shared" si="3134"/>
        <v>0</v>
      </c>
      <c r="BO262" s="588"/>
      <c r="BP262" s="159">
        <f t="shared" si="3135"/>
        <v>0</v>
      </c>
      <c r="BQ262" s="159">
        <f t="shared" si="3136"/>
        <v>0</v>
      </c>
      <c r="BR262" s="159">
        <f t="shared" si="3137"/>
        <v>0</v>
      </c>
      <c r="BS262" s="588">
        <f t="shared" si="3138"/>
        <v>0</v>
      </c>
      <c r="BT262" s="159"/>
      <c r="BU262" s="159"/>
      <c r="BV262" s="159"/>
      <c r="BW262" s="159">
        <f t="shared" si="3139"/>
        <v>0</v>
      </c>
      <c r="BX262" s="159">
        <f t="shared" si="3140"/>
        <v>0</v>
      </c>
      <c r="BY262" s="159">
        <f t="shared" si="3141"/>
        <v>0</v>
      </c>
      <c r="BZ262" s="159">
        <f t="shared" si="3142"/>
        <v>0</v>
      </c>
      <c r="CA262" s="583">
        <f t="shared" si="3143"/>
        <v>0</v>
      </c>
    </row>
    <row r="263" spans="1:79" ht="14.1" customHeight="1" x14ac:dyDescent="0.2">
      <c r="A263" s="133" t="s">
        <v>202</v>
      </c>
      <c r="B263" s="74" t="s">
        <v>131</v>
      </c>
      <c r="C263" s="74"/>
      <c r="D263" s="73" t="s">
        <v>217</v>
      </c>
      <c r="E263" s="92"/>
      <c r="G263" s="156">
        <f>SUM(G264:G270)</f>
        <v>0</v>
      </c>
      <c r="H263" s="156">
        <f t="shared" ref="H263:I263" si="3144">SUM(H264:H270)</f>
        <v>39351.71</v>
      </c>
      <c r="I263" s="156">
        <f t="shared" si="3144"/>
        <v>0</v>
      </c>
      <c r="J263" s="156">
        <f t="shared" ref="J263" si="3145">SUM(J264:J270)</f>
        <v>39351.71</v>
      </c>
      <c r="K263" s="156">
        <f>SUM(K264:K270)</f>
        <v>0</v>
      </c>
      <c r="L263" s="156">
        <f t="shared" ref="L263" si="3146">SUM(L264:L270)</f>
        <v>0</v>
      </c>
      <c r="M263" s="156">
        <f t="shared" ref="M263" si="3147">SUM(M264:M270)</f>
        <v>0</v>
      </c>
      <c r="N263" s="156">
        <f t="shared" ref="N263" si="3148">SUM(N264:N270)</f>
        <v>0</v>
      </c>
      <c r="O263" s="156">
        <f>SUM(O264:O270)</f>
        <v>0</v>
      </c>
      <c r="P263" s="156">
        <f t="shared" ref="P263" si="3149">SUM(P264:P270)</f>
        <v>0</v>
      </c>
      <c r="Q263" s="156">
        <f t="shared" ref="Q263" si="3150">SUM(Q264:Q270)</f>
        <v>0</v>
      </c>
      <c r="R263" s="156">
        <f t="shared" ref="R263" si="3151">SUM(R264:R270)</f>
        <v>0</v>
      </c>
      <c r="S263" s="156">
        <f>SUM(S264:S270)</f>
        <v>0</v>
      </c>
      <c r="T263" s="156">
        <f t="shared" ref="T263" si="3152">SUM(T264:T270)</f>
        <v>0</v>
      </c>
      <c r="U263" s="156">
        <f t="shared" ref="U263" si="3153">SUM(U264:U270)</f>
        <v>0</v>
      </c>
      <c r="V263" s="156">
        <f t="shared" ref="V263" si="3154">SUM(V264:V270)</f>
        <v>0</v>
      </c>
      <c r="W263" s="156">
        <f t="shared" ref="W263" si="3155">SUM(W264:W270)</f>
        <v>0</v>
      </c>
      <c r="X263" s="156">
        <f t="shared" ref="X263" si="3156">SUM(X264:X270)</f>
        <v>39351.71</v>
      </c>
      <c r="Y263" s="156">
        <f t="shared" ref="Y263" si="3157">SUM(Y264:Y270)</f>
        <v>0</v>
      </c>
      <c r="Z263" s="89">
        <f t="shared" ref="Z263:AD263" si="3158">SUM(Z264:Z270)</f>
        <v>39351.71</v>
      </c>
      <c r="AA263" s="156">
        <f t="shared" si="3158"/>
        <v>0</v>
      </c>
      <c r="AB263" s="156">
        <f t="shared" si="3158"/>
        <v>0</v>
      </c>
      <c r="AC263" s="156">
        <f t="shared" si="3158"/>
        <v>0</v>
      </c>
      <c r="AD263" s="156">
        <f t="shared" si="3158"/>
        <v>0</v>
      </c>
      <c r="AE263" s="156">
        <f>SUM(AE264:AE270)</f>
        <v>0</v>
      </c>
      <c r="AF263" s="156">
        <f t="shared" ref="AF263:AH263" si="3159">SUM(AF264:AF270)</f>
        <v>5238.5</v>
      </c>
      <c r="AG263" s="156">
        <f t="shared" si="3159"/>
        <v>0</v>
      </c>
      <c r="AH263" s="156">
        <f t="shared" si="3159"/>
        <v>5238.5</v>
      </c>
      <c r="AI263" s="156">
        <f>SUM(AI264:AI270)</f>
        <v>0</v>
      </c>
      <c r="AJ263" s="156">
        <f t="shared" ref="AJ263:AL263" si="3160">SUM(AJ264:AJ270)</f>
        <v>20523.21</v>
      </c>
      <c r="AK263" s="156">
        <f t="shared" si="3160"/>
        <v>0</v>
      </c>
      <c r="AL263" s="156">
        <f t="shared" si="3160"/>
        <v>20523.21</v>
      </c>
      <c r="AM263" s="156">
        <f>SUM(AM264:AM270)</f>
        <v>0</v>
      </c>
      <c r="AN263" s="156">
        <f t="shared" ref="AN263:AT263" si="3161">SUM(AN264:AN270)</f>
        <v>13590</v>
      </c>
      <c r="AO263" s="156">
        <f t="shared" si="3161"/>
        <v>0</v>
      </c>
      <c r="AP263" s="156">
        <f t="shared" si="3161"/>
        <v>13590</v>
      </c>
      <c r="AQ263" s="156">
        <f t="shared" si="3161"/>
        <v>0</v>
      </c>
      <c r="AR263" s="156">
        <f t="shared" si="3161"/>
        <v>39351.71</v>
      </c>
      <c r="AS263" s="156">
        <f t="shared" si="3161"/>
        <v>0</v>
      </c>
      <c r="AT263" s="89">
        <f t="shared" si="3161"/>
        <v>39351.71</v>
      </c>
      <c r="AU263" s="156">
        <f>SUM(AU264:AU270)</f>
        <v>0</v>
      </c>
      <c r="AV263" s="156">
        <f t="shared" ref="AV263:AX263" si="3162">SUM(AV264:AV270)</f>
        <v>0</v>
      </c>
      <c r="AW263" s="156">
        <f t="shared" si="3162"/>
        <v>0</v>
      </c>
      <c r="AX263" s="156">
        <f t="shared" si="3162"/>
        <v>0</v>
      </c>
      <c r="AY263" s="156">
        <f>SUM(AY264:AY270)</f>
        <v>0</v>
      </c>
      <c r="AZ263" s="156">
        <f t="shared" ref="AZ263" si="3163">SUM(AZ264:AZ270)</f>
        <v>5238.5</v>
      </c>
      <c r="BA263" s="156">
        <f t="shared" ref="BA263" si="3164">SUM(BA264:BA270)</f>
        <v>0</v>
      </c>
      <c r="BB263" s="156">
        <f t="shared" ref="BB263" si="3165">SUM(BB264:BB270)</f>
        <v>5238.5</v>
      </c>
      <c r="BC263" s="156">
        <f>SUM(BC264:BC270)</f>
        <v>0</v>
      </c>
      <c r="BD263" s="156">
        <f t="shared" ref="BD263" si="3166">SUM(BD264:BD270)</f>
        <v>20523.21</v>
      </c>
      <c r="BE263" s="156">
        <f t="shared" ref="BE263" si="3167">SUM(BE264:BE270)</f>
        <v>0</v>
      </c>
      <c r="BF263" s="156">
        <f t="shared" ref="BF263" si="3168">SUM(BF264:BF270)</f>
        <v>20523.21</v>
      </c>
      <c r="BG263" s="156">
        <f>SUM(BG264:BG270)</f>
        <v>0</v>
      </c>
      <c r="BH263" s="156">
        <f t="shared" ref="BH263" si="3169">SUM(BH264:BH270)</f>
        <v>13590</v>
      </c>
      <c r="BI263" s="156">
        <f t="shared" ref="BI263" si="3170">SUM(BI264:BI270)</f>
        <v>0</v>
      </c>
      <c r="BJ263" s="156">
        <f t="shared" ref="BJ263" si="3171">SUM(BJ264:BJ270)</f>
        <v>13590</v>
      </c>
      <c r="BK263" s="156">
        <f t="shared" ref="BK263" si="3172">SUM(BK264:BK270)</f>
        <v>0</v>
      </c>
      <c r="BL263" s="156">
        <f t="shared" ref="BL263" si="3173">SUM(BL264:BL270)</f>
        <v>39351.71</v>
      </c>
      <c r="BM263" s="156">
        <f t="shared" ref="BM263" si="3174">SUM(BM264:BM270)</f>
        <v>0</v>
      </c>
      <c r="BN263" s="156">
        <f t="shared" ref="BN263" si="3175">SUM(BN264:BN270)</f>
        <v>39351.71</v>
      </c>
      <c r="BO263" s="172">
        <f t="shared" ref="BO263" si="3176">SUM(BO264:BO270)</f>
        <v>0</v>
      </c>
      <c r="BP263" s="156">
        <f t="shared" ref="BP263" si="3177">SUM(BP264:BP270)</f>
        <v>0</v>
      </c>
      <c r="BQ263" s="156">
        <f t="shared" ref="BQ263" si="3178">SUM(BQ264:BQ270)</f>
        <v>0</v>
      </c>
      <c r="BR263" s="156">
        <f t="shared" ref="BR263" si="3179">SUM(BR264:BR270)</f>
        <v>0</v>
      </c>
      <c r="BS263" s="89">
        <f t="shared" ref="BS263" si="3180">SUM(BS264:BS270)</f>
        <v>0</v>
      </c>
      <c r="BT263" s="156">
        <f>SUM(BT264:BT270)</f>
        <v>0</v>
      </c>
      <c r="BU263" s="156">
        <f t="shared" ref="BU263" si="3181">SUM(BU264:BU270)</f>
        <v>0</v>
      </c>
      <c r="BV263" s="156">
        <f t="shared" ref="BV263" si="3182">SUM(BV264:BV270)</f>
        <v>0</v>
      </c>
      <c r="BW263" s="156">
        <f t="shared" ref="BW263" si="3183">SUM(BW264:BW270)</f>
        <v>0</v>
      </c>
      <c r="BX263" s="156">
        <f t="shared" ref="BX263" si="3184">SUM(BX264:BX270)</f>
        <v>0</v>
      </c>
      <c r="BY263" s="156">
        <f t="shared" ref="BY263" si="3185">SUM(BY264:BY270)</f>
        <v>0</v>
      </c>
      <c r="BZ263" s="156">
        <f t="shared" ref="BZ263" si="3186">SUM(BZ264:BZ270)</f>
        <v>0</v>
      </c>
      <c r="CA263" s="130">
        <f t="shared" ref="CA263" si="3187">SUM(CA264:CA270)</f>
        <v>0</v>
      </c>
    </row>
    <row r="264" spans="1:79" ht="14.1" customHeight="1" x14ac:dyDescent="0.2">
      <c r="A264" s="127" t="s">
        <v>203</v>
      </c>
      <c r="B264" s="568"/>
      <c r="C264" s="78">
        <v>1</v>
      </c>
      <c r="D264" s="69" t="s">
        <v>617</v>
      </c>
      <c r="E264" s="75"/>
      <c r="F264" s="90"/>
      <c r="G264" s="159"/>
      <c r="H264" s="159">
        <v>34351.71</v>
      </c>
      <c r="I264" s="159"/>
      <c r="J264" s="159">
        <f t="shared" ref="J264:J270" si="3188">SUM(G264:I264)</f>
        <v>34351.71</v>
      </c>
      <c r="K264" s="159"/>
      <c r="L264" s="159"/>
      <c r="M264" s="159"/>
      <c r="N264" s="159">
        <f t="shared" ref="N264:N270" si="3189">SUM(K264:M264)</f>
        <v>0</v>
      </c>
      <c r="O264" s="159"/>
      <c r="P264" s="159"/>
      <c r="Q264" s="159"/>
      <c r="R264" s="159">
        <f t="shared" ref="R264:R270" si="3190">SUM(O264:Q264)</f>
        <v>0</v>
      </c>
      <c r="S264" s="159"/>
      <c r="T264" s="159"/>
      <c r="U264" s="159"/>
      <c r="V264" s="159">
        <f t="shared" ref="V264:V270" si="3191">SUM(S264:U264)</f>
        <v>0</v>
      </c>
      <c r="W264" s="159">
        <f t="shared" ref="W264:W270" si="3192">G264-O264+S264+K264</f>
        <v>0</v>
      </c>
      <c r="X264" s="159">
        <f t="shared" ref="X264:X270" si="3193">H264-P264+T264+L264</f>
        <v>34351.71</v>
      </c>
      <c r="Y264" s="159">
        <f t="shared" ref="Y264:Y270" si="3194">I264-Q264+U264+M264</f>
        <v>0</v>
      </c>
      <c r="Z264" s="588">
        <f t="shared" ref="Z264:Z270" si="3195">SUM(W264:Y264)</f>
        <v>34351.71</v>
      </c>
      <c r="AA264" s="159"/>
      <c r="AB264" s="159"/>
      <c r="AC264" s="159"/>
      <c r="AD264" s="159">
        <f t="shared" ref="AD264:AD270" si="3196">SUM(AA264:AC264)</f>
        <v>0</v>
      </c>
      <c r="AE264" s="159"/>
      <c r="AF264" s="159">
        <f>1157.72+1048.78+1809.87+1222.13</f>
        <v>5238.5</v>
      </c>
      <c r="AG264" s="159"/>
      <c r="AH264" s="159">
        <f t="shared" ref="AH264:AH270" si="3197">SUM(AE264:AG264)</f>
        <v>5238.5</v>
      </c>
      <c r="AI264" s="159"/>
      <c r="AJ264" s="159">
        <f>11544.23+8978.98</f>
        <v>20523.21</v>
      </c>
      <c r="AK264" s="159"/>
      <c r="AL264" s="159">
        <f t="shared" ref="AL264:AL270" si="3198">SUM(AI264:AK264)</f>
        <v>20523.21</v>
      </c>
      <c r="AM264" s="159"/>
      <c r="AN264" s="159">
        <f>2585+1005+5000</f>
        <v>8590</v>
      </c>
      <c r="AO264" s="159"/>
      <c r="AP264" s="159">
        <f t="shared" ref="AP264:AP270" si="3199">SUM(AM264:AO264)</f>
        <v>8590</v>
      </c>
      <c r="AQ264" s="159">
        <f t="shared" ref="AQ264:AS270" si="3200">AA264+AE264+AI264+AM264</f>
        <v>0</v>
      </c>
      <c r="AR264" s="159">
        <f t="shared" si="3200"/>
        <v>34351.71</v>
      </c>
      <c r="AS264" s="159">
        <f t="shared" si="3200"/>
        <v>0</v>
      </c>
      <c r="AT264" s="588">
        <f t="shared" ref="AT264:AT270" si="3201">SUM(AQ264:AS264)</f>
        <v>34351.71</v>
      </c>
      <c r="AU264" s="159"/>
      <c r="AV264" s="159"/>
      <c r="AW264" s="159"/>
      <c r="AX264" s="159">
        <f t="shared" ref="AX264:AX270" si="3202">SUM(AU264:AW264)</f>
        <v>0</v>
      </c>
      <c r="AY264" s="159"/>
      <c r="AZ264" s="159">
        <f>1157.72+1048.78+1809.87+1222.13</f>
        <v>5238.5</v>
      </c>
      <c r="BA264" s="159"/>
      <c r="BB264" s="159">
        <f t="shared" ref="BB264:BB270" si="3203">SUM(AY264:BA264)</f>
        <v>5238.5</v>
      </c>
      <c r="BC264" s="159"/>
      <c r="BD264" s="159">
        <f>11544.23+8978.98</f>
        <v>20523.21</v>
      </c>
      <c r="BE264" s="159"/>
      <c r="BF264" s="159">
        <f t="shared" ref="BF264:BF270" si="3204">SUM(BC264:BE264)</f>
        <v>20523.21</v>
      </c>
      <c r="BG264" s="159"/>
      <c r="BH264" s="159">
        <f>2585+1005+5000</f>
        <v>8590</v>
      </c>
      <c r="BI264" s="159"/>
      <c r="BJ264" s="159">
        <f t="shared" ref="BJ264:BJ270" si="3205">SUM(BG264:BI264)</f>
        <v>8590</v>
      </c>
      <c r="BK264" s="159">
        <f t="shared" ref="BK264:BK270" si="3206">AU264+AY264+BC264+BG264</f>
        <v>0</v>
      </c>
      <c r="BL264" s="159">
        <f t="shared" ref="BL264:BL270" si="3207">AV264+AZ264+BD264+BH264</f>
        <v>34351.71</v>
      </c>
      <c r="BM264" s="159">
        <f t="shared" ref="BM264:BM270" si="3208">AW264+BA264+BE264+BI264</f>
        <v>0</v>
      </c>
      <c r="BN264" s="159">
        <f t="shared" ref="BN264:BN270" si="3209">SUM(BK264:BM264)</f>
        <v>34351.71</v>
      </c>
      <c r="BO264" s="588"/>
      <c r="BP264" s="159">
        <f t="shared" ref="BP264:BP270" si="3210">W264-AQ264</f>
        <v>0</v>
      </c>
      <c r="BQ264" s="159">
        <f t="shared" ref="BQ264:BQ270" si="3211">X264-AR264</f>
        <v>0</v>
      </c>
      <c r="BR264" s="159">
        <f t="shared" ref="BR264:BR270" si="3212">Y264-AS264</f>
        <v>0</v>
      </c>
      <c r="BS264" s="588">
        <f t="shared" ref="BS264:BS270" si="3213">SUM(BP264:BR264)</f>
        <v>0</v>
      </c>
      <c r="BT264" s="159"/>
      <c r="BU264" s="159"/>
      <c r="BV264" s="159"/>
      <c r="BW264" s="159">
        <f t="shared" ref="BW264:BW270" si="3214">SUM(BT264:BV264)</f>
        <v>0</v>
      </c>
      <c r="BX264" s="159">
        <f t="shared" ref="BX264:BX270" si="3215">AQ264-BK264-BT264</f>
        <v>0</v>
      </c>
      <c r="BY264" s="159">
        <f t="shared" ref="BY264:BY270" si="3216">AR264-BL264-BU264</f>
        <v>0</v>
      </c>
      <c r="BZ264" s="159">
        <f t="shared" ref="BZ264:BZ270" si="3217">AS264-BM264-BV264</f>
        <v>0</v>
      </c>
      <c r="CA264" s="583">
        <f t="shared" ref="CA264:CA270" si="3218">SUM(BX264:BZ264)</f>
        <v>0</v>
      </c>
    </row>
    <row r="265" spans="1:79" ht="14.1" customHeight="1" x14ac:dyDescent="0.2">
      <c r="A265" s="127" t="s">
        <v>204</v>
      </c>
      <c r="B265" s="568"/>
      <c r="C265" s="78">
        <v>2</v>
      </c>
      <c r="D265" s="69" t="s">
        <v>618</v>
      </c>
      <c r="E265" s="75"/>
      <c r="F265" s="90"/>
      <c r="G265" s="159"/>
      <c r="H265" s="159">
        <v>5000</v>
      </c>
      <c r="I265" s="159"/>
      <c r="J265" s="159">
        <f t="shared" si="3188"/>
        <v>5000</v>
      </c>
      <c r="K265" s="159"/>
      <c r="L265" s="159"/>
      <c r="M265" s="159"/>
      <c r="N265" s="159">
        <f t="shared" si="3189"/>
        <v>0</v>
      </c>
      <c r="O265" s="159"/>
      <c r="P265" s="159"/>
      <c r="Q265" s="159"/>
      <c r="R265" s="159">
        <f t="shared" si="3190"/>
        <v>0</v>
      </c>
      <c r="S265" s="159"/>
      <c r="T265" s="159"/>
      <c r="U265" s="159"/>
      <c r="V265" s="159">
        <f t="shared" si="3191"/>
        <v>0</v>
      </c>
      <c r="W265" s="159">
        <f t="shared" si="3192"/>
        <v>0</v>
      </c>
      <c r="X265" s="159">
        <f t="shared" si="3193"/>
        <v>5000</v>
      </c>
      <c r="Y265" s="159">
        <f t="shared" si="3194"/>
        <v>0</v>
      </c>
      <c r="Z265" s="588">
        <f t="shared" si="3195"/>
        <v>5000</v>
      </c>
      <c r="AA265" s="159"/>
      <c r="AB265" s="159"/>
      <c r="AC265" s="159"/>
      <c r="AD265" s="159">
        <f t="shared" si="3196"/>
        <v>0</v>
      </c>
      <c r="AE265" s="159"/>
      <c r="AF265" s="159"/>
      <c r="AG265" s="159"/>
      <c r="AH265" s="159">
        <f t="shared" si="3197"/>
        <v>0</v>
      </c>
      <c r="AI265" s="159"/>
      <c r="AJ265" s="159"/>
      <c r="AK265" s="159"/>
      <c r="AL265" s="159">
        <f t="shared" si="3198"/>
        <v>0</v>
      </c>
      <c r="AM265" s="159"/>
      <c r="AN265" s="159">
        <v>5000</v>
      </c>
      <c r="AO265" s="159"/>
      <c r="AP265" s="159">
        <f t="shared" si="3199"/>
        <v>5000</v>
      </c>
      <c r="AQ265" s="159">
        <f t="shared" si="3200"/>
        <v>0</v>
      </c>
      <c r="AR265" s="159">
        <f t="shared" si="3200"/>
        <v>5000</v>
      </c>
      <c r="AS265" s="159">
        <f t="shared" si="3200"/>
        <v>0</v>
      </c>
      <c r="AT265" s="588">
        <f t="shared" si="3201"/>
        <v>5000</v>
      </c>
      <c r="AU265" s="159"/>
      <c r="AV265" s="159"/>
      <c r="AW265" s="159"/>
      <c r="AX265" s="159">
        <f t="shared" si="3202"/>
        <v>0</v>
      </c>
      <c r="AY265" s="159"/>
      <c r="AZ265" s="159"/>
      <c r="BA265" s="159"/>
      <c r="BB265" s="159">
        <f t="shared" si="3203"/>
        <v>0</v>
      </c>
      <c r="BC265" s="159"/>
      <c r="BD265" s="159"/>
      <c r="BE265" s="159"/>
      <c r="BF265" s="159">
        <f t="shared" si="3204"/>
        <v>0</v>
      </c>
      <c r="BG265" s="159"/>
      <c r="BH265" s="159">
        <v>5000</v>
      </c>
      <c r="BI265" s="159"/>
      <c r="BJ265" s="159">
        <f t="shared" si="3205"/>
        <v>5000</v>
      </c>
      <c r="BK265" s="159">
        <f t="shared" si="3206"/>
        <v>0</v>
      </c>
      <c r="BL265" s="159">
        <f t="shared" si="3207"/>
        <v>5000</v>
      </c>
      <c r="BM265" s="159">
        <f t="shared" si="3208"/>
        <v>0</v>
      </c>
      <c r="BN265" s="159">
        <f t="shared" si="3209"/>
        <v>5000</v>
      </c>
      <c r="BO265" s="588"/>
      <c r="BP265" s="159">
        <f t="shared" si="3210"/>
        <v>0</v>
      </c>
      <c r="BQ265" s="159">
        <f t="shared" si="3211"/>
        <v>0</v>
      </c>
      <c r="BR265" s="159">
        <f t="shared" si="3212"/>
        <v>0</v>
      </c>
      <c r="BS265" s="588">
        <f t="shared" si="3213"/>
        <v>0</v>
      </c>
      <c r="BT265" s="159"/>
      <c r="BU265" s="159"/>
      <c r="BV265" s="159"/>
      <c r="BW265" s="159">
        <f t="shared" si="3214"/>
        <v>0</v>
      </c>
      <c r="BX265" s="159">
        <f t="shared" si="3215"/>
        <v>0</v>
      </c>
      <c r="BY265" s="159">
        <f t="shared" si="3216"/>
        <v>0</v>
      </c>
      <c r="BZ265" s="159">
        <f t="shared" si="3217"/>
        <v>0</v>
      </c>
      <c r="CA265" s="583">
        <f t="shared" si="3218"/>
        <v>0</v>
      </c>
    </row>
    <row r="266" spans="1:79" ht="14.1" customHeight="1" x14ac:dyDescent="0.2">
      <c r="A266" s="127" t="s">
        <v>205</v>
      </c>
      <c r="B266" s="568"/>
      <c r="C266" s="78">
        <v>3</v>
      </c>
      <c r="D266" s="69" t="s">
        <v>619</v>
      </c>
      <c r="E266" s="75"/>
      <c r="F266" s="90"/>
      <c r="G266" s="159"/>
      <c r="H266" s="159"/>
      <c r="I266" s="159"/>
      <c r="J266" s="159">
        <f t="shared" si="3188"/>
        <v>0</v>
      </c>
      <c r="K266" s="159"/>
      <c r="L266" s="159"/>
      <c r="M266" s="159"/>
      <c r="N266" s="159">
        <f t="shared" si="3189"/>
        <v>0</v>
      </c>
      <c r="O266" s="159"/>
      <c r="P266" s="159"/>
      <c r="Q266" s="159"/>
      <c r="R266" s="159">
        <f t="shared" si="3190"/>
        <v>0</v>
      </c>
      <c r="S266" s="159"/>
      <c r="T266" s="159"/>
      <c r="U266" s="159"/>
      <c r="V266" s="159">
        <f t="shared" si="3191"/>
        <v>0</v>
      </c>
      <c r="W266" s="159">
        <f t="shared" si="3192"/>
        <v>0</v>
      </c>
      <c r="X266" s="159">
        <f t="shared" si="3193"/>
        <v>0</v>
      </c>
      <c r="Y266" s="159">
        <f t="shared" si="3194"/>
        <v>0</v>
      </c>
      <c r="Z266" s="588">
        <f t="shared" si="3195"/>
        <v>0</v>
      </c>
      <c r="AA266" s="159"/>
      <c r="AB266" s="159"/>
      <c r="AC266" s="159"/>
      <c r="AD266" s="159">
        <f t="shared" si="3196"/>
        <v>0</v>
      </c>
      <c r="AE266" s="159"/>
      <c r="AF266" s="159"/>
      <c r="AG266" s="159"/>
      <c r="AH266" s="159">
        <f t="shared" si="3197"/>
        <v>0</v>
      </c>
      <c r="AI266" s="159"/>
      <c r="AJ266" s="159"/>
      <c r="AK266" s="159"/>
      <c r="AL266" s="159">
        <f t="shared" si="3198"/>
        <v>0</v>
      </c>
      <c r="AM266" s="159"/>
      <c r="AN266" s="159"/>
      <c r="AO266" s="159"/>
      <c r="AP266" s="159">
        <f t="shared" si="3199"/>
        <v>0</v>
      </c>
      <c r="AQ266" s="159">
        <f t="shared" si="3200"/>
        <v>0</v>
      </c>
      <c r="AR266" s="159">
        <f t="shared" si="3200"/>
        <v>0</v>
      </c>
      <c r="AS266" s="159">
        <f t="shared" si="3200"/>
        <v>0</v>
      </c>
      <c r="AT266" s="588">
        <f t="shared" si="3201"/>
        <v>0</v>
      </c>
      <c r="AU266" s="159"/>
      <c r="AV266" s="159"/>
      <c r="AW266" s="159"/>
      <c r="AX266" s="159">
        <f t="shared" si="3202"/>
        <v>0</v>
      </c>
      <c r="AY266" s="159"/>
      <c r="AZ266" s="159"/>
      <c r="BA266" s="159"/>
      <c r="BB266" s="159">
        <f t="shared" si="3203"/>
        <v>0</v>
      </c>
      <c r="BC266" s="159"/>
      <c r="BD266" s="159"/>
      <c r="BE266" s="159"/>
      <c r="BF266" s="159">
        <f t="shared" si="3204"/>
        <v>0</v>
      </c>
      <c r="BG266" s="159"/>
      <c r="BH266" s="159"/>
      <c r="BI266" s="159"/>
      <c r="BJ266" s="159">
        <f t="shared" si="3205"/>
        <v>0</v>
      </c>
      <c r="BK266" s="159">
        <f t="shared" si="3206"/>
        <v>0</v>
      </c>
      <c r="BL266" s="159">
        <f t="shared" si="3207"/>
        <v>0</v>
      </c>
      <c r="BM266" s="159">
        <f t="shared" si="3208"/>
        <v>0</v>
      </c>
      <c r="BN266" s="159">
        <f t="shared" si="3209"/>
        <v>0</v>
      </c>
      <c r="BO266" s="588"/>
      <c r="BP266" s="159">
        <f t="shared" si="3210"/>
        <v>0</v>
      </c>
      <c r="BQ266" s="159">
        <f t="shared" si="3211"/>
        <v>0</v>
      </c>
      <c r="BR266" s="159">
        <f t="shared" si="3212"/>
        <v>0</v>
      </c>
      <c r="BS266" s="588">
        <f t="shared" si="3213"/>
        <v>0</v>
      </c>
      <c r="BT266" s="159"/>
      <c r="BU266" s="159"/>
      <c r="BV266" s="159"/>
      <c r="BW266" s="159">
        <f t="shared" si="3214"/>
        <v>0</v>
      </c>
      <c r="BX266" s="159">
        <f t="shared" si="3215"/>
        <v>0</v>
      </c>
      <c r="BY266" s="159">
        <f t="shared" si="3216"/>
        <v>0</v>
      </c>
      <c r="BZ266" s="159">
        <f t="shared" si="3217"/>
        <v>0</v>
      </c>
      <c r="CA266" s="583">
        <f t="shared" si="3218"/>
        <v>0</v>
      </c>
    </row>
    <row r="267" spans="1:79" ht="14.1" customHeight="1" x14ac:dyDescent="0.2">
      <c r="A267" s="127" t="s">
        <v>206</v>
      </c>
      <c r="B267" s="568"/>
      <c r="C267" s="78">
        <v>4</v>
      </c>
      <c r="D267" s="69" t="s">
        <v>620</v>
      </c>
      <c r="E267" s="75"/>
      <c r="F267" s="90"/>
      <c r="G267" s="159"/>
      <c r="H267" s="159"/>
      <c r="I267" s="159"/>
      <c r="J267" s="159">
        <f t="shared" si="3188"/>
        <v>0</v>
      </c>
      <c r="K267" s="159"/>
      <c r="L267" s="159"/>
      <c r="M267" s="159"/>
      <c r="N267" s="159">
        <f t="shared" si="3189"/>
        <v>0</v>
      </c>
      <c r="O267" s="159"/>
      <c r="P267" s="159"/>
      <c r="Q267" s="159"/>
      <c r="R267" s="159">
        <f t="shared" si="3190"/>
        <v>0</v>
      </c>
      <c r="S267" s="159"/>
      <c r="T267" s="159"/>
      <c r="U267" s="159"/>
      <c r="V267" s="159">
        <f t="shared" si="3191"/>
        <v>0</v>
      </c>
      <c r="W267" s="159">
        <f t="shared" si="3192"/>
        <v>0</v>
      </c>
      <c r="X267" s="159">
        <f t="shared" si="3193"/>
        <v>0</v>
      </c>
      <c r="Y267" s="159">
        <f t="shared" si="3194"/>
        <v>0</v>
      </c>
      <c r="Z267" s="588">
        <f t="shared" si="3195"/>
        <v>0</v>
      </c>
      <c r="AA267" s="159"/>
      <c r="AB267" s="159"/>
      <c r="AC267" s="159"/>
      <c r="AD267" s="159">
        <f t="shared" si="3196"/>
        <v>0</v>
      </c>
      <c r="AE267" s="159"/>
      <c r="AF267" s="159"/>
      <c r="AG267" s="159"/>
      <c r="AH267" s="159">
        <f t="shared" si="3197"/>
        <v>0</v>
      </c>
      <c r="AI267" s="159"/>
      <c r="AJ267" s="159"/>
      <c r="AK267" s="159"/>
      <c r="AL267" s="159">
        <f t="shared" si="3198"/>
        <v>0</v>
      </c>
      <c r="AM267" s="159"/>
      <c r="AN267" s="159"/>
      <c r="AO267" s="159"/>
      <c r="AP267" s="159">
        <f t="shared" si="3199"/>
        <v>0</v>
      </c>
      <c r="AQ267" s="159">
        <f t="shared" si="3200"/>
        <v>0</v>
      </c>
      <c r="AR267" s="159">
        <f t="shared" si="3200"/>
        <v>0</v>
      </c>
      <c r="AS267" s="159">
        <f t="shared" si="3200"/>
        <v>0</v>
      </c>
      <c r="AT267" s="588">
        <f t="shared" si="3201"/>
        <v>0</v>
      </c>
      <c r="AU267" s="159"/>
      <c r="AV267" s="159"/>
      <c r="AW267" s="159"/>
      <c r="AX267" s="159">
        <f t="shared" si="3202"/>
        <v>0</v>
      </c>
      <c r="AY267" s="159"/>
      <c r="AZ267" s="159"/>
      <c r="BA267" s="159"/>
      <c r="BB267" s="159">
        <f t="shared" si="3203"/>
        <v>0</v>
      </c>
      <c r="BC267" s="159"/>
      <c r="BD267" s="159"/>
      <c r="BE267" s="159"/>
      <c r="BF267" s="159">
        <f t="shared" si="3204"/>
        <v>0</v>
      </c>
      <c r="BG267" s="159"/>
      <c r="BH267" s="159"/>
      <c r="BI267" s="159"/>
      <c r="BJ267" s="159">
        <f t="shared" si="3205"/>
        <v>0</v>
      </c>
      <c r="BK267" s="159">
        <f t="shared" si="3206"/>
        <v>0</v>
      </c>
      <c r="BL267" s="159">
        <f t="shared" si="3207"/>
        <v>0</v>
      </c>
      <c r="BM267" s="159">
        <f t="shared" si="3208"/>
        <v>0</v>
      </c>
      <c r="BN267" s="159">
        <f t="shared" si="3209"/>
        <v>0</v>
      </c>
      <c r="BO267" s="588"/>
      <c r="BP267" s="159">
        <f t="shared" si="3210"/>
        <v>0</v>
      </c>
      <c r="BQ267" s="159">
        <f t="shared" si="3211"/>
        <v>0</v>
      </c>
      <c r="BR267" s="159">
        <f t="shared" si="3212"/>
        <v>0</v>
      </c>
      <c r="BS267" s="588">
        <f t="shared" si="3213"/>
        <v>0</v>
      </c>
      <c r="BT267" s="159"/>
      <c r="BU267" s="159"/>
      <c r="BV267" s="159"/>
      <c r="BW267" s="159">
        <f t="shared" si="3214"/>
        <v>0</v>
      </c>
      <c r="BX267" s="159">
        <f t="shared" si="3215"/>
        <v>0</v>
      </c>
      <c r="BY267" s="159">
        <f t="shared" si="3216"/>
        <v>0</v>
      </c>
      <c r="BZ267" s="159">
        <f t="shared" si="3217"/>
        <v>0</v>
      </c>
      <c r="CA267" s="583">
        <f t="shared" si="3218"/>
        <v>0</v>
      </c>
    </row>
    <row r="268" spans="1:79" ht="14.1" customHeight="1" x14ac:dyDescent="0.2">
      <c r="A268" s="127" t="s">
        <v>621</v>
      </c>
      <c r="B268" s="568"/>
      <c r="C268" s="78">
        <v>5</v>
      </c>
      <c r="D268" s="69" t="s">
        <v>622</v>
      </c>
      <c r="E268" s="75"/>
      <c r="F268" s="90"/>
      <c r="G268" s="159"/>
      <c r="H268" s="159"/>
      <c r="I268" s="159"/>
      <c r="J268" s="159">
        <f t="shared" si="3188"/>
        <v>0</v>
      </c>
      <c r="K268" s="159"/>
      <c r="L268" s="159"/>
      <c r="M268" s="159"/>
      <c r="N268" s="159">
        <f t="shared" si="3189"/>
        <v>0</v>
      </c>
      <c r="O268" s="159"/>
      <c r="P268" s="159"/>
      <c r="Q268" s="159"/>
      <c r="R268" s="159">
        <f t="shared" si="3190"/>
        <v>0</v>
      </c>
      <c r="S268" s="159"/>
      <c r="T268" s="159"/>
      <c r="U268" s="159"/>
      <c r="V268" s="159">
        <f t="shared" si="3191"/>
        <v>0</v>
      </c>
      <c r="W268" s="159">
        <f t="shared" si="3192"/>
        <v>0</v>
      </c>
      <c r="X268" s="159">
        <f t="shared" si="3193"/>
        <v>0</v>
      </c>
      <c r="Y268" s="159">
        <f t="shared" si="3194"/>
        <v>0</v>
      </c>
      <c r="Z268" s="588">
        <f t="shared" si="3195"/>
        <v>0</v>
      </c>
      <c r="AA268" s="159"/>
      <c r="AB268" s="159"/>
      <c r="AC268" s="159"/>
      <c r="AD268" s="159">
        <f t="shared" si="3196"/>
        <v>0</v>
      </c>
      <c r="AE268" s="159"/>
      <c r="AF268" s="159"/>
      <c r="AG268" s="159"/>
      <c r="AH268" s="159">
        <f t="shared" si="3197"/>
        <v>0</v>
      </c>
      <c r="AI268" s="159"/>
      <c r="AJ268" s="159"/>
      <c r="AK268" s="159"/>
      <c r="AL268" s="159">
        <f t="shared" si="3198"/>
        <v>0</v>
      </c>
      <c r="AM268" s="159"/>
      <c r="AN268" s="159"/>
      <c r="AO268" s="159"/>
      <c r="AP268" s="159">
        <f t="shared" si="3199"/>
        <v>0</v>
      </c>
      <c r="AQ268" s="159">
        <f t="shared" si="3200"/>
        <v>0</v>
      </c>
      <c r="AR268" s="159">
        <f t="shared" si="3200"/>
        <v>0</v>
      </c>
      <c r="AS268" s="159">
        <f t="shared" si="3200"/>
        <v>0</v>
      </c>
      <c r="AT268" s="588">
        <f t="shared" si="3201"/>
        <v>0</v>
      </c>
      <c r="AU268" s="159"/>
      <c r="AV268" s="159"/>
      <c r="AW268" s="159"/>
      <c r="AX268" s="159">
        <f t="shared" si="3202"/>
        <v>0</v>
      </c>
      <c r="AY268" s="159"/>
      <c r="AZ268" s="159"/>
      <c r="BA268" s="159"/>
      <c r="BB268" s="159">
        <f t="shared" si="3203"/>
        <v>0</v>
      </c>
      <c r="BC268" s="159"/>
      <c r="BD268" s="159"/>
      <c r="BE268" s="159"/>
      <c r="BF268" s="159">
        <f t="shared" si="3204"/>
        <v>0</v>
      </c>
      <c r="BG268" s="159"/>
      <c r="BH268" s="159"/>
      <c r="BI268" s="159"/>
      <c r="BJ268" s="159">
        <f t="shared" si="3205"/>
        <v>0</v>
      </c>
      <c r="BK268" s="159">
        <f t="shared" si="3206"/>
        <v>0</v>
      </c>
      <c r="BL268" s="159">
        <f t="shared" si="3207"/>
        <v>0</v>
      </c>
      <c r="BM268" s="159">
        <f t="shared" si="3208"/>
        <v>0</v>
      </c>
      <c r="BN268" s="159">
        <f t="shared" si="3209"/>
        <v>0</v>
      </c>
      <c r="BO268" s="588"/>
      <c r="BP268" s="159">
        <f t="shared" si="3210"/>
        <v>0</v>
      </c>
      <c r="BQ268" s="159">
        <f t="shared" si="3211"/>
        <v>0</v>
      </c>
      <c r="BR268" s="159">
        <f t="shared" si="3212"/>
        <v>0</v>
      </c>
      <c r="BS268" s="588">
        <f t="shared" si="3213"/>
        <v>0</v>
      </c>
      <c r="BT268" s="159"/>
      <c r="BU268" s="159"/>
      <c r="BV268" s="159"/>
      <c r="BW268" s="159">
        <f t="shared" si="3214"/>
        <v>0</v>
      </c>
      <c r="BX268" s="159">
        <f t="shared" si="3215"/>
        <v>0</v>
      </c>
      <c r="BY268" s="159">
        <f t="shared" si="3216"/>
        <v>0</v>
      </c>
      <c r="BZ268" s="159">
        <f t="shared" si="3217"/>
        <v>0</v>
      </c>
      <c r="CA268" s="583">
        <f t="shared" si="3218"/>
        <v>0</v>
      </c>
    </row>
    <row r="269" spans="1:79" ht="14.1" customHeight="1" x14ac:dyDescent="0.2">
      <c r="A269" s="127" t="s">
        <v>623</v>
      </c>
      <c r="B269" s="568"/>
      <c r="C269" s="78">
        <v>6</v>
      </c>
      <c r="D269" s="69" t="s">
        <v>624</v>
      </c>
      <c r="E269" s="75"/>
      <c r="F269" s="90"/>
      <c r="G269" s="159"/>
      <c r="H269" s="159"/>
      <c r="I269" s="159"/>
      <c r="J269" s="159">
        <f t="shared" si="3188"/>
        <v>0</v>
      </c>
      <c r="K269" s="159"/>
      <c r="L269" s="159"/>
      <c r="M269" s="159"/>
      <c r="N269" s="159">
        <f t="shared" si="3189"/>
        <v>0</v>
      </c>
      <c r="O269" s="159"/>
      <c r="P269" s="159"/>
      <c r="Q269" s="159"/>
      <c r="R269" s="159">
        <f t="shared" si="3190"/>
        <v>0</v>
      </c>
      <c r="S269" s="159"/>
      <c r="T269" s="159"/>
      <c r="U269" s="159"/>
      <c r="V269" s="159">
        <f t="shared" si="3191"/>
        <v>0</v>
      </c>
      <c r="W269" s="159">
        <f t="shared" si="3192"/>
        <v>0</v>
      </c>
      <c r="X269" s="159">
        <f t="shared" si="3193"/>
        <v>0</v>
      </c>
      <c r="Y269" s="159">
        <f t="shared" si="3194"/>
        <v>0</v>
      </c>
      <c r="Z269" s="588">
        <f t="shared" si="3195"/>
        <v>0</v>
      </c>
      <c r="AA269" s="159"/>
      <c r="AB269" s="159"/>
      <c r="AC269" s="159"/>
      <c r="AD269" s="159">
        <f t="shared" si="3196"/>
        <v>0</v>
      </c>
      <c r="AE269" s="159"/>
      <c r="AF269" s="159"/>
      <c r="AG269" s="159"/>
      <c r="AH269" s="159">
        <f t="shared" si="3197"/>
        <v>0</v>
      </c>
      <c r="AI269" s="159"/>
      <c r="AJ269" s="159"/>
      <c r="AK269" s="159"/>
      <c r="AL269" s="159">
        <f t="shared" si="3198"/>
        <v>0</v>
      </c>
      <c r="AM269" s="159"/>
      <c r="AN269" s="159"/>
      <c r="AO269" s="159"/>
      <c r="AP269" s="159">
        <f t="shared" si="3199"/>
        <v>0</v>
      </c>
      <c r="AQ269" s="159">
        <f t="shared" si="3200"/>
        <v>0</v>
      </c>
      <c r="AR269" s="159">
        <f t="shared" si="3200"/>
        <v>0</v>
      </c>
      <c r="AS269" s="159">
        <f t="shared" si="3200"/>
        <v>0</v>
      </c>
      <c r="AT269" s="588">
        <f t="shared" si="3201"/>
        <v>0</v>
      </c>
      <c r="AU269" s="159"/>
      <c r="AV269" s="159"/>
      <c r="AW269" s="159"/>
      <c r="AX269" s="159">
        <f t="shared" si="3202"/>
        <v>0</v>
      </c>
      <c r="AY269" s="159"/>
      <c r="AZ269" s="159"/>
      <c r="BA269" s="159"/>
      <c r="BB269" s="159">
        <f t="shared" si="3203"/>
        <v>0</v>
      </c>
      <c r="BC269" s="159"/>
      <c r="BD269" s="159"/>
      <c r="BE269" s="159"/>
      <c r="BF269" s="159">
        <f t="shared" si="3204"/>
        <v>0</v>
      </c>
      <c r="BG269" s="159"/>
      <c r="BH269" s="159"/>
      <c r="BI269" s="159"/>
      <c r="BJ269" s="159">
        <f t="shared" si="3205"/>
        <v>0</v>
      </c>
      <c r="BK269" s="159">
        <f t="shared" si="3206"/>
        <v>0</v>
      </c>
      <c r="BL269" s="159">
        <f t="shared" si="3207"/>
        <v>0</v>
      </c>
      <c r="BM269" s="159">
        <f t="shared" si="3208"/>
        <v>0</v>
      </c>
      <c r="BN269" s="159">
        <f t="shared" si="3209"/>
        <v>0</v>
      </c>
      <c r="BO269" s="588"/>
      <c r="BP269" s="159">
        <f t="shared" si="3210"/>
        <v>0</v>
      </c>
      <c r="BQ269" s="159">
        <f t="shared" si="3211"/>
        <v>0</v>
      </c>
      <c r="BR269" s="159">
        <f t="shared" si="3212"/>
        <v>0</v>
      </c>
      <c r="BS269" s="588">
        <f t="shared" si="3213"/>
        <v>0</v>
      </c>
      <c r="BT269" s="159"/>
      <c r="BU269" s="159"/>
      <c r="BV269" s="159"/>
      <c r="BW269" s="159">
        <f t="shared" si="3214"/>
        <v>0</v>
      </c>
      <c r="BX269" s="159">
        <f t="shared" si="3215"/>
        <v>0</v>
      </c>
      <c r="BY269" s="159">
        <f t="shared" si="3216"/>
        <v>0</v>
      </c>
      <c r="BZ269" s="159">
        <f t="shared" si="3217"/>
        <v>0</v>
      </c>
      <c r="CA269" s="583">
        <f t="shared" si="3218"/>
        <v>0</v>
      </c>
    </row>
    <row r="270" spans="1:79" ht="14.1" customHeight="1" x14ac:dyDescent="0.2">
      <c r="A270" s="127" t="s">
        <v>625</v>
      </c>
      <c r="B270" s="568"/>
      <c r="C270" s="78">
        <v>7</v>
      </c>
      <c r="D270" s="69" t="s">
        <v>626</v>
      </c>
      <c r="E270" s="75"/>
      <c r="F270" s="90"/>
      <c r="G270" s="159"/>
      <c r="H270" s="159"/>
      <c r="I270" s="159"/>
      <c r="J270" s="159">
        <f t="shared" si="3188"/>
        <v>0</v>
      </c>
      <c r="K270" s="159"/>
      <c r="L270" s="159"/>
      <c r="M270" s="159"/>
      <c r="N270" s="159">
        <f t="shared" si="3189"/>
        <v>0</v>
      </c>
      <c r="O270" s="159"/>
      <c r="P270" s="159"/>
      <c r="Q270" s="159"/>
      <c r="R270" s="159">
        <f t="shared" si="3190"/>
        <v>0</v>
      </c>
      <c r="S270" s="159"/>
      <c r="T270" s="159"/>
      <c r="U270" s="159"/>
      <c r="V270" s="159">
        <f t="shared" si="3191"/>
        <v>0</v>
      </c>
      <c r="W270" s="159">
        <f t="shared" si="3192"/>
        <v>0</v>
      </c>
      <c r="X270" s="159">
        <f t="shared" si="3193"/>
        <v>0</v>
      </c>
      <c r="Y270" s="159">
        <f t="shared" si="3194"/>
        <v>0</v>
      </c>
      <c r="Z270" s="588">
        <f t="shared" si="3195"/>
        <v>0</v>
      </c>
      <c r="AA270" s="159"/>
      <c r="AB270" s="159"/>
      <c r="AC270" s="159"/>
      <c r="AD270" s="159">
        <f t="shared" si="3196"/>
        <v>0</v>
      </c>
      <c r="AE270" s="159"/>
      <c r="AF270" s="159"/>
      <c r="AG270" s="159"/>
      <c r="AH270" s="159">
        <f t="shared" si="3197"/>
        <v>0</v>
      </c>
      <c r="AI270" s="159"/>
      <c r="AJ270" s="159"/>
      <c r="AK270" s="159"/>
      <c r="AL270" s="159">
        <f t="shared" si="3198"/>
        <v>0</v>
      </c>
      <c r="AM270" s="159"/>
      <c r="AN270" s="159"/>
      <c r="AO270" s="159"/>
      <c r="AP270" s="159">
        <f t="shared" si="3199"/>
        <v>0</v>
      </c>
      <c r="AQ270" s="159">
        <f t="shared" si="3200"/>
        <v>0</v>
      </c>
      <c r="AR270" s="159">
        <f t="shared" si="3200"/>
        <v>0</v>
      </c>
      <c r="AS270" s="159">
        <f t="shared" si="3200"/>
        <v>0</v>
      </c>
      <c r="AT270" s="588">
        <f t="shared" si="3201"/>
        <v>0</v>
      </c>
      <c r="AU270" s="159"/>
      <c r="AV270" s="159"/>
      <c r="AW270" s="159"/>
      <c r="AX270" s="159">
        <f t="shared" si="3202"/>
        <v>0</v>
      </c>
      <c r="AY270" s="159"/>
      <c r="AZ270" s="159"/>
      <c r="BA270" s="159"/>
      <c r="BB270" s="159">
        <f t="shared" si="3203"/>
        <v>0</v>
      </c>
      <c r="BC270" s="159"/>
      <c r="BD270" s="159"/>
      <c r="BE270" s="159"/>
      <c r="BF270" s="159">
        <f t="shared" si="3204"/>
        <v>0</v>
      </c>
      <c r="BG270" s="159"/>
      <c r="BH270" s="159"/>
      <c r="BI270" s="159"/>
      <c r="BJ270" s="159">
        <f t="shared" si="3205"/>
        <v>0</v>
      </c>
      <c r="BK270" s="159">
        <f t="shared" si="3206"/>
        <v>0</v>
      </c>
      <c r="BL270" s="159">
        <f t="shared" si="3207"/>
        <v>0</v>
      </c>
      <c r="BM270" s="159">
        <f t="shared" si="3208"/>
        <v>0</v>
      </c>
      <c r="BN270" s="159">
        <f t="shared" si="3209"/>
        <v>0</v>
      </c>
      <c r="BO270" s="588"/>
      <c r="BP270" s="159">
        <f t="shared" si="3210"/>
        <v>0</v>
      </c>
      <c r="BQ270" s="159">
        <f t="shared" si="3211"/>
        <v>0</v>
      </c>
      <c r="BR270" s="159">
        <f t="shared" si="3212"/>
        <v>0</v>
      </c>
      <c r="BS270" s="588">
        <f t="shared" si="3213"/>
        <v>0</v>
      </c>
      <c r="BT270" s="159"/>
      <c r="BU270" s="159"/>
      <c r="BV270" s="159"/>
      <c r="BW270" s="159">
        <f t="shared" si="3214"/>
        <v>0</v>
      </c>
      <c r="BX270" s="159">
        <f t="shared" si="3215"/>
        <v>0</v>
      </c>
      <c r="BY270" s="159">
        <f t="shared" si="3216"/>
        <v>0</v>
      </c>
      <c r="BZ270" s="159">
        <f t="shared" si="3217"/>
        <v>0</v>
      </c>
      <c r="CA270" s="583">
        <f t="shared" si="3218"/>
        <v>0</v>
      </c>
    </row>
    <row r="271" spans="1:79" ht="14.1" customHeight="1" x14ac:dyDescent="0.2">
      <c r="A271" s="559" t="s">
        <v>209</v>
      </c>
      <c r="B271" s="560" t="s">
        <v>196</v>
      </c>
      <c r="C271" s="560"/>
      <c r="D271" s="561"/>
      <c r="E271" s="524"/>
      <c r="F271" s="525"/>
      <c r="G271" s="555">
        <f>G272+G279</f>
        <v>0</v>
      </c>
      <c r="H271" s="555">
        <f t="shared" ref="H271:I271" si="3219">H272+H279</f>
        <v>57076.87</v>
      </c>
      <c r="I271" s="555">
        <f t="shared" si="3219"/>
        <v>0</v>
      </c>
      <c r="J271" s="555">
        <f t="shared" ref="J271" si="3220">J272+J279</f>
        <v>57076.87</v>
      </c>
      <c r="K271" s="555">
        <f>K272+K279</f>
        <v>0</v>
      </c>
      <c r="L271" s="555">
        <f t="shared" ref="L271" si="3221">L272+L279</f>
        <v>0</v>
      </c>
      <c r="M271" s="555">
        <f t="shared" ref="M271" si="3222">M272+M279</f>
        <v>0</v>
      </c>
      <c r="N271" s="555">
        <f t="shared" ref="N271" si="3223">N272+N279</f>
        <v>0</v>
      </c>
      <c r="O271" s="555">
        <f>O272+O279</f>
        <v>0</v>
      </c>
      <c r="P271" s="555">
        <f t="shared" ref="P271" si="3224">P272+P279</f>
        <v>0</v>
      </c>
      <c r="Q271" s="555">
        <f t="shared" ref="Q271" si="3225">Q272+Q279</f>
        <v>0</v>
      </c>
      <c r="R271" s="555">
        <f t="shared" ref="R271" si="3226">R272+R279</f>
        <v>0</v>
      </c>
      <c r="S271" s="555">
        <f>S272+S279</f>
        <v>0</v>
      </c>
      <c r="T271" s="555">
        <f t="shared" ref="T271" si="3227">T272+T279</f>
        <v>0</v>
      </c>
      <c r="U271" s="555">
        <f t="shared" ref="U271" si="3228">U272+U279</f>
        <v>0</v>
      </c>
      <c r="V271" s="555">
        <f t="shared" ref="V271" si="3229">V272+V279</f>
        <v>0</v>
      </c>
      <c r="W271" s="555">
        <f t="shared" ref="W271" si="3230">W272+W279</f>
        <v>0</v>
      </c>
      <c r="X271" s="555">
        <f t="shared" ref="X271" si="3231">X272+X279</f>
        <v>57076.87</v>
      </c>
      <c r="Y271" s="555">
        <f t="shared" ref="Y271" si="3232">Y272+Y279</f>
        <v>0</v>
      </c>
      <c r="Z271" s="556">
        <f t="shared" ref="Z271:AD271" si="3233">Z272+Z279</f>
        <v>57076.87</v>
      </c>
      <c r="AA271" s="555">
        <f t="shared" si="3233"/>
        <v>0</v>
      </c>
      <c r="AB271" s="555">
        <f t="shared" si="3233"/>
        <v>0</v>
      </c>
      <c r="AC271" s="555">
        <f t="shared" si="3233"/>
        <v>0</v>
      </c>
      <c r="AD271" s="555">
        <f t="shared" si="3233"/>
        <v>0</v>
      </c>
      <c r="AE271" s="555">
        <f>AE272+AE279</f>
        <v>0</v>
      </c>
      <c r="AF271" s="555">
        <f t="shared" ref="AF271:AH271" si="3234">AF272+AF279</f>
        <v>40000</v>
      </c>
      <c r="AG271" s="555">
        <f t="shared" si="3234"/>
        <v>0</v>
      </c>
      <c r="AH271" s="555">
        <f t="shared" si="3234"/>
        <v>40000</v>
      </c>
      <c r="AI271" s="555">
        <f>AI272+AI279</f>
        <v>0</v>
      </c>
      <c r="AJ271" s="555">
        <f t="shared" ref="AJ271:AL271" si="3235">AJ272+AJ279</f>
        <v>8330.619999999999</v>
      </c>
      <c r="AK271" s="555">
        <f t="shared" si="3235"/>
        <v>0</v>
      </c>
      <c r="AL271" s="555">
        <f t="shared" si="3235"/>
        <v>8330.619999999999</v>
      </c>
      <c r="AM271" s="555">
        <f>AM272+AM279</f>
        <v>0</v>
      </c>
      <c r="AN271" s="555">
        <f t="shared" ref="AN271:AT271" si="3236">AN272+AN279</f>
        <v>8746.25</v>
      </c>
      <c r="AO271" s="555">
        <f t="shared" si="3236"/>
        <v>0</v>
      </c>
      <c r="AP271" s="555">
        <f t="shared" si="3236"/>
        <v>8746.25</v>
      </c>
      <c r="AQ271" s="555">
        <f t="shared" si="3236"/>
        <v>0</v>
      </c>
      <c r="AR271" s="555">
        <f t="shared" si="3236"/>
        <v>57076.869999999995</v>
      </c>
      <c r="AS271" s="555">
        <f t="shared" si="3236"/>
        <v>0</v>
      </c>
      <c r="AT271" s="556">
        <f t="shared" si="3236"/>
        <v>57076.869999999995</v>
      </c>
      <c r="AU271" s="555">
        <f>AU272+AU279</f>
        <v>0</v>
      </c>
      <c r="AV271" s="555">
        <f t="shared" ref="AV271:AX271" si="3237">AV272+AV279</f>
        <v>0</v>
      </c>
      <c r="AW271" s="555">
        <f t="shared" si="3237"/>
        <v>0</v>
      </c>
      <c r="AX271" s="555">
        <f t="shared" si="3237"/>
        <v>0</v>
      </c>
      <c r="AY271" s="555">
        <f>AY272+AY279</f>
        <v>0</v>
      </c>
      <c r="AZ271" s="555">
        <f t="shared" ref="AZ271" si="3238">AZ272+AZ279</f>
        <v>40000</v>
      </c>
      <c r="BA271" s="555">
        <f t="shared" ref="BA271" si="3239">BA272+BA279</f>
        <v>0</v>
      </c>
      <c r="BB271" s="555">
        <f t="shared" ref="BB271" si="3240">BB272+BB279</f>
        <v>40000</v>
      </c>
      <c r="BC271" s="555">
        <f>BC272+BC279</f>
        <v>0</v>
      </c>
      <c r="BD271" s="555">
        <f t="shared" ref="BD271" si="3241">BD272+BD279</f>
        <v>8330.619999999999</v>
      </c>
      <c r="BE271" s="555">
        <f t="shared" ref="BE271" si="3242">BE272+BE279</f>
        <v>0</v>
      </c>
      <c r="BF271" s="555">
        <f t="shared" ref="BF271" si="3243">BF272+BF279</f>
        <v>8330.619999999999</v>
      </c>
      <c r="BG271" s="555">
        <f>BG272+BG279</f>
        <v>0</v>
      </c>
      <c r="BH271" s="555">
        <f t="shared" ref="BH271" si="3244">BH272+BH279</f>
        <v>8746.25</v>
      </c>
      <c r="BI271" s="555">
        <f t="shared" ref="BI271" si="3245">BI272+BI279</f>
        <v>0</v>
      </c>
      <c r="BJ271" s="555">
        <f t="shared" ref="BJ271" si="3246">BJ272+BJ279</f>
        <v>8746.25</v>
      </c>
      <c r="BK271" s="555">
        <f t="shared" ref="BK271" si="3247">BK272+BK279</f>
        <v>0</v>
      </c>
      <c r="BL271" s="555">
        <f t="shared" ref="BL271" si="3248">BL272+BL279</f>
        <v>57076.869999999995</v>
      </c>
      <c r="BM271" s="555">
        <f t="shared" ref="BM271" si="3249">BM272+BM279</f>
        <v>0</v>
      </c>
      <c r="BN271" s="555">
        <f t="shared" ref="BN271" si="3250">BN272+BN279</f>
        <v>57076.869999999995</v>
      </c>
      <c r="BO271" s="557">
        <f t="shared" ref="BO271" si="3251">BO272+BO279</f>
        <v>0</v>
      </c>
      <c r="BP271" s="555">
        <f t="shared" ref="BP271" si="3252">BP272+BP279</f>
        <v>0</v>
      </c>
      <c r="BQ271" s="555">
        <f t="shared" ref="BQ271" si="3253">BQ272+BQ279</f>
        <v>0</v>
      </c>
      <c r="BR271" s="555">
        <f t="shared" ref="BR271" si="3254">BR272+BR279</f>
        <v>0</v>
      </c>
      <c r="BS271" s="556">
        <f t="shared" ref="BS271" si="3255">BS272+BS279</f>
        <v>0</v>
      </c>
      <c r="BT271" s="555">
        <f>BT272+BT279</f>
        <v>0</v>
      </c>
      <c r="BU271" s="555">
        <f t="shared" ref="BU271" si="3256">BU272+BU279</f>
        <v>0</v>
      </c>
      <c r="BV271" s="555">
        <f t="shared" ref="BV271" si="3257">BV272+BV279</f>
        <v>0</v>
      </c>
      <c r="BW271" s="555">
        <f t="shared" ref="BW271" si="3258">BW272+BW279</f>
        <v>0</v>
      </c>
      <c r="BX271" s="555">
        <f t="shared" ref="BX271" si="3259">BX272+BX279</f>
        <v>0</v>
      </c>
      <c r="BY271" s="555">
        <f t="shared" ref="BY271" si="3260">BY272+BY279</f>
        <v>0</v>
      </c>
      <c r="BZ271" s="555">
        <f t="shared" ref="BZ271" si="3261">BZ272+BZ279</f>
        <v>0</v>
      </c>
      <c r="CA271" s="558">
        <f t="shared" ref="CA271" si="3262">CA272+CA279</f>
        <v>0</v>
      </c>
    </row>
    <row r="272" spans="1:79" ht="14.1" customHeight="1" x14ac:dyDescent="0.2">
      <c r="A272" s="133" t="s">
        <v>211</v>
      </c>
      <c r="B272" s="74" t="s">
        <v>126</v>
      </c>
      <c r="C272" s="903" t="s">
        <v>198</v>
      </c>
      <c r="D272" s="903"/>
      <c r="E272" s="903"/>
      <c r="G272" s="153">
        <f>G274+G275+G278</f>
        <v>0</v>
      </c>
      <c r="H272" s="153">
        <f t="shared" ref="H272:I272" si="3263">H274+H275+H278</f>
        <v>57076.87</v>
      </c>
      <c r="I272" s="153">
        <f t="shared" si="3263"/>
        <v>0</v>
      </c>
      <c r="J272" s="153">
        <f t="shared" ref="J272:BS272" si="3264">J274+J275+J278</f>
        <v>57076.87</v>
      </c>
      <c r="K272" s="153">
        <f>K274+K275+K278</f>
        <v>0</v>
      </c>
      <c r="L272" s="153">
        <f t="shared" ref="L272:N272" si="3265">L274+L275+L278</f>
        <v>0</v>
      </c>
      <c r="M272" s="153">
        <f t="shared" si="3265"/>
        <v>0</v>
      </c>
      <c r="N272" s="153">
        <f t="shared" si="3265"/>
        <v>0</v>
      </c>
      <c r="O272" s="153">
        <f>O274+O275+O278</f>
        <v>0</v>
      </c>
      <c r="P272" s="153">
        <f t="shared" ref="P272:R272" si="3266">P274+P275+P278</f>
        <v>0</v>
      </c>
      <c r="Q272" s="153">
        <f t="shared" si="3266"/>
        <v>0</v>
      </c>
      <c r="R272" s="153">
        <f t="shared" si="3266"/>
        <v>0</v>
      </c>
      <c r="S272" s="153">
        <f>S274+S275+S278</f>
        <v>0</v>
      </c>
      <c r="T272" s="153">
        <f t="shared" ref="T272:V272" si="3267">T274+T275+T278</f>
        <v>0</v>
      </c>
      <c r="U272" s="153">
        <f t="shared" si="3267"/>
        <v>0</v>
      </c>
      <c r="V272" s="153">
        <f t="shared" si="3267"/>
        <v>0</v>
      </c>
      <c r="W272" s="153">
        <f t="shared" si="3264"/>
        <v>0</v>
      </c>
      <c r="X272" s="153">
        <f t="shared" si="3264"/>
        <v>57076.87</v>
      </c>
      <c r="Y272" s="153">
        <f t="shared" si="3264"/>
        <v>0</v>
      </c>
      <c r="Z272" s="85">
        <f t="shared" si="3264"/>
        <v>57076.87</v>
      </c>
      <c r="AA272" s="153">
        <f t="shared" si="3264"/>
        <v>0</v>
      </c>
      <c r="AB272" s="153">
        <f t="shared" si="3264"/>
        <v>0</v>
      </c>
      <c r="AC272" s="153">
        <f t="shared" si="3264"/>
        <v>0</v>
      </c>
      <c r="AD272" s="153">
        <f t="shared" si="3264"/>
        <v>0</v>
      </c>
      <c r="AE272" s="153">
        <f>AE274+AE275+AE278</f>
        <v>0</v>
      </c>
      <c r="AF272" s="153">
        <f t="shared" ref="AF272:AH272" si="3268">AF274+AF275+AF278</f>
        <v>40000</v>
      </c>
      <c r="AG272" s="153">
        <f t="shared" si="3268"/>
        <v>0</v>
      </c>
      <c r="AH272" s="153">
        <f t="shared" si="3268"/>
        <v>40000</v>
      </c>
      <c r="AI272" s="153">
        <f>AI274+AI275+AI278</f>
        <v>0</v>
      </c>
      <c r="AJ272" s="153">
        <f t="shared" ref="AJ272:AL272" si="3269">AJ274+AJ275+AJ278</f>
        <v>8330.619999999999</v>
      </c>
      <c r="AK272" s="153">
        <f t="shared" si="3269"/>
        <v>0</v>
      </c>
      <c r="AL272" s="153">
        <f t="shared" si="3269"/>
        <v>8330.619999999999</v>
      </c>
      <c r="AM272" s="153">
        <f>AM274+AM275+AM278</f>
        <v>0</v>
      </c>
      <c r="AN272" s="153">
        <f t="shared" ref="AN272:AP272" si="3270">AN274+AN275+AN278</f>
        <v>8746.25</v>
      </c>
      <c r="AO272" s="153">
        <f t="shared" si="3270"/>
        <v>0</v>
      </c>
      <c r="AP272" s="153">
        <f t="shared" si="3270"/>
        <v>8746.25</v>
      </c>
      <c r="AQ272" s="153">
        <f t="shared" si="3264"/>
        <v>0</v>
      </c>
      <c r="AR272" s="153">
        <f t="shared" si="3264"/>
        <v>57076.869999999995</v>
      </c>
      <c r="AS272" s="153">
        <f t="shared" si="3264"/>
        <v>0</v>
      </c>
      <c r="AT272" s="85">
        <f t="shared" si="3264"/>
        <v>57076.869999999995</v>
      </c>
      <c r="AU272" s="153">
        <f>AU274+AU275+AU278</f>
        <v>0</v>
      </c>
      <c r="AV272" s="153">
        <f t="shared" ref="AV272:AX272" si="3271">AV274+AV275+AV278</f>
        <v>0</v>
      </c>
      <c r="AW272" s="153">
        <f t="shared" si="3271"/>
        <v>0</v>
      </c>
      <c r="AX272" s="153">
        <f t="shared" si="3271"/>
        <v>0</v>
      </c>
      <c r="AY272" s="153">
        <f>AY274+AY275+AY278</f>
        <v>0</v>
      </c>
      <c r="AZ272" s="153">
        <f t="shared" ref="AZ272:BB272" si="3272">AZ274+AZ275+AZ278</f>
        <v>40000</v>
      </c>
      <c r="BA272" s="153">
        <f t="shared" si="3272"/>
        <v>0</v>
      </c>
      <c r="BB272" s="153">
        <f t="shared" si="3272"/>
        <v>40000</v>
      </c>
      <c r="BC272" s="153">
        <f>BC274+BC275+BC278</f>
        <v>0</v>
      </c>
      <c r="BD272" s="153">
        <f t="shared" ref="BD272:BF272" si="3273">BD274+BD275+BD278</f>
        <v>8330.619999999999</v>
      </c>
      <c r="BE272" s="153">
        <f t="shared" si="3273"/>
        <v>0</v>
      </c>
      <c r="BF272" s="153">
        <f t="shared" si="3273"/>
        <v>8330.619999999999</v>
      </c>
      <c r="BG272" s="153">
        <f>BG274+BG275+BG278</f>
        <v>0</v>
      </c>
      <c r="BH272" s="153">
        <f t="shared" ref="BH272:BJ272" si="3274">BH274+BH275+BH278</f>
        <v>8746.25</v>
      </c>
      <c r="BI272" s="153">
        <f t="shared" si="3274"/>
        <v>0</v>
      </c>
      <c r="BJ272" s="153">
        <f t="shared" si="3274"/>
        <v>8746.25</v>
      </c>
      <c r="BK272" s="153">
        <f t="shared" si="3264"/>
        <v>0</v>
      </c>
      <c r="BL272" s="153">
        <f t="shared" si="3264"/>
        <v>57076.869999999995</v>
      </c>
      <c r="BM272" s="153">
        <f t="shared" si="3264"/>
        <v>0</v>
      </c>
      <c r="BN272" s="153">
        <f t="shared" si="3264"/>
        <v>57076.869999999995</v>
      </c>
      <c r="BO272" s="169">
        <f t="shared" si="3264"/>
        <v>0</v>
      </c>
      <c r="BP272" s="153">
        <f t="shared" si="3264"/>
        <v>0</v>
      </c>
      <c r="BQ272" s="153">
        <f t="shared" si="3264"/>
        <v>0</v>
      </c>
      <c r="BR272" s="153">
        <f t="shared" si="3264"/>
        <v>0</v>
      </c>
      <c r="BS272" s="85">
        <f t="shared" si="3264"/>
        <v>0</v>
      </c>
      <c r="BT272" s="153">
        <f>BT274+BT275+BT278</f>
        <v>0</v>
      </c>
      <c r="BU272" s="153">
        <f t="shared" ref="BU272:BW272" si="3275">BU274+BU275+BU278</f>
        <v>0</v>
      </c>
      <c r="BV272" s="153">
        <f t="shared" si="3275"/>
        <v>0</v>
      </c>
      <c r="BW272" s="153">
        <f t="shared" si="3275"/>
        <v>0</v>
      </c>
      <c r="BX272" s="153">
        <f t="shared" ref="BX272:CA272" si="3276">BX274+BX275+BX278</f>
        <v>0</v>
      </c>
      <c r="BY272" s="153">
        <f t="shared" si="3276"/>
        <v>0</v>
      </c>
      <c r="BZ272" s="153">
        <f t="shared" si="3276"/>
        <v>0</v>
      </c>
      <c r="CA272" s="124">
        <f t="shared" si="3276"/>
        <v>0</v>
      </c>
    </row>
    <row r="273" spans="1:79" ht="14.1" customHeight="1" x14ac:dyDescent="0.2">
      <c r="A273" s="138" t="s">
        <v>627</v>
      </c>
      <c r="B273" s="67" t="s">
        <v>628</v>
      </c>
      <c r="C273" s="67"/>
      <c r="D273" s="67"/>
      <c r="E273" s="67"/>
      <c r="G273" s="152"/>
      <c r="H273" s="152"/>
      <c r="I273" s="152"/>
      <c r="J273" s="152">
        <f t="shared" ref="J273:J274" si="3277">SUM(G273:I273)</f>
        <v>0</v>
      </c>
      <c r="K273" s="152"/>
      <c r="L273" s="152"/>
      <c r="M273" s="152"/>
      <c r="N273" s="152">
        <f t="shared" ref="N273:N274" si="3278">SUM(K273:M273)</f>
        <v>0</v>
      </c>
      <c r="O273" s="152"/>
      <c r="P273" s="152"/>
      <c r="Q273" s="152"/>
      <c r="R273" s="152">
        <f t="shared" ref="R273:R274" si="3279">SUM(O273:Q273)</f>
        <v>0</v>
      </c>
      <c r="S273" s="152"/>
      <c r="T273" s="152"/>
      <c r="U273" s="152"/>
      <c r="V273" s="152">
        <f t="shared" ref="V273:V274" si="3280">SUM(S273:U273)</f>
        <v>0</v>
      </c>
      <c r="W273" s="152"/>
      <c r="X273" s="152"/>
      <c r="Y273" s="152"/>
      <c r="AA273" s="152"/>
      <c r="AB273" s="152"/>
      <c r="AC273" s="152"/>
      <c r="AD273" s="152">
        <f t="shared" ref="AD273:AD274" si="3281">SUM(AA273:AC273)</f>
        <v>0</v>
      </c>
      <c r="AE273" s="152"/>
      <c r="AF273" s="152"/>
      <c r="AG273" s="152"/>
      <c r="AH273" s="152">
        <f t="shared" ref="AH273:AH274" si="3282">SUM(AE273:AG273)</f>
        <v>0</v>
      </c>
      <c r="AI273" s="152"/>
      <c r="AJ273" s="152"/>
      <c r="AK273" s="152"/>
      <c r="AL273" s="152">
        <f t="shared" ref="AL273:AL274" si="3283">SUM(AI273:AK273)</f>
        <v>0</v>
      </c>
      <c r="AM273" s="152"/>
      <c r="AN273" s="152"/>
      <c r="AO273" s="152"/>
      <c r="AP273" s="152">
        <f t="shared" ref="AP273:AP274" si="3284">SUM(AM273:AO273)</f>
        <v>0</v>
      </c>
      <c r="AQ273" s="152"/>
      <c r="AR273" s="152"/>
      <c r="AS273" s="152"/>
      <c r="AU273" s="152"/>
      <c r="AV273" s="152"/>
      <c r="AW273" s="152"/>
      <c r="AX273" s="152">
        <f t="shared" ref="AX273:AX274" si="3285">SUM(AU273:AW273)</f>
        <v>0</v>
      </c>
      <c r="AY273" s="152"/>
      <c r="AZ273" s="152"/>
      <c r="BA273" s="152"/>
      <c r="BB273" s="152">
        <f t="shared" ref="BB273:BB274" si="3286">SUM(AY273:BA273)</f>
        <v>0</v>
      </c>
      <c r="BC273" s="152"/>
      <c r="BD273" s="152"/>
      <c r="BE273" s="152"/>
      <c r="BF273" s="152">
        <f t="shared" ref="BF273:BF274" si="3287">SUM(BC273:BE273)</f>
        <v>0</v>
      </c>
      <c r="BG273" s="152"/>
      <c r="BH273" s="152"/>
      <c r="BI273" s="152"/>
      <c r="BJ273" s="152">
        <f t="shared" ref="BJ273:BJ274" si="3288">SUM(BG273:BI273)</f>
        <v>0</v>
      </c>
      <c r="BK273" s="152"/>
      <c r="BL273" s="152"/>
      <c r="BM273" s="152"/>
      <c r="BN273" s="152"/>
      <c r="BO273" s="168"/>
      <c r="BP273" s="152"/>
      <c r="BQ273" s="152"/>
      <c r="BR273" s="152"/>
      <c r="BT273" s="152"/>
      <c r="BU273" s="152"/>
      <c r="BV273" s="152"/>
      <c r="BW273" s="152">
        <f t="shared" ref="BW273:BW274" si="3289">SUM(BT273:BV273)</f>
        <v>0</v>
      </c>
      <c r="BX273" s="152">
        <f t="shared" ref="BX273:BX274" si="3290">AQ273-BK273-BT273</f>
        <v>0</v>
      </c>
      <c r="BY273" s="152">
        <f t="shared" ref="BY273:BY274" si="3291">AR273-BL273-BU273</f>
        <v>0</v>
      </c>
      <c r="BZ273" s="152">
        <f t="shared" ref="BZ273:BZ274" si="3292">AS273-BM273-BV273</f>
        <v>0</v>
      </c>
      <c r="CA273" s="587">
        <f t="shared" ref="CA273:CA274" si="3293">SUM(BX273:BZ273)</f>
        <v>0</v>
      </c>
    </row>
    <row r="274" spans="1:79" ht="14.1" customHeight="1" x14ac:dyDescent="0.2">
      <c r="A274" s="127" t="s">
        <v>629</v>
      </c>
      <c r="B274" s="568"/>
      <c r="C274" s="78">
        <v>1.1000000000000001</v>
      </c>
      <c r="D274" s="69" t="s">
        <v>630</v>
      </c>
      <c r="E274" s="75"/>
      <c r="G274" s="152"/>
      <c r="H274" s="152">
        <v>14876.87</v>
      </c>
      <c r="I274" s="152"/>
      <c r="J274" s="152">
        <f t="shared" si="3277"/>
        <v>14876.87</v>
      </c>
      <c r="K274" s="152"/>
      <c r="L274" s="152"/>
      <c r="M274" s="152"/>
      <c r="N274" s="152">
        <f t="shared" si="3278"/>
        <v>0</v>
      </c>
      <c r="O274" s="152"/>
      <c r="P274" s="152"/>
      <c r="Q274" s="152"/>
      <c r="R274" s="152">
        <f t="shared" si="3279"/>
        <v>0</v>
      </c>
      <c r="S274" s="152"/>
      <c r="T274" s="152"/>
      <c r="U274" s="152"/>
      <c r="V274" s="152">
        <f t="shared" si="3280"/>
        <v>0</v>
      </c>
      <c r="W274" s="152">
        <f>G274-O274+S274+K274</f>
        <v>0</v>
      </c>
      <c r="X274" s="152">
        <f t="shared" ref="X274" si="3294">H274-P274+T274+L274</f>
        <v>14876.87</v>
      </c>
      <c r="Y274" s="152">
        <f t="shared" ref="Y274" si="3295">I274-Q274+U274+M274</f>
        <v>0</v>
      </c>
      <c r="Z274" s="168">
        <f>SUM(W274:Y274)</f>
        <v>14876.87</v>
      </c>
      <c r="AA274" s="152"/>
      <c r="AB274" s="152"/>
      <c r="AC274" s="152"/>
      <c r="AD274" s="152">
        <f t="shared" si="3281"/>
        <v>0</v>
      </c>
      <c r="AE274" s="152"/>
      <c r="AF274" s="152">
        <v>10000</v>
      </c>
      <c r="AG274" s="152"/>
      <c r="AH274" s="152">
        <f t="shared" si="3282"/>
        <v>10000</v>
      </c>
      <c r="AI274" s="152"/>
      <c r="AJ274" s="152">
        <v>1130.6199999999999</v>
      </c>
      <c r="AK274" s="152"/>
      <c r="AL274" s="152">
        <f t="shared" si="3283"/>
        <v>1130.6199999999999</v>
      </c>
      <c r="AM274" s="152"/>
      <c r="AN274" s="152">
        <v>3746.25</v>
      </c>
      <c r="AO274" s="152"/>
      <c r="AP274" s="152">
        <f t="shared" si="3284"/>
        <v>3746.25</v>
      </c>
      <c r="AQ274" s="152">
        <f t="shared" ref="AQ274:AS274" si="3296">AA274+AE274+AI274+AM274</f>
        <v>0</v>
      </c>
      <c r="AR274" s="152">
        <f t="shared" si="3296"/>
        <v>14876.869999999999</v>
      </c>
      <c r="AS274" s="152">
        <f t="shared" si="3296"/>
        <v>0</v>
      </c>
      <c r="AT274" s="168">
        <f>SUM(AQ274:AS274)</f>
        <v>14876.869999999999</v>
      </c>
      <c r="AU274" s="152"/>
      <c r="AV274" s="152"/>
      <c r="AW274" s="152"/>
      <c r="AX274" s="152">
        <f t="shared" si="3285"/>
        <v>0</v>
      </c>
      <c r="AY274" s="152"/>
      <c r="AZ274" s="152">
        <v>10000</v>
      </c>
      <c r="BA274" s="152"/>
      <c r="BB274" s="152">
        <f t="shared" si="3286"/>
        <v>10000</v>
      </c>
      <c r="BC274" s="152"/>
      <c r="BD274" s="152">
        <v>1130.6199999999999</v>
      </c>
      <c r="BE274" s="152"/>
      <c r="BF274" s="152">
        <f t="shared" si="3287"/>
        <v>1130.6199999999999</v>
      </c>
      <c r="BG274" s="152"/>
      <c r="BH274" s="152">
        <v>3746.25</v>
      </c>
      <c r="BI274" s="152"/>
      <c r="BJ274" s="152">
        <f t="shared" si="3288"/>
        <v>3746.25</v>
      </c>
      <c r="BK274" s="152">
        <f t="shared" ref="BK274" si="3297">AU274+AY274+BC274+BG274</f>
        <v>0</v>
      </c>
      <c r="BL274" s="152">
        <f t="shared" ref="BL274" si="3298">AV274+AZ274+BD274+BH274</f>
        <v>14876.869999999999</v>
      </c>
      <c r="BM274" s="152">
        <f t="shared" ref="BM274" si="3299">AW274+BA274+BE274+BI274</f>
        <v>0</v>
      </c>
      <c r="BN274" s="152">
        <f>SUM(BK274:BM274)</f>
        <v>14876.869999999999</v>
      </c>
      <c r="BO274" s="168"/>
      <c r="BP274" s="152">
        <f t="shared" ref="BP274" si="3300">W274-AQ274</f>
        <v>0</v>
      </c>
      <c r="BQ274" s="152">
        <f t="shared" ref="BQ274" si="3301">X274-AR274</f>
        <v>0</v>
      </c>
      <c r="BR274" s="152">
        <f t="shared" ref="BR274" si="3302">Y274-AS274</f>
        <v>0</v>
      </c>
      <c r="BS274" s="168">
        <f>SUM(BP274:BR274)</f>
        <v>0</v>
      </c>
      <c r="BT274" s="152"/>
      <c r="BU274" s="152"/>
      <c r="BV274" s="152"/>
      <c r="BW274" s="152">
        <f t="shared" si="3289"/>
        <v>0</v>
      </c>
      <c r="BX274" s="152">
        <f t="shared" si="3290"/>
        <v>0</v>
      </c>
      <c r="BY274" s="152">
        <f t="shared" si="3291"/>
        <v>0</v>
      </c>
      <c r="BZ274" s="152">
        <f t="shared" si="3292"/>
        <v>0</v>
      </c>
      <c r="CA274" s="587">
        <f t="shared" si="3293"/>
        <v>0</v>
      </c>
    </row>
    <row r="275" spans="1:79" ht="14.1" customHeight="1" x14ac:dyDescent="0.2">
      <c r="A275" s="127" t="s">
        <v>631</v>
      </c>
      <c r="B275" s="568"/>
      <c r="C275" s="78">
        <v>1.2</v>
      </c>
      <c r="D275" s="69" t="s">
        <v>632</v>
      </c>
      <c r="E275" s="75"/>
      <c r="G275" s="154">
        <f>SUM(G276:G277)</f>
        <v>0</v>
      </c>
      <c r="H275" s="154">
        <f t="shared" ref="H275:I275" si="3303">SUM(H276:H277)</f>
        <v>42200</v>
      </c>
      <c r="I275" s="154">
        <f t="shared" si="3303"/>
        <v>0</v>
      </c>
      <c r="J275" s="154">
        <f t="shared" ref="J275" si="3304">SUM(J276:J277)</f>
        <v>42200</v>
      </c>
      <c r="K275" s="154">
        <f>SUM(K276:K277)</f>
        <v>0</v>
      </c>
      <c r="L275" s="154">
        <f t="shared" ref="L275" si="3305">SUM(L276:L277)</f>
        <v>0</v>
      </c>
      <c r="M275" s="154">
        <f t="shared" ref="M275" si="3306">SUM(M276:M277)</f>
        <v>0</v>
      </c>
      <c r="N275" s="154">
        <f t="shared" ref="N275" si="3307">SUM(N276:N277)</f>
        <v>0</v>
      </c>
      <c r="O275" s="154">
        <f>SUM(O276:O277)</f>
        <v>0</v>
      </c>
      <c r="P275" s="154">
        <f t="shared" ref="P275" si="3308">SUM(P276:P277)</f>
        <v>0</v>
      </c>
      <c r="Q275" s="154">
        <f t="shared" ref="Q275" si="3309">SUM(Q276:Q277)</f>
        <v>0</v>
      </c>
      <c r="R275" s="154">
        <f t="shared" ref="R275" si="3310">SUM(R276:R277)</f>
        <v>0</v>
      </c>
      <c r="S275" s="154">
        <f>SUM(S276:S277)</f>
        <v>0</v>
      </c>
      <c r="T275" s="154">
        <f t="shared" ref="T275" si="3311">SUM(T276:T277)</f>
        <v>0</v>
      </c>
      <c r="U275" s="154">
        <f t="shared" ref="U275" si="3312">SUM(U276:U277)</f>
        <v>0</v>
      </c>
      <c r="V275" s="154">
        <f t="shared" ref="V275" si="3313">SUM(V276:V277)</f>
        <v>0</v>
      </c>
      <c r="W275" s="154">
        <f t="shared" ref="W275" si="3314">SUM(W276:W277)</f>
        <v>0</v>
      </c>
      <c r="X275" s="154">
        <f t="shared" ref="X275" si="3315">SUM(X276:X277)</f>
        <v>42200</v>
      </c>
      <c r="Y275" s="154">
        <f t="shared" ref="Y275" si="3316">SUM(Y276:Y277)</f>
        <v>0</v>
      </c>
      <c r="Z275" s="84">
        <f t="shared" ref="Z275:AD275" si="3317">SUM(Z276:Z277)</f>
        <v>42200</v>
      </c>
      <c r="AA275" s="154">
        <f t="shared" si="3317"/>
        <v>0</v>
      </c>
      <c r="AB275" s="154">
        <f t="shared" si="3317"/>
        <v>0</v>
      </c>
      <c r="AC275" s="154">
        <f t="shared" si="3317"/>
        <v>0</v>
      </c>
      <c r="AD275" s="154">
        <f t="shared" si="3317"/>
        <v>0</v>
      </c>
      <c r="AE275" s="154">
        <f>SUM(AE276:AE277)</f>
        <v>0</v>
      </c>
      <c r="AF275" s="154">
        <f t="shared" ref="AF275:AH275" si="3318">SUM(AF276:AF277)</f>
        <v>30000</v>
      </c>
      <c r="AG275" s="154">
        <f t="shared" si="3318"/>
        <v>0</v>
      </c>
      <c r="AH275" s="154">
        <f t="shared" si="3318"/>
        <v>30000</v>
      </c>
      <c r="AI275" s="154">
        <f>SUM(AI276:AI277)</f>
        <v>0</v>
      </c>
      <c r="AJ275" s="154">
        <f t="shared" ref="AJ275:AL275" si="3319">SUM(AJ276:AJ277)</f>
        <v>7200</v>
      </c>
      <c r="AK275" s="154">
        <f t="shared" si="3319"/>
        <v>0</v>
      </c>
      <c r="AL275" s="154">
        <f t="shared" si="3319"/>
        <v>7200</v>
      </c>
      <c r="AM275" s="154">
        <f>SUM(AM276:AM277)</f>
        <v>0</v>
      </c>
      <c r="AN275" s="154">
        <f t="shared" ref="AN275:AT275" si="3320">SUM(AN276:AN277)</f>
        <v>5000</v>
      </c>
      <c r="AO275" s="154">
        <f t="shared" si="3320"/>
        <v>0</v>
      </c>
      <c r="AP275" s="154">
        <f t="shared" si="3320"/>
        <v>5000</v>
      </c>
      <c r="AQ275" s="154">
        <f t="shared" si="3320"/>
        <v>0</v>
      </c>
      <c r="AR275" s="154">
        <f t="shared" si="3320"/>
        <v>42200</v>
      </c>
      <c r="AS275" s="154">
        <f t="shared" si="3320"/>
        <v>0</v>
      </c>
      <c r="AT275" s="84">
        <f t="shared" si="3320"/>
        <v>42200</v>
      </c>
      <c r="AU275" s="154">
        <f>SUM(AU276:AU277)</f>
        <v>0</v>
      </c>
      <c r="AV275" s="154">
        <f t="shared" ref="AV275:AX275" si="3321">SUM(AV276:AV277)</f>
        <v>0</v>
      </c>
      <c r="AW275" s="154">
        <f t="shared" si="3321"/>
        <v>0</v>
      </c>
      <c r="AX275" s="154">
        <f t="shared" si="3321"/>
        <v>0</v>
      </c>
      <c r="AY275" s="154">
        <f>SUM(AY276:AY277)</f>
        <v>0</v>
      </c>
      <c r="AZ275" s="154">
        <f t="shared" ref="AZ275" si="3322">SUM(AZ276:AZ277)</f>
        <v>30000</v>
      </c>
      <c r="BA275" s="154">
        <f t="shared" ref="BA275" si="3323">SUM(BA276:BA277)</f>
        <v>0</v>
      </c>
      <c r="BB275" s="154">
        <f t="shared" ref="BB275" si="3324">SUM(BB276:BB277)</f>
        <v>30000</v>
      </c>
      <c r="BC275" s="154">
        <f>SUM(BC276:BC277)</f>
        <v>0</v>
      </c>
      <c r="BD275" s="154">
        <f t="shared" ref="BD275" si="3325">SUM(BD276:BD277)</f>
        <v>7200</v>
      </c>
      <c r="BE275" s="154">
        <f t="shared" ref="BE275" si="3326">SUM(BE276:BE277)</f>
        <v>0</v>
      </c>
      <c r="BF275" s="154">
        <f t="shared" ref="BF275" si="3327">SUM(BF276:BF277)</f>
        <v>7200</v>
      </c>
      <c r="BG275" s="154">
        <f>SUM(BG276:BG277)</f>
        <v>0</v>
      </c>
      <c r="BH275" s="154">
        <f t="shared" ref="BH275" si="3328">SUM(BH276:BH277)</f>
        <v>5000</v>
      </c>
      <c r="BI275" s="154">
        <f t="shared" ref="BI275" si="3329">SUM(BI276:BI277)</f>
        <v>0</v>
      </c>
      <c r="BJ275" s="154">
        <f t="shared" ref="BJ275" si="3330">SUM(BJ276:BJ277)</f>
        <v>5000</v>
      </c>
      <c r="BK275" s="154">
        <f t="shared" ref="BK275" si="3331">SUM(BK276:BK277)</f>
        <v>0</v>
      </c>
      <c r="BL275" s="154">
        <f t="shared" ref="BL275" si="3332">SUM(BL276:BL277)</f>
        <v>42200</v>
      </c>
      <c r="BM275" s="154">
        <f t="shared" ref="BM275" si="3333">SUM(BM276:BM277)</f>
        <v>0</v>
      </c>
      <c r="BN275" s="154">
        <f t="shared" ref="BN275" si="3334">SUM(BN276:BN277)</f>
        <v>42200</v>
      </c>
      <c r="BO275" s="170">
        <f t="shared" ref="BO275" si="3335">SUM(BO276:BO277)</f>
        <v>0</v>
      </c>
      <c r="BP275" s="154">
        <f t="shared" ref="BP275" si="3336">SUM(BP276:BP277)</f>
        <v>0</v>
      </c>
      <c r="BQ275" s="154">
        <f t="shared" ref="BQ275" si="3337">SUM(BQ276:BQ277)</f>
        <v>0</v>
      </c>
      <c r="BR275" s="154">
        <f t="shared" ref="BR275" si="3338">SUM(BR276:BR277)</f>
        <v>0</v>
      </c>
      <c r="BS275" s="84">
        <f t="shared" ref="BS275" si="3339">SUM(BS276:BS277)</f>
        <v>0</v>
      </c>
      <c r="BT275" s="154">
        <f>SUM(BT276:BT277)</f>
        <v>0</v>
      </c>
      <c r="BU275" s="154">
        <f t="shared" ref="BU275" si="3340">SUM(BU276:BU277)</f>
        <v>0</v>
      </c>
      <c r="BV275" s="154">
        <f t="shared" ref="BV275" si="3341">SUM(BV276:BV277)</f>
        <v>0</v>
      </c>
      <c r="BW275" s="154">
        <f t="shared" ref="BW275" si="3342">SUM(BW276:BW277)</f>
        <v>0</v>
      </c>
      <c r="BX275" s="154">
        <f t="shared" ref="BX275" si="3343">SUM(BX276:BX277)</f>
        <v>0</v>
      </c>
      <c r="BY275" s="154">
        <f t="shared" ref="BY275" si="3344">SUM(BY276:BY277)</f>
        <v>0</v>
      </c>
      <c r="BZ275" s="154">
        <f t="shared" ref="BZ275" si="3345">SUM(BZ276:BZ277)</f>
        <v>0</v>
      </c>
      <c r="CA275" s="126">
        <f t="shared" ref="CA275" si="3346">SUM(CA276:CA277)</f>
        <v>0</v>
      </c>
    </row>
    <row r="276" spans="1:79" ht="14.1" customHeight="1" x14ac:dyDescent="0.2">
      <c r="A276" s="127" t="s">
        <v>633</v>
      </c>
      <c r="B276" s="568"/>
      <c r="C276" s="568"/>
      <c r="D276" s="78" t="s">
        <v>176</v>
      </c>
      <c r="E276" s="69" t="s">
        <v>634</v>
      </c>
      <c r="G276" s="152"/>
      <c r="H276" s="152">
        <v>42200</v>
      </c>
      <c r="I276" s="152"/>
      <c r="J276" s="152">
        <f t="shared" ref="J276:J278" si="3347">SUM(G276:I276)</f>
        <v>42200</v>
      </c>
      <c r="K276" s="152"/>
      <c r="L276" s="152"/>
      <c r="M276" s="152"/>
      <c r="N276" s="152">
        <f t="shared" ref="N276:N278" si="3348">SUM(K276:M276)</f>
        <v>0</v>
      </c>
      <c r="O276" s="152"/>
      <c r="P276" s="152"/>
      <c r="Q276" s="152"/>
      <c r="R276" s="152">
        <f t="shared" ref="R276:R278" si="3349">SUM(O276:Q276)</f>
        <v>0</v>
      </c>
      <c r="S276" s="152"/>
      <c r="T276" s="152"/>
      <c r="U276" s="152"/>
      <c r="V276" s="152">
        <f t="shared" ref="V276:V278" si="3350">SUM(S276:U276)</f>
        <v>0</v>
      </c>
      <c r="W276" s="152">
        <f>G276-O276+S276+K276</f>
        <v>0</v>
      </c>
      <c r="X276" s="152">
        <f t="shared" ref="X276:X278" si="3351">H276-P276+T276+L276</f>
        <v>42200</v>
      </c>
      <c r="Y276" s="152">
        <f t="shared" ref="Y276:Y278" si="3352">I276-Q276+U276+M276</f>
        <v>0</v>
      </c>
      <c r="Z276" s="168">
        <f>SUM(W276:Y276)</f>
        <v>42200</v>
      </c>
      <c r="AA276" s="152"/>
      <c r="AB276" s="152"/>
      <c r="AC276" s="152"/>
      <c r="AD276" s="152">
        <f t="shared" ref="AD276:AD278" si="3353">SUM(AA276:AC276)</f>
        <v>0</v>
      </c>
      <c r="AE276" s="152"/>
      <c r="AF276" s="152">
        <f>1427+3733.26+15014.96+9824.78</f>
        <v>30000</v>
      </c>
      <c r="AG276" s="152"/>
      <c r="AH276" s="152">
        <f t="shared" ref="AH276:AH278" si="3354">SUM(AE276:AG276)</f>
        <v>30000</v>
      </c>
      <c r="AI276" s="152"/>
      <c r="AJ276" s="152">
        <v>7200</v>
      </c>
      <c r="AK276" s="152"/>
      <c r="AL276" s="152">
        <f t="shared" ref="AL276:AL278" si="3355">SUM(AI276:AK276)</f>
        <v>7200</v>
      </c>
      <c r="AM276" s="152"/>
      <c r="AN276" s="152">
        <f>4501.84+498.16</f>
        <v>5000</v>
      </c>
      <c r="AO276" s="152"/>
      <c r="AP276" s="152">
        <f t="shared" ref="AP276:AP278" si="3356">SUM(AM276:AO276)</f>
        <v>5000</v>
      </c>
      <c r="AQ276" s="152">
        <f t="shared" ref="AQ276:AS278" si="3357">AA276+AE276+AI276+AM276</f>
        <v>0</v>
      </c>
      <c r="AR276" s="152">
        <f t="shared" si="3357"/>
        <v>42200</v>
      </c>
      <c r="AS276" s="152">
        <f t="shared" si="3357"/>
        <v>0</v>
      </c>
      <c r="AT276" s="168">
        <f>SUM(AQ276:AS276)</f>
        <v>42200</v>
      </c>
      <c r="AU276" s="152"/>
      <c r="AV276" s="152"/>
      <c r="AW276" s="152"/>
      <c r="AX276" s="152">
        <f t="shared" ref="AX276:AX278" si="3358">SUM(AU276:AW276)</f>
        <v>0</v>
      </c>
      <c r="AY276" s="152"/>
      <c r="AZ276" s="152">
        <f>1427+3733.26+15014.96+9824.78</f>
        <v>30000</v>
      </c>
      <c r="BA276" s="152"/>
      <c r="BB276" s="152">
        <f t="shared" ref="BB276:BB278" si="3359">SUM(AY276:BA276)</f>
        <v>30000</v>
      </c>
      <c r="BC276" s="152"/>
      <c r="BD276" s="152">
        <v>7200</v>
      </c>
      <c r="BE276" s="152"/>
      <c r="BF276" s="152">
        <f t="shared" ref="BF276:BF278" si="3360">SUM(BC276:BE276)</f>
        <v>7200</v>
      </c>
      <c r="BG276" s="152"/>
      <c r="BH276" s="152">
        <f>4501.84+498.16</f>
        <v>5000</v>
      </c>
      <c r="BI276" s="152"/>
      <c r="BJ276" s="152">
        <f t="shared" ref="BJ276:BJ278" si="3361">SUM(BG276:BI276)</f>
        <v>5000</v>
      </c>
      <c r="BK276" s="152">
        <f t="shared" ref="BK276:BK278" si="3362">AU276+AY276+BC276+BG276</f>
        <v>0</v>
      </c>
      <c r="BL276" s="152">
        <f t="shared" ref="BL276:BL278" si="3363">AV276+AZ276+BD276+BH276</f>
        <v>42200</v>
      </c>
      <c r="BM276" s="152">
        <f t="shared" ref="BM276:BM278" si="3364">AW276+BA276+BE276+BI276</f>
        <v>0</v>
      </c>
      <c r="BN276" s="152">
        <f>SUM(BK276:BM276)</f>
        <v>42200</v>
      </c>
      <c r="BO276" s="168"/>
      <c r="BP276" s="152">
        <f t="shared" ref="BP276:BP278" si="3365">W276-AQ276</f>
        <v>0</v>
      </c>
      <c r="BQ276" s="152">
        <f t="shared" ref="BQ276:BQ278" si="3366">X276-AR276</f>
        <v>0</v>
      </c>
      <c r="BR276" s="152">
        <f t="shared" ref="BR276:BR278" si="3367">Y276-AS276</f>
        <v>0</v>
      </c>
      <c r="BS276" s="168">
        <f>SUM(BP276:BR276)</f>
        <v>0</v>
      </c>
      <c r="BT276" s="152"/>
      <c r="BU276" s="152"/>
      <c r="BV276" s="152"/>
      <c r="BW276" s="152">
        <f t="shared" ref="BW276:BW278" si="3368">SUM(BT276:BV276)</f>
        <v>0</v>
      </c>
      <c r="BX276" s="152">
        <f t="shared" ref="BX276:BX278" si="3369">AQ276-BK276-BT276</f>
        <v>0</v>
      </c>
      <c r="BY276" s="152">
        <f t="shared" ref="BY276:BY278" si="3370">AR276-BL276-BU276</f>
        <v>0</v>
      </c>
      <c r="BZ276" s="152">
        <f t="shared" ref="BZ276:BZ278" si="3371">AS276-BM276-BV276</f>
        <v>0</v>
      </c>
      <c r="CA276" s="587">
        <f t="shared" ref="CA276:CA278" si="3372">SUM(BX276:BZ276)</f>
        <v>0</v>
      </c>
    </row>
    <row r="277" spans="1:79" ht="14.1" customHeight="1" x14ac:dyDescent="0.2">
      <c r="A277" s="127" t="s">
        <v>635</v>
      </c>
      <c r="B277" s="568"/>
      <c r="C277" s="568"/>
      <c r="D277" s="78" t="s">
        <v>181</v>
      </c>
      <c r="E277" s="69" t="s">
        <v>636</v>
      </c>
      <c r="G277" s="152"/>
      <c r="H277" s="152"/>
      <c r="I277" s="152"/>
      <c r="J277" s="152">
        <f t="shared" si="3347"/>
        <v>0</v>
      </c>
      <c r="K277" s="152"/>
      <c r="L277" s="152"/>
      <c r="M277" s="152"/>
      <c r="N277" s="152">
        <f t="shared" si="3348"/>
        <v>0</v>
      </c>
      <c r="O277" s="152"/>
      <c r="P277" s="152"/>
      <c r="Q277" s="152"/>
      <c r="R277" s="152">
        <f t="shared" si="3349"/>
        <v>0</v>
      </c>
      <c r="S277" s="152"/>
      <c r="T277" s="152"/>
      <c r="U277" s="152"/>
      <c r="V277" s="152">
        <f t="shared" si="3350"/>
        <v>0</v>
      </c>
      <c r="W277" s="152">
        <f>G277-O277+S277+K277</f>
        <v>0</v>
      </c>
      <c r="X277" s="152">
        <f t="shared" si="3351"/>
        <v>0</v>
      </c>
      <c r="Y277" s="152">
        <f t="shared" si="3352"/>
        <v>0</v>
      </c>
      <c r="Z277" s="168">
        <f>SUM(W277:Y277)</f>
        <v>0</v>
      </c>
      <c r="AA277" s="152"/>
      <c r="AB277" s="152"/>
      <c r="AC277" s="152"/>
      <c r="AD277" s="152">
        <f t="shared" si="3353"/>
        <v>0</v>
      </c>
      <c r="AE277" s="152"/>
      <c r="AF277" s="152"/>
      <c r="AG277" s="152"/>
      <c r="AH277" s="152">
        <f t="shared" si="3354"/>
        <v>0</v>
      </c>
      <c r="AI277" s="152"/>
      <c r="AJ277" s="152"/>
      <c r="AK277" s="152"/>
      <c r="AL277" s="152">
        <f t="shared" si="3355"/>
        <v>0</v>
      </c>
      <c r="AM277" s="152"/>
      <c r="AN277" s="152"/>
      <c r="AO277" s="152"/>
      <c r="AP277" s="152">
        <f t="shared" si="3356"/>
        <v>0</v>
      </c>
      <c r="AQ277" s="152">
        <f t="shared" si="3357"/>
        <v>0</v>
      </c>
      <c r="AR277" s="152">
        <f t="shared" si="3357"/>
        <v>0</v>
      </c>
      <c r="AS277" s="152">
        <f t="shared" si="3357"/>
        <v>0</v>
      </c>
      <c r="AT277" s="168">
        <f>SUM(AQ277:AS277)</f>
        <v>0</v>
      </c>
      <c r="AU277" s="152"/>
      <c r="AV277" s="152"/>
      <c r="AW277" s="152"/>
      <c r="AX277" s="152">
        <f t="shared" si="3358"/>
        <v>0</v>
      </c>
      <c r="AY277" s="152"/>
      <c r="AZ277" s="152"/>
      <c r="BA277" s="152"/>
      <c r="BB277" s="152">
        <f t="shared" si="3359"/>
        <v>0</v>
      </c>
      <c r="BC277" s="152"/>
      <c r="BD277" s="152"/>
      <c r="BE277" s="152"/>
      <c r="BF277" s="152">
        <f t="shared" si="3360"/>
        <v>0</v>
      </c>
      <c r="BG277" s="152"/>
      <c r="BH277" s="152"/>
      <c r="BI277" s="152"/>
      <c r="BJ277" s="152">
        <f t="shared" si="3361"/>
        <v>0</v>
      </c>
      <c r="BK277" s="152">
        <f t="shared" si="3362"/>
        <v>0</v>
      </c>
      <c r="BL277" s="152">
        <f t="shared" si="3363"/>
        <v>0</v>
      </c>
      <c r="BM277" s="152">
        <f t="shared" si="3364"/>
        <v>0</v>
      </c>
      <c r="BN277" s="152">
        <f>SUM(BK277:BM277)</f>
        <v>0</v>
      </c>
      <c r="BO277" s="168"/>
      <c r="BP277" s="152">
        <f t="shared" si="3365"/>
        <v>0</v>
      </c>
      <c r="BQ277" s="152">
        <f t="shared" si="3366"/>
        <v>0</v>
      </c>
      <c r="BR277" s="152">
        <f t="shared" si="3367"/>
        <v>0</v>
      </c>
      <c r="BS277" s="168">
        <f>SUM(BP277:BR277)</f>
        <v>0</v>
      </c>
      <c r="BT277" s="152"/>
      <c r="BU277" s="152"/>
      <c r="BV277" s="152"/>
      <c r="BW277" s="152">
        <f t="shared" si="3368"/>
        <v>0</v>
      </c>
      <c r="BX277" s="152">
        <f t="shared" si="3369"/>
        <v>0</v>
      </c>
      <c r="BY277" s="152">
        <f t="shared" si="3370"/>
        <v>0</v>
      </c>
      <c r="BZ277" s="152">
        <f t="shared" si="3371"/>
        <v>0</v>
      </c>
      <c r="CA277" s="587">
        <f t="shared" si="3372"/>
        <v>0</v>
      </c>
    </row>
    <row r="278" spans="1:79" ht="14.1" customHeight="1" x14ac:dyDescent="0.2">
      <c r="A278" s="127" t="s">
        <v>637</v>
      </c>
      <c r="B278" s="568"/>
      <c r="C278" s="78">
        <v>1.3</v>
      </c>
      <c r="D278" s="69" t="s">
        <v>638</v>
      </c>
      <c r="E278" s="75"/>
      <c r="G278" s="152"/>
      <c r="H278" s="152"/>
      <c r="I278" s="152"/>
      <c r="J278" s="152">
        <f t="shared" si="3347"/>
        <v>0</v>
      </c>
      <c r="K278" s="152"/>
      <c r="L278" s="152"/>
      <c r="M278" s="152"/>
      <c r="N278" s="152">
        <f t="shared" si="3348"/>
        <v>0</v>
      </c>
      <c r="O278" s="152"/>
      <c r="P278" s="152"/>
      <c r="Q278" s="152"/>
      <c r="R278" s="152">
        <f t="shared" si="3349"/>
        <v>0</v>
      </c>
      <c r="S278" s="152"/>
      <c r="T278" s="152"/>
      <c r="U278" s="152"/>
      <c r="V278" s="152">
        <f t="shared" si="3350"/>
        <v>0</v>
      </c>
      <c r="W278" s="152">
        <f>G278-O278+S278+K278</f>
        <v>0</v>
      </c>
      <c r="X278" s="152">
        <f t="shared" si="3351"/>
        <v>0</v>
      </c>
      <c r="Y278" s="152">
        <f t="shared" si="3352"/>
        <v>0</v>
      </c>
      <c r="Z278" s="168">
        <f>SUM(W278:Y278)</f>
        <v>0</v>
      </c>
      <c r="AA278" s="152"/>
      <c r="AB278" s="152"/>
      <c r="AC278" s="152"/>
      <c r="AD278" s="152">
        <f t="shared" si="3353"/>
        <v>0</v>
      </c>
      <c r="AE278" s="152"/>
      <c r="AF278" s="152"/>
      <c r="AG278" s="152"/>
      <c r="AH278" s="152">
        <f t="shared" si="3354"/>
        <v>0</v>
      </c>
      <c r="AI278" s="152"/>
      <c r="AJ278" s="152"/>
      <c r="AK278" s="152"/>
      <c r="AL278" s="152">
        <f t="shared" si="3355"/>
        <v>0</v>
      </c>
      <c r="AM278" s="152"/>
      <c r="AN278" s="152"/>
      <c r="AO278" s="152"/>
      <c r="AP278" s="152">
        <f t="shared" si="3356"/>
        <v>0</v>
      </c>
      <c r="AQ278" s="152">
        <f t="shared" si="3357"/>
        <v>0</v>
      </c>
      <c r="AR278" s="152">
        <f t="shared" si="3357"/>
        <v>0</v>
      </c>
      <c r="AS278" s="152">
        <f t="shared" si="3357"/>
        <v>0</v>
      </c>
      <c r="AT278" s="168">
        <f>SUM(AQ278:AS278)</f>
        <v>0</v>
      </c>
      <c r="AU278" s="152"/>
      <c r="AV278" s="152"/>
      <c r="AW278" s="152"/>
      <c r="AX278" s="152">
        <f t="shared" si="3358"/>
        <v>0</v>
      </c>
      <c r="AY278" s="152"/>
      <c r="AZ278" s="152"/>
      <c r="BA278" s="152"/>
      <c r="BB278" s="152">
        <f t="shared" si="3359"/>
        <v>0</v>
      </c>
      <c r="BC278" s="152"/>
      <c r="BD278" s="152"/>
      <c r="BE278" s="152"/>
      <c r="BF278" s="152">
        <f t="shared" si="3360"/>
        <v>0</v>
      </c>
      <c r="BG278" s="152"/>
      <c r="BH278" s="152"/>
      <c r="BI278" s="152"/>
      <c r="BJ278" s="152">
        <f t="shared" si="3361"/>
        <v>0</v>
      </c>
      <c r="BK278" s="152">
        <f t="shared" si="3362"/>
        <v>0</v>
      </c>
      <c r="BL278" s="152">
        <f t="shared" si="3363"/>
        <v>0</v>
      </c>
      <c r="BM278" s="152">
        <f t="shared" si="3364"/>
        <v>0</v>
      </c>
      <c r="BN278" s="152">
        <f>SUM(BK278:BM278)</f>
        <v>0</v>
      </c>
      <c r="BO278" s="168"/>
      <c r="BP278" s="152">
        <f t="shared" si="3365"/>
        <v>0</v>
      </c>
      <c r="BQ278" s="152">
        <f t="shared" si="3366"/>
        <v>0</v>
      </c>
      <c r="BR278" s="152">
        <f t="shared" si="3367"/>
        <v>0</v>
      </c>
      <c r="BS278" s="168">
        <f>SUM(BP278:BR278)</f>
        <v>0</v>
      </c>
      <c r="BT278" s="152"/>
      <c r="BU278" s="152"/>
      <c r="BV278" s="152"/>
      <c r="BW278" s="152">
        <f t="shared" si="3368"/>
        <v>0</v>
      </c>
      <c r="BX278" s="152">
        <f t="shared" si="3369"/>
        <v>0</v>
      </c>
      <c r="BY278" s="152">
        <f t="shared" si="3370"/>
        <v>0</v>
      </c>
      <c r="BZ278" s="152">
        <f t="shared" si="3371"/>
        <v>0</v>
      </c>
      <c r="CA278" s="587">
        <f t="shared" si="3372"/>
        <v>0</v>
      </c>
    </row>
    <row r="279" spans="1:79" ht="14.1" customHeight="1" x14ac:dyDescent="0.2">
      <c r="A279" s="133" t="s">
        <v>639</v>
      </c>
      <c r="B279" s="74" t="s">
        <v>131</v>
      </c>
      <c r="C279" s="73" t="s">
        <v>208</v>
      </c>
      <c r="D279" s="73"/>
      <c r="E279" s="73"/>
      <c r="G279" s="153">
        <f>SUM(G280)</f>
        <v>0</v>
      </c>
      <c r="H279" s="153">
        <f t="shared" ref="H279:I279" si="3373">SUM(H280)</f>
        <v>0</v>
      </c>
      <c r="I279" s="153">
        <f t="shared" si="3373"/>
        <v>0</v>
      </c>
      <c r="J279" s="153">
        <f t="shared" ref="J279" si="3374">SUM(J280)</f>
        <v>0</v>
      </c>
      <c r="K279" s="153">
        <f>SUM(K280)</f>
        <v>0</v>
      </c>
      <c r="L279" s="153">
        <f t="shared" ref="L279" si="3375">SUM(L280)</f>
        <v>0</v>
      </c>
      <c r="M279" s="153">
        <f t="shared" ref="M279" si="3376">SUM(M280)</f>
        <v>0</v>
      </c>
      <c r="N279" s="153">
        <f t="shared" ref="N279" si="3377">SUM(N280)</f>
        <v>0</v>
      </c>
      <c r="O279" s="153">
        <f>SUM(O280)</f>
        <v>0</v>
      </c>
      <c r="P279" s="153">
        <f t="shared" ref="P279" si="3378">SUM(P280)</f>
        <v>0</v>
      </c>
      <c r="Q279" s="153">
        <f t="shared" ref="Q279" si="3379">SUM(Q280)</f>
        <v>0</v>
      </c>
      <c r="R279" s="153">
        <f t="shared" ref="R279" si="3380">SUM(R280)</f>
        <v>0</v>
      </c>
      <c r="S279" s="153">
        <f>SUM(S280)</f>
        <v>0</v>
      </c>
      <c r="T279" s="153">
        <f t="shared" ref="T279" si="3381">SUM(T280)</f>
        <v>0</v>
      </c>
      <c r="U279" s="153">
        <f t="shared" ref="U279" si="3382">SUM(U280)</f>
        <v>0</v>
      </c>
      <c r="V279" s="153">
        <f t="shared" ref="V279" si="3383">SUM(V280)</f>
        <v>0</v>
      </c>
      <c r="W279" s="153">
        <f t="shared" ref="W279" si="3384">SUM(W280)</f>
        <v>0</v>
      </c>
      <c r="X279" s="153">
        <f t="shared" ref="X279" si="3385">SUM(X280)</f>
        <v>0</v>
      </c>
      <c r="Y279" s="153">
        <f t="shared" ref="Y279" si="3386">SUM(Y280)</f>
        <v>0</v>
      </c>
      <c r="Z279" s="85">
        <f t="shared" ref="Z279:AD279" si="3387">SUM(Z280)</f>
        <v>0</v>
      </c>
      <c r="AA279" s="153">
        <f t="shared" si="3387"/>
        <v>0</v>
      </c>
      <c r="AB279" s="153">
        <f t="shared" si="3387"/>
        <v>0</v>
      </c>
      <c r="AC279" s="153">
        <f t="shared" si="3387"/>
        <v>0</v>
      </c>
      <c r="AD279" s="153">
        <f t="shared" si="3387"/>
        <v>0</v>
      </c>
      <c r="AE279" s="153">
        <f>SUM(AE280)</f>
        <v>0</v>
      </c>
      <c r="AF279" s="153">
        <f t="shared" ref="AF279:AH279" si="3388">SUM(AF280)</f>
        <v>0</v>
      </c>
      <c r="AG279" s="153">
        <f t="shared" si="3388"/>
        <v>0</v>
      </c>
      <c r="AH279" s="153">
        <f t="shared" si="3388"/>
        <v>0</v>
      </c>
      <c r="AI279" s="153">
        <f>SUM(AI280)</f>
        <v>0</v>
      </c>
      <c r="AJ279" s="153">
        <f t="shared" ref="AJ279:AL279" si="3389">SUM(AJ280)</f>
        <v>0</v>
      </c>
      <c r="AK279" s="153">
        <f t="shared" si="3389"/>
        <v>0</v>
      </c>
      <c r="AL279" s="153">
        <f t="shared" si="3389"/>
        <v>0</v>
      </c>
      <c r="AM279" s="153">
        <f>SUM(AM280)</f>
        <v>0</v>
      </c>
      <c r="AN279" s="153">
        <f t="shared" ref="AN279:AT279" si="3390">SUM(AN280)</f>
        <v>0</v>
      </c>
      <c r="AO279" s="153">
        <f t="shared" si="3390"/>
        <v>0</v>
      </c>
      <c r="AP279" s="153">
        <f t="shared" si="3390"/>
        <v>0</v>
      </c>
      <c r="AQ279" s="153">
        <f t="shared" si="3390"/>
        <v>0</v>
      </c>
      <c r="AR279" s="153">
        <f t="shared" si="3390"/>
        <v>0</v>
      </c>
      <c r="AS279" s="153">
        <f t="shared" si="3390"/>
        <v>0</v>
      </c>
      <c r="AT279" s="85">
        <f t="shared" si="3390"/>
        <v>0</v>
      </c>
      <c r="AU279" s="153">
        <f>SUM(AU280)</f>
        <v>0</v>
      </c>
      <c r="AV279" s="153">
        <f t="shared" ref="AV279:AX279" si="3391">SUM(AV280)</f>
        <v>0</v>
      </c>
      <c r="AW279" s="153">
        <f t="shared" si="3391"/>
        <v>0</v>
      </c>
      <c r="AX279" s="153">
        <f t="shared" si="3391"/>
        <v>0</v>
      </c>
      <c r="AY279" s="153">
        <f>SUM(AY280)</f>
        <v>0</v>
      </c>
      <c r="AZ279" s="153">
        <f t="shared" ref="AZ279" si="3392">SUM(AZ280)</f>
        <v>0</v>
      </c>
      <c r="BA279" s="153">
        <f t="shared" ref="BA279" si="3393">SUM(BA280)</f>
        <v>0</v>
      </c>
      <c r="BB279" s="153">
        <f t="shared" ref="BB279" si="3394">SUM(BB280)</f>
        <v>0</v>
      </c>
      <c r="BC279" s="153">
        <f>SUM(BC280)</f>
        <v>0</v>
      </c>
      <c r="BD279" s="153">
        <f t="shared" ref="BD279" si="3395">SUM(BD280)</f>
        <v>0</v>
      </c>
      <c r="BE279" s="153">
        <f t="shared" ref="BE279" si="3396">SUM(BE280)</f>
        <v>0</v>
      </c>
      <c r="BF279" s="153">
        <f t="shared" ref="BF279" si="3397">SUM(BF280)</f>
        <v>0</v>
      </c>
      <c r="BG279" s="153">
        <f>SUM(BG280)</f>
        <v>0</v>
      </c>
      <c r="BH279" s="153">
        <f t="shared" ref="BH279" si="3398">SUM(BH280)</f>
        <v>0</v>
      </c>
      <c r="BI279" s="153">
        <f t="shared" ref="BI279" si="3399">SUM(BI280)</f>
        <v>0</v>
      </c>
      <c r="BJ279" s="153">
        <f t="shared" ref="BJ279" si="3400">SUM(BJ280)</f>
        <v>0</v>
      </c>
      <c r="BK279" s="153">
        <f t="shared" ref="BK279" si="3401">SUM(BK280)</f>
        <v>0</v>
      </c>
      <c r="BL279" s="153">
        <f t="shared" ref="BL279" si="3402">SUM(BL280)</f>
        <v>0</v>
      </c>
      <c r="BM279" s="153">
        <f t="shared" ref="BM279" si="3403">SUM(BM280)</f>
        <v>0</v>
      </c>
      <c r="BN279" s="153">
        <f t="shared" ref="BN279" si="3404">SUM(BN280)</f>
        <v>0</v>
      </c>
      <c r="BO279" s="169">
        <f t="shared" ref="BO279" si="3405">SUM(BO280)</f>
        <v>0</v>
      </c>
      <c r="BP279" s="153">
        <f t="shared" ref="BP279" si="3406">SUM(BP280)</f>
        <v>0</v>
      </c>
      <c r="BQ279" s="153">
        <f t="shared" ref="BQ279" si="3407">SUM(BQ280)</f>
        <v>0</v>
      </c>
      <c r="BR279" s="153">
        <f t="shared" ref="BR279" si="3408">SUM(BR280)</f>
        <v>0</v>
      </c>
      <c r="BS279" s="85">
        <f t="shared" ref="BS279" si="3409">SUM(BS280)</f>
        <v>0</v>
      </c>
      <c r="BT279" s="153">
        <f>SUM(BT280)</f>
        <v>0</v>
      </c>
      <c r="BU279" s="153">
        <f t="shared" ref="BU279" si="3410">SUM(BU280)</f>
        <v>0</v>
      </c>
      <c r="BV279" s="153">
        <f t="shared" ref="BV279" si="3411">SUM(BV280)</f>
        <v>0</v>
      </c>
      <c r="BW279" s="153">
        <f t="shared" ref="BW279" si="3412">SUM(BW280)</f>
        <v>0</v>
      </c>
      <c r="BX279" s="153">
        <f t="shared" ref="BX279" si="3413">SUM(BX280)</f>
        <v>0</v>
      </c>
      <c r="BY279" s="153">
        <f t="shared" ref="BY279" si="3414">SUM(BY280)</f>
        <v>0</v>
      </c>
      <c r="BZ279" s="153">
        <f t="shared" ref="BZ279" si="3415">SUM(BZ280)</f>
        <v>0</v>
      </c>
      <c r="CA279" s="124">
        <f t="shared" ref="CA279" si="3416">SUM(CA280)</f>
        <v>0</v>
      </c>
    </row>
    <row r="280" spans="1:79" ht="14.1" customHeight="1" x14ac:dyDescent="0.2">
      <c r="A280" s="127" t="s">
        <v>640</v>
      </c>
      <c r="B280" s="568"/>
      <c r="C280" s="78">
        <v>1</v>
      </c>
      <c r="D280" s="69" t="s">
        <v>641</v>
      </c>
      <c r="E280" s="75"/>
      <c r="G280" s="152"/>
      <c r="H280" s="152"/>
      <c r="I280" s="152"/>
      <c r="J280" s="152">
        <f t="shared" ref="J280" si="3417">SUM(G280:I280)</f>
        <v>0</v>
      </c>
      <c r="K280" s="152"/>
      <c r="L280" s="152"/>
      <c r="M280" s="152"/>
      <c r="N280" s="152">
        <f t="shared" ref="N280" si="3418">SUM(K280:M280)</f>
        <v>0</v>
      </c>
      <c r="O280" s="152"/>
      <c r="P280" s="152"/>
      <c r="Q280" s="152"/>
      <c r="R280" s="152">
        <f t="shared" ref="R280" si="3419">SUM(O280:Q280)</f>
        <v>0</v>
      </c>
      <c r="S280" s="152"/>
      <c r="T280" s="152"/>
      <c r="U280" s="152"/>
      <c r="V280" s="152">
        <f t="shared" ref="V280" si="3420">SUM(S280:U280)</f>
        <v>0</v>
      </c>
      <c r="W280" s="152">
        <f>G280-O280+S280+K280</f>
        <v>0</v>
      </c>
      <c r="X280" s="152">
        <f t="shared" ref="X280" si="3421">H280-P280+T280+L280</f>
        <v>0</v>
      </c>
      <c r="Y280" s="152">
        <f t="shared" ref="Y280" si="3422">I280-Q280+U280+M280</f>
        <v>0</v>
      </c>
      <c r="Z280" s="168">
        <f>SUM(W280:Y280)</f>
        <v>0</v>
      </c>
      <c r="AA280" s="152"/>
      <c r="AB280" s="152"/>
      <c r="AC280" s="152"/>
      <c r="AD280" s="152">
        <f t="shared" ref="AD280" si="3423">SUM(AA280:AC280)</f>
        <v>0</v>
      </c>
      <c r="AE280" s="152"/>
      <c r="AF280" s="152"/>
      <c r="AG280" s="152"/>
      <c r="AH280" s="152">
        <f t="shared" ref="AH280" si="3424">SUM(AE280:AG280)</f>
        <v>0</v>
      </c>
      <c r="AI280" s="152"/>
      <c r="AJ280" s="152"/>
      <c r="AK280" s="152"/>
      <c r="AL280" s="152">
        <f t="shared" ref="AL280" si="3425">SUM(AI280:AK280)</f>
        <v>0</v>
      </c>
      <c r="AM280" s="152"/>
      <c r="AN280" s="152"/>
      <c r="AO280" s="152"/>
      <c r="AP280" s="152">
        <f t="shared" ref="AP280" si="3426">SUM(AM280:AO280)</f>
        <v>0</v>
      </c>
      <c r="AQ280" s="152">
        <f t="shared" ref="AQ280:AS280" si="3427">AA280+AE280+AI280+AM280</f>
        <v>0</v>
      </c>
      <c r="AR280" s="152">
        <f t="shared" si="3427"/>
        <v>0</v>
      </c>
      <c r="AS280" s="152">
        <f t="shared" si="3427"/>
        <v>0</v>
      </c>
      <c r="AT280" s="168">
        <f>SUM(AQ280:AS280)</f>
        <v>0</v>
      </c>
      <c r="AU280" s="152"/>
      <c r="AV280" s="152"/>
      <c r="AW280" s="152"/>
      <c r="AX280" s="152">
        <f t="shared" ref="AX280" si="3428">SUM(AU280:AW280)</f>
        <v>0</v>
      </c>
      <c r="AY280" s="152"/>
      <c r="AZ280" s="152"/>
      <c r="BA280" s="152"/>
      <c r="BB280" s="152">
        <f t="shared" ref="BB280" si="3429">SUM(AY280:BA280)</f>
        <v>0</v>
      </c>
      <c r="BC280" s="152"/>
      <c r="BD280" s="152"/>
      <c r="BE280" s="152"/>
      <c r="BF280" s="152">
        <f t="shared" ref="BF280" si="3430">SUM(BC280:BE280)</f>
        <v>0</v>
      </c>
      <c r="BG280" s="152"/>
      <c r="BH280" s="152"/>
      <c r="BI280" s="152"/>
      <c r="BJ280" s="152">
        <f t="shared" ref="BJ280" si="3431">SUM(BG280:BI280)</f>
        <v>0</v>
      </c>
      <c r="BK280" s="152">
        <f t="shared" ref="BK280" si="3432">AU280+AY280+BC280+BG280</f>
        <v>0</v>
      </c>
      <c r="BL280" s="152">
        <f t="shared" ref="BL280" si="3433">AV280+AZ280+BD280+BH280</f>
        <v>0</v>
      </c>
      <c r="BM280" s="152">
        <f t="shared" ref="BM280" si="3434">AW280+BA280+BE280+BI280</f>
        <v>0</v>
      </c>
      <c r="BN280" s="152">
        <f>SUM(BK280:BM280)</f>
        <v>0</v>
      </c>
      <c r="BO280" s="168"/>
      <c r="BP280" s="152">
        <f t="shared" ref="BP280" si="3435">W280-AQ280</f>
        <v>0</v>
      </c>
      <c r="BQ280" s="152">
        <f t="shared" ref="BQ280" si="3436">X280-AR280</f>
        <v>0</v>
      </c>
      <c r="BR280" s="152">
        <f t="shared" ref="BR280" si="3437">Y280-AS280</f>
        <v>0</v>
      </c>
      <c r="BS280" s="168">
        <f>SUM(BP280:BR280)</f>
        <v>0</v>
      </c>
      <c r="BT280" s="152"/>
      <c r="BU280" s="152"/>
      <c r="BV280" s="152"/>
      <c r="BW280" s="152">
        <f t="shared" ref="BW280" si="3438">SUM(BT280:BV280)</f>
        <v>0</v>
      </c>
      <c r="BX280" s="152">
        <f t="shared" ref="BX280" si="3439">AQ280-BK280-BT280</f>
        <v>0</v>
      </c>
      <c r="BY280" s="152">
        <f t="shared" ref="BY280" si="3440">AR280-BL280-BU280</f>
        <v>0</v>
      </c>
      <c r="BZ280" s="152">
        <f t="shared" ref="BZ280" si="3441">AS280-BM280-BV280</f>
        <v>0</v>
      </c>
      <c r="CA280" s="587">
        <f t="shared" ref="CA280" si="3442">SUM(BX280:BZ280)</f>
        <v>0</v>
      </c>
    </row>
    <row r="281" spans="1:79" ht="14.1" customHeight="1" x14ac:dyDescent="0.2">
      <c r="A281" s="526" t="s">
        <v>218</v>
      </c>
      <c r="B281" s="523" t="s">
        <v>219</v>
      </c>
      <c r="C281" s="523"/>
      <c r="D281" s="523"/>
      <c r="E281" s="528"/>
      <c r="F281" s="525"/>
      <c r="G281" s="555">
        <f>G282+G283+G287</f>
        <v>0</v>
      </c>
      <c r="H281" s="555">
        <f t="shared" ref="H281:I281" si="3443">H282+H283+H287</f>
        <v>0</v>
      </c>
      <c r="I281" s="555">
        <f t="shared" si="3443"/>
        <v>0</v>
      </c>
      <c r="J281" s="555">
        <f t="shared" ref="J281" si="3444">J282+J283+J287</f>
        <v>0</v>
      </c>
      <c r="K281" s="555">
        <f>K282+K283+K287</f>
        <v>0</v>
      </c>
      <c r="L281" s="555">
        <f t="shared" ref="L281" si="3445">L282+L283+L287</f>
        <v>0</v>
      </c>
      <c r="M281" s="555">
        <f t="shared" ref="M281" si="3446">M282+M283+M287</f>
        <v>0</v>
      </c>
      <c r="N281" s="555">
        <f t="shared" ref="N281" si="3447">N282+N283+N287</f>
        <v>0</v>
      </c>
      <c r="O281" s="555">
        <f>O282+O283+O287</f>
        <v>0</v>
      </c>
      <c r="P281" s="555">
        <f t="shared" ref="P281" si="3448">P282+P283+P287</f>
        <v>0</v>
      </c>
      <c r="Q281" s="555">
        <f t="shared" ref="Q281" si="3449">Q282+Q283+Q287</f>
        <v>0</v>
      </c>
      <c r="R281" s="555">
        <f t="shared" ref="R281" si="3450">R282+R283+R287</f>
        <v>0</v>
      </c>
      <c r="S281" s="555">
        <f>S282+S283+S287</f>
        <v>0</v>
      </c>
      <c r="T281" s="555">
        <f t="shared" ref="T281" si="3451">T282+T283+T287</f>
        <v>0</v>
      </c>
      <c r="U281" s="555">
        <f t="shared" ref="U281" si="3452">U282+U283+U287</f>
        <v>0</v>
      </c>
      <c r="V281" s="555">
        <f t="shared" ref="V281" si="3453">V282+V283+V287</f>
        <v>0</v>
      </c>
      <c r="W281" s="555">
        <f t="shared" ref="W281" si="3454">W282+W283+W287</f>
        <v>0</v>
      </c>
      <c r="X281" s="555">
        <f t="shared" ref="X281" si="3455">X282+X283+X287</f>
        <v>0</v>
      </c>
      <c r="Y281" s="555">
        <f t="shared" ref="Y281" si="3456">Y282+Y283+Y287</f>
        <v>0</v>
      </c>
      <c r="Z281" s="556">
        <f t="shared" ref="Z281:AD281" si="3457">Z282+Z283+Z287</f>
        <v>0</v>
      </c>
      <c r="AA281" s="555">
        <f t="shared" si="3457"/>
        <v>0</v>
      </c>
      <c r="AB281" s="555">
        <f t="shared" si="3457"/>
        <v>0</v>
      </c>
      <c r="AC281" s="555">
        <f t="shared" si="3457"/>
        <v>0</v>
      </c>
      <c r="AD281" s="555">
        <f t="shared" si="3457"/>
        <v>0</v>
      </c>
      <c r="AE281" s="555">
        <f>AE282+AE283+AE287</f>
        <v>0</v>
      </c>
      <c r="AF281" s="555">
        <f t="shared" ref="AF281:AH281" si="3458">AF282+AF283+AF287</f>
        <v>0</v>
      </c>
      <c r="AG281" s="555">
        <f t="shared" si="3458"/>
        <v>0</v>
      </c>
      <c r="AH281" s="555">
        <f t="shared" si="3458"/>
        <v>0</v>
      </c>
      <c r="AI281" s="555">
        <f>AI282+AI283+AI287</f>
        <v>0</v>
      </c>
      <c r="AJ281" s="555">
        <f t="shared" ref="AJ281:AL281" si="3459">AJ282+AJ283+AJ287</f>
        <v>0</v>
      </c>
      <c r="AK281" s="555">
        <f t="shared" si="3459"/>
        <v>0</v>
      </c>
      <c r="AL281" s="555">
        <f t="shared" si="3459"/>
        <v>0</v>
      </c>
      <c r="AM281" s="555">
        <f>AM282+AM283+AM287</f>
        <v>0</v>
      </c>
      <c r="AN281" s="555">
        <f t="shared" ref="AN281:AT281" si="3460">AN282+AN283+AN287</f>
        <v>0</v>
      </c>
      <c r="AO281" s="555">
        <f t="shared" si="3460"/>
        <v>0</v>
      </c>
      <c r="AP281" s="555">
        <f t="shared" si="3460"/>
        <v>0</v>
      </c>
      <c r="AQ281" s="555">
        <f t="shared" si="3460"/>
        <v>0</v>
      </c>
      <c r="AR281" s="555">
        <f t="shared" si="3460"/>
        <v>0</v>
      </c>
      <c r="AS281" s="555">
        <f t="shared" si="3460"/>
        <v>0</v>
      </c>
      <c r="AT281" s="556">
        <f t="shared" si="3460"/>
        <v>0</v>
      </c>
      <c r="AU281" s="555">
        <f>AU282+AU283+AU287</f>
        <v>0</v>
      </c>
      <c r="AV281" s="555">
        <f t="shared" ref="AV281:AX281" si="3461">AV282+AV283+AV287</f>
        <v>0</v>
      </c>
      <c r="AW281" s="555">
        <f t="shared" si="3461"/>
        <v>0</v>
      </c>
      <c r="AX281" s="555">
        <f t="shared" si="3461"/>
        <v>0</v>
      </c>
      <c r="AY281" s="555">
        <f>AY282+AY283+AY287</f>
        <v>0</v>
      </c>
      <c r="AZ281" s="555">
        <f t="shared" ref="AZ281" si="3462">AZ282+AZ283+AZ287</f>
        <v>0</v>
      </c>
      <c r="BA281" s="555">
        <f t="shared" ref="BA281" si="3463">BA282+BA283+BA287</f>
        <v>0</v>
      </c>
      <c r="BB281" s="555">
        <f t="shared" ref="BB281" si="3464">BB282+BB283+BB287</f>
        <v>0</v>
      </c>
      <c r="BC281" s="555">
        <f>BC282+BC283+BC287</f>
        <v>0</v>
      </c>
      <c r="BD281" s="555">
        <f t="shared" ref="BD281" si="3465">BD282+BD283+BD287</f>
        <v>0</v>
      </c>
      <c r="BE281" s="555">
        <f t="shared" ref="BE281" si="3466">BE282+BE283+BE287</f>
        <v>0</v>
      </c>
      <c r="BF281" s="555">
        <f t="shared" ref="BF281" si="3467">BF282+BF283+BF287</f>
        <v>0</v>
      </c>
      <c r="BG281" s="555">
        <f>BG282+BG283+BG287</f>
        <v>0</v>
      </c>
      <c r="BH281" s="555">
        <f t="shared" ref="BH281" si="3468">BH282+BH283+BH287</f>
        <v>0</v>
      </c>
      <c r="BI281" s="555">
        <f t="shared" ref="BI281" si="3469">BI282+BI283+BI287</f>
        <v>0</v>
      </c>
      <c r="BJ281" s="555">
        <f t="shared" ref="BJ281" si="3470">BJ282+BJ283+BJ287</f>
        <v>0</v>
      </c>
      <c r="BK281" s="555">
        <f t="shared" ref="BK281" si="3471">BK282+BK283+BK287</f>
        <v>0</v>
      </c>
      <c r="BL281" s="555">
        <f t="shared" ref="BL281" si="3472">BL282+BL283+BL287</f>
        <v>0</v>
      </c>
      <c r="BM281" s="555">
        <f t="shared" ref="BM281" si="3473">BM282+BM283+BM287</f>
        <v>0</v>
      </c>
      <c r="BN281" s="555">
        <f t="shared" ref="BN281" si="3474">BN282+BN283+BN287</f>
        <v>0</v>
      </c>
      <c r="BO281" s="557">
        <f t="shared" ref="BO281" si="3475">BO282+BO283+BO287</f>
        <v>0</v>
      </c>
      <c r="BP281" s="555">
        <f t="shared" ref="BP281" si="3476">BP282+BP283+BP287</f>
        <v>0</v>
      </c>
      <c r="BQ281" s="555">
        <f t="shared" ref="BQ281" si="3477">BQ282+BQ283+BQ287</f>
        <v>0</v>
      </c>
      <c r="BR281" s="555">
        <f t="shared" ref="BR281" si="3478">BR282+BR283+BR287</f>
        <v>0</v>
      </c>
      <c r="BS281" s="556">
        <f t="shared" ref="BS281" si="3479">BS282+BS283+BS287</f>
        <v>0</v>
      </c>
      <c r="BT281" s="555">
        <f>BT282+BT283+BT287</f>
        <v>0</v>
      </c>
      <c r="BU281" s="555">
        <f t="shared" ref="BU281" si="3480">BU282+BU283+BU287</f>
        <v>0</v>
      </c>
      <c r="BV281" s="555">
        <f t="shared" ref="BV281" si="3481">BV282+BV283+BV287</f>
        <v>0</v>
      </c>
      <c r="BW281" s="555">
        <f t="shared" ref="BW281" si="3482">BW282+BW283+BW287</f>
        <v>0</v>
      </c>
      <c r="BX281" s="555">
        <f t="shared" ref="BX281" si="3483">BX282+BX283+BX287</f>
        <v>0</v>
      </c>
      <c r="BY281" s="555">
        <f t="shared" ref="BY281" si="3484">BY282+BY283+BY287</f>
        <v>0</v>
      </c>
      <c r="BZ281" s="555">
        <f t="shared" ref="BZ281" si="3485">BZ282+BZ283+BZ287</f>
        <v>0</v>
      </c>
      <c r="CA281" s="558">
        <f t="shared" ref="CA281" si="3486">CA282+CA283+CA287</f>
        <v>0</v>
      </c>
    </row>
    <row r="282" spans="1:79" ht="14.1" customHeight="1" x14ac:dyDescent="0.2">
      <c r="A282" s="133" t="s">
        <v>220</v>
      </c>
      <c r="B282" s="78" t="s">
        <v>126</v>
      </c>
      <c r="C282" s="568" t="s">
        <v>642</v>
      </c>
      <c r="D282" s="78"/>
      <c r="E282" s="79"/>
      <c r="G282" s="152"/>
      <c r="H282" s="152"/>
      <c r="I282" s="152"/>
      <c r="J282" s="152">
        <f t="shared" ref="J282" si="3487">SUM(G282:I282)</f>
        <v>0</v>
      </c>
      <c r="K282" s="152"/>
      <c r="L282" s="152"/>
      <c r="M282" s="152"/>
      <c r="N282" s="152">
        <f t="shared" ref="N282" si="3488">SUM(K282:M282)</f>
        <v>0</v>
      </c>
      <c r="O282" s="152"/>
      <c r="P282" s="152"/>
      <c r="Q282" s="152"/>
      <c r="R282" s="152">
        <f t="shared" ref="R282" si="3489">SUM(O282:Q282)</f>
        <v>0</v>
      </c>
      <c r="S282" s="152"/>
      <c r="T282" s="152"/>
      <c r="U282" s="152"/>
      <c r="V282" s="152">
        <f t="shared" ref="V282" si="3490">SUM(S282:U282)</f>
        <v>0</v>
      </c>
      <c r="W282" s="152">
        <f t="shared" ref="W282" si="3491">G282-O282+S282+K282</f>
        <v>0</v>
      </c>
      <c r="X282" s="152">
        <f t="shared" ref="X282" si="3492">H282-P282+T282+L282</f>
        <v>0</v>
      </c>
      <c r="Y282" s="152">
        <f t="shared" ref="Y282" si="3493">I282-Q282+U282+M282</f>
        <v>0</v>
      </c>
      <c r="Z282" s="168">
        <f t="shared" ref="Z282" si="3494">SUM(W282:Y282)</f>
        <v>0</v>
      </c>
      <c r="AA282" s="152"/>
      <c r="AB282" s="152"/>
      <c r="AC282" s="152"/>
      <c r="AD282" s="152">
        <f t="shared" ref="AD282" si="3495">SUM(AA282:AC282)</f>
        <v>0</v>
      </c>
      <c r="AE282" s="152"/>
      <c r="AF282" s="152"/>
      <c r="AG282" s="152"/>
      <c r="AH282" s="152">
        <f t="shared" ref="AH282" si="3496">SUM(AE282:AG282)</f>
        <v>0</v>
      </c>
      <c r="AI282" s="152"/>
      <c r="AJ282" s="152"/>
      <c r="AK282" s="152"/>
      <c r="AL282" s="152">
        <f t="shared" ref="AL282" si="3497">SUM(AI282:AK282)</f>
        <v>0</v>
      </c>
      <c r="AM282" s="152"/>
      <c r="AN282" s="152"/>
      <c r="AO282" s="152"/>
      <c r="AP282" s="152">
        <f t="shared" ref="AP282" si="3498">SUM(AM282:AO282)</f>
        <v>0</v>
      </c>
      <c r="AQ282" s="152">
        <f t="shared" ref="AQ282:AS282" si="3499">AA282+AE282+AI282+AM282</f>
        <v>0</v>
      </c>
      <c r="AR282" s="152">
        <f t="shared" si="3499"/>
        <v>0</v>
      </c>
      <c r="AS282" s="152">
        <f t="shared" si="3499"/>
        <v>0</v>
      </c>
      <c r="AT282" s="168">
        <f t="shared" ref="AT282" si="3500">SUM(AQ282:AS282)</f>
        <v>0</v>
      </c>
      <c r="AU282" s="152"/>
      <c r="AV282" s="152"/>
      <c r="AW282" s="152"/>
      <c r="AX282" s="152">
        <f t="shared" ref="AX282" si="3501">SUM(AU282:AW282)</f>
        <v>0</v>
      </c>
      <c r="AY282" s="152"/>
      <c r="AZ282" s="152"/>
      <c r="BA282" s="152"/>
      <c r="BB282" s="152">
        <f t="shared" ref="BB282" si="3502">SUM(AY282:BA282)</f>
        <v>0</v>
      </c>
      <c r="BC282" s="152"/>
      <c r="BD282" s="152"/>
      <c r="BE282" s="152"/>
      <c r="BF282" s="152">
        <f t="shared" ref="BF282" si="3503">SUM(BC282:BE282)</f>
        <v>0</v>
      </c>
      <c r="BG282" s="152"/>
      <c r="BH282" s="152"/>
      <c r="BI282" s="152"/>
      <c r="BJ282" s="152">
        <f t="shared" ref="BJ282" si="3504">SUM(BG282:BI282)</f>
        <v>0</v>
      </c>
      <c r="BK282" s="152">
        <f t="shared" ref="BK282" si="3505">AU282+AY282+BC282+BG282</f>
        <v>0</v>
      </c>
      <c r="BL282" s="152">
        <f t="shared" ref="BL282" si="3506">AV282+AZ282+BD282+BH282</f>
        <v>0</v>
      </c>
      <c r="BM282" s="152">
        <f t="shared" ref="BM282" si="3507">AW282+BA282+BE282+BI282</f>
        <v>0</v>
      </c>
      <c r="BN282" s="152">
        <f t="shared" ref="BN282" si="3508">SUM(BK282:BM282)</f>
        <v>0</v>
      </c>
      <c r="BO282" s="168"/>
      <c r="BP282" s="152">
        <f t="shared" ref="BP282" si="3509">W282-AQ282</f>
        <v>0</v>
      </c>
      <c r="BQ282" s="152">
        <f t="shared" ref="BQ282" si="3510">X282-AR282</f>
        <v>0</v>
      </c>
      <c r="BR282" s="152">
        <f t="shared" ref="BR282" si="3511">Y282-AS282</f>
        <v>0</v>
      </c>
      <c r="BS282" s="168">
        <f t="shared" ref="BS282" si="3512">SUM(BP282:BR282)</f>
        <v>0</v>
      </c>
      <c r="BT282" s="152"/>
      <c r="BU282" s="152"/>
      <c r="BV282" s="152"/>
      <c r="BW282" s="152">
        <f t="shared" ref="BW282" si="3513">SUM(BT282:BV282)</f>
        <v>0</v>
      </c>
      <c r="BX282" s="152">
        <f t="shared" ref="BX282" si="3514">AQ282-BK282-BT282</f>
        <v>0</v>
      </c>
      <c r="BY282" s="152">
        <f t="shared" ref="BY282" si="3515">AR282-BL282-BU282</f>
        <v>0</v>
      </c>
      <c r="BZ282" s="152">
        <f t="shared" ref="BZ282" si="3516">AS282-BM282-BV282</f>
        <v>0</v>
      </c>
      <c r="CA282" s="587">
        <f t="shared" ref="CA282" si="3517">SUM(BX282:BZ282)</f>
        <v>0</v>
      </c>
    </row>
    <row r="283" spans="1:79" ht="14.1" customHeight="1" x14ac:dyDescent="0.2">
      <c r="A283" s="133" t="s">
        <v>221</v>
      </c>
      <c r="B283" s="78" t="s">
        <v>131</v>
      </c>
      <c r="C283" s="568" t="s">
        <v>643</v>
      </c>
      <c r="D283" s="78"/>
      <c r="E283" s="79"/>
      <c r="G283" s="161">
        <f>SUM(G284:G286)</f>
        <v>0</v>
      </c>
      <c r="H283" s="161">
        <f t="shared" ref="H283:I283" si="3518">SUM(H284:H286)</f>
        <v>0</v>
      </c>
      <c r="I283" s="161">
        <f t="shared" si="3518"/>
        <v>0</v>
      </c>
      <c r="J283" s="161">
        <f t="shared" ref="J283" si="3519">SUM(J284:J286)</f>
        <v>0</v>
      </c>
      <c r="K283" s="161">
        <f>SUM(K284:K286)</f>
        <v>0</v>
      </c>
      <c r="L283" s="161">
        <f t="shared" ref="L283" si="3520">SUM(L284:L286)</f>
        <v>0</v>
      </c>
      <c r="M283" s="161">
        <f t="shared" ref="M283" si="3521">SUM(M284:M286)</f>
        <v>0</v>
      </c>
      <c r="N283" s="161">
        <f t="shared" ref="N283" si="3522">SUM(N284:N286)</f>
        <v>0</v>
      </c>
      <c r="O283" s="161">
        <f>SUM(O284:O286)</f>
        <v>0</v>
      </c>
      <c r="P283" s="161">
        <f t="shared" ref="P283" si="3523">SUM(P284:P286)</f>
        <v>0</v>
      </c>
      <c r="Q283" s="161">
        <f t="shared" ref="Q283" si="3524">SUM(Q284:Q286)</f>
        <v>0</v>
      </c>
      <c r="R283" s="161">
        <f t="shared" ref="R283" si="3525">SUM(R284:R286)</f>
        <v>0</v>
      </c>
      <c r="S283" s="161">
        <f>SUM(S284:S286)</f>
        <v>0</v>
      </c>
      <c r="T283" s="161">
        <f t="shared" ref="T283" si="3526">SUM(T284:T286)</f>
        <v>0</v>
      </c>
      <c r="U283" s="161">
        <f t="shared" ref="U283" si="3527">SUM(U284:U286)</f>
        <v>0</v>
      </c>
      <c r="V283" s="161">
        <f t="shared" ref="V283" si="3528">SUM(V284:V286)</f>
        <v>0</v>
      </c>
      <c r="W283" s="161">
        <f t="shared" ref="W283" si="3529">SUM(W284:W286)</f>
        <v>0</v>
      </c>
      <c r="X283" s="161">
        <f t="shared" ref="X283" si="3530">SUM(X284:X286)</f>
        <v>0</v>
      </c>
      <c r="Y283" s="161">
        <f t="shared" ref="Y283" si="3531">SUM(Y284:Y286)</f>
        <v>0</v>
      </c>
      <c r="Z283" s="97">
        <f t="shared" ref="Z283:AD283" si="3532">SUM(Z284:Z286)</f>
        <v>0</v>
      </c>
      <c r="AA283" s="161">
        <f t="shared" si="3532"/>
        <v>0</v>
      </c>
      <c r="AB283" s="161">
        <f t="shared" si="3532"/>
        <v>0</v>
      </c>
      <c r="AC283" s="161">
        <f t="shared" si="3532"/>
        <v>0</v>
      </c>
      <c r="AD283" s="161">
        <f t="shared" si="3532"/>
        <v>0</v>
      </c>
      <c r="AE283" s="161">
        <f>SUM(AE284:AE286)</f>
        <v>0</v>
      </c>
      <c r="AF283" s="161">
        <f t="shared" ref="AF283:AH283" si="3533">SUM(AF284:AF286)</f>
        <v>0</v>
      </c>
      <c r="AG283" s="161">
        <f t="shared" si="3533"/>
        <v>0</v>
      </c>
      <c r="AH283" s="161">
        <f t="shared" si="3533"/>
        <v>0</v>
      </c>
      <c r="AI283" s="161">
        <f>SUM(AI284:AI286)</f>
        <v>0</v>
      </c>
      <c r="AJ283" s="161">
        <f t="shared" ref="AJ283:AL283" si="3534">SUM(AJ284:AJ286)</f>
        <v>0</v>
      </c>
      <c r="AK283" s="161">
        <f t="shared" si="3534"/>
        <v>0</v>
      </c>
      <c r="AL283" s="161">
        <f t="shared" si="3534"/>
        <v>0</v>
      </c>
      <c r="AM283" s="161">
        <f>SUM(AM284:AM286)</f>
        <v>0</v>
      </c>
      <c r="AN283" s="161">
        <f t="shared" ref="AN283:AT283" si="3535">SUM(AN284:AN286)</f>
        <v>0</v>
      </c>
      <c r="AO283" s="161">
        <f t="shared" si="3535"/>
        <v>0</v>
      </c>
      <c r="AP283" s="161">
        <f t="shared" si="3535"/>
        <v>0</v>
      </c>
      <c r="AQ283" s="161">
        <f t="shared" si="3535"/>
        <v>0</v>
      </c>
      <c r="AR283" s="161">
        <f t="shared" si="3535"/>
        <v>0</v>
      </c>
      <c r="AS283" s="161">
        <f t="shared" si="3535"/>
        <v>0</v>
      </c>
      <c r="AT283" s="97">
        <f t="shared" si="3535"/>
        <v>0</v>
      </c>
      <c r="AU283" s="161">
        <f>SUM(AU284:AU286)</f>
        <v>0</v>
      </c>
      <c r="AV283" s="161">
        <f t="shared" ref="AV283:AX283" si="3536">SUM(AV284:AV286)</f>
        <v>0</v>
      </c>
      <c r="AW283" s="161">
        <f t="shared" si="3536"/>
        <v>0</v>
      </c>
      <c r="AX283" s="161">
        <f t="shared" si="3536"/>
        <v>0</v>
      </c>
      <c r="AY283" s="161">
        <f>SUM(AY284:AY286)</f>
        <v>0</v>
      </c>
      <c r="AZ283" s="161">
        <f t="shared" ref="AZ283" si="3537">SUM(AZ284:AZ286)</f>
        <v>0</v>
      </c>
      <c r="BA283" s="161">
        <f t="shared" ref="BA283" si="3538">SUM(BA284:BA286)</f>
        <v>0</v>
      </c>
      <c r="BB283" s="161">
        <f t="shared" ref="BB283" si="3539">SUM(BB284:BB286)</f>
        <v>0</v>
      </c>
      <c r="BC283" s="161">
        <f>SUM(BC284:BC286)</f>
        <v>0</v>
      </c>
      <c r="BD283" s="161">
        <f t="shared" ref="BD283" si="3540">SUM(BD284:BD286)</f>
        <v>0</v>
      </c>
      <c r="BE283" s="161">
        <f t="shared" ref="BE283" si="3541">SUM(BE284:BE286)</f>
        <v>0</v>
      </c>
      <c r="BF283" s="161">
        <f t="shared" ref="BF283" si="3542">SUM(BF284:BF286)</f>
        <v>0</v>
      </c>
      <c r="BG283" s="161">
        <f>SUM(BG284:BG286)</f>
        <v>0</v>
      </c>
      <c r="BH283" s="161">
        <f t="shared" ref="BH283" si="3543">SUM(BH284:BH286)</f>
        <v>0</v>
      </c>
      <c r="BI283" s="161">
        <f t="shared" ref="BI283" si="3544">SUM(BI284:BI286)</f>
        <v>0</v>
      </c>
      <c r="BJ283" s="161">
        <f t="shared" ref="BJ283" si="3545">SUM(BJ284:BJ286)</f>
        <v>0</v>
      </c>
      <c r="BK283" s="161">
        <f t="shared" ref="BK283" si="3546">SUM(BK284:BK286)</f>
        <v>0</v>
      </c>
      <c r="BL283" s="161">
        <f t="shared" ref="BL283" si="3547">SUM(BL284:BL286)</f>
        <v>0</v>
      </c>
      <c r="BM283" s="161">
        <f t="shared" ref="BM283" si="3548">SUM(BM284:BM286)</f>
        <v>0</v>
      </c>
      <c r="BN283" s="161">
        <f t="shared" ref="BN283" si="3549">SUM(BN284:BN286)</f>
        <v>0</v>
      </c>
      <c r="BO283" s="176">
        <f t="shared" ref="BO283" si="3550">SUM(BO284:BO286)</f>
        <v>0</v>
      </c>
      <c r="BP283" s="161">
        <f t="shared" ref="BP283" si="3551">SUM(BP284:BP286)</f>
        <v>0</v>
      </c>
      <c r="BQ283" s="161">
        <f t="shared" ref="BQ283" si="3552">SUM(BQ284:BQ286)</f>
        <v>0</v>
      </c>
      <c r="BR283" s="161">
        <f t="shared" ref="BR283" si="3553">SUM(BR284:BR286)</f>
        <v>0</v>
      </c>
      <c r="BS283" s="97">
        <f t="shared" ref="BS283" si="3554">SUM(BS284:BS286)</f>
        <v>0</v>
      </c>
      <c r="BT283" s="161">
        <f>SUM(BT284:BT286)</f>
        <v>0</v>
      </c>
      <c r="BU283" s="161">
        <f t="shared" ref="BU283" si="3555">SUM(BU284:BU286)</f>
        <v>0</v>
      </c>
      <c r="BV283" s="161">
        <f t="shared" ref="BV283" si="3556">SUM(BV284:BV286)</f>
        <v>0</v>
      </c>
      <c r="BW283" s="161">
        <f t="shared" ref="BW283" si="3557">SUM(BW284:BW286)</f>
        <v>0</v>
      </c>
      <c r="BX283" s="161">
        <f t="shared" ref="BX283" si="3558">SUM(BX284:BX286)</f>
        <v>0</v>
      </c>
      <c r="BY283" s="161">
        <f t="shared" ref="BY283" si="3559">SUM(BY284:BY286)</f>
        <v>0</v>
      </c>
      <c r="BZ283" s="161">
        <f t="shared" ref="BZ283" si="3560">SUM(BZ284:BZ286)</f>
        <v>0</v>
      </c>
      <c r="CA283" s="139">
        <f t="shared" ref="CA283" si="3561">SUM(CA284:CA286)</f>
        <v>0</v>
      </c>
    </row>
    <row r="284" spans="1:79" ht="14.1" customHeight="1" x14ac:dyDescent="0.2">
      <c r="A284" s="125" t="s">
        <v>222</v>
      </c>
      <c r="B284" s="568"/>
      <c r="C284" s="81">
        <v>1</v>
      </c>
      <c r="D284" s="69" t="s">
        <v>644</v>
      </c>
      <c r="E284" s="83"/>
      <c r="G284" s="152"/>
      <c r="H284" s="152"/>
      <c r="I284" s="152"/>
      <c r="J284" s="152">
        <f t="shared" ref="J284:J287" si="3562">SUM(G284:I284)</f>
        <v>0</v>
      </c>
      <c r="K284" s="152"/>
      <c r="L284" s="152"/>
      <c r="M284" s="152"/>
      <c r="N284" s="152">
        <f t="shared" ref="N284:N287" si="3563">SUM(K284:M284)</f>
        <v>0</v>
      </c>
      <c r="O284" s="152"/>
      <c r="P284" s="152"/>
      <c r="Q284" s="152"/>
      <c r="R284" s="152">
        <f t="shared" ref="R284:R287" si="3564">SUM(O284:Q284)</f>
        <v>0</v>
      </c>
      <c r="S284" s="152"/>
      <c r="T284" s="152"/>
      <c r="U284" s="152"/>
      <c r="V284" s="152">
        <f t="shared" ref="V284:V287" si="3565">SUM(S284:U284)</f>
        <v>0</v>
      </c>
      <c r="W284" s="152">
        <f t="shared" ref="W284:W287" si="3566">G284-O284+S284+K284</f>
        <v>0</v>
      </c>
      <c r="X284" s="152">
        <f t="shared" ref="X284:X287" si="3567">H284-P284+T284+L284</f>
        <v>0</v>
      </c>
      <c r="Y284" s="152">
        <f t="shared" ref="Y284:Y287" si="3568">I284-Q284+U284+M284</f>
        <v>0</v>
      </c>
      <c r="Z284" s="168">
        <f t="shared" ref="Z284:Z287" si="3569">SUM(W284:Y284)</f>
        <v>0</v>
      </c>
      <c r="AA284" s="152"/>
      <c r="AB284" s="152"/>
      <c r="AC284" s="152"/>
      <c r="AD284" s="152">
        <f t="shared" ref="AD284:AD287" si="3570">SUM(AA284:AC284)</f>
        <v>0</v>
      </c>
      <c r="AE284" s="152"/>
      <c r="AF284" s="152"/>
      <c r="AG284" s="152"/>
      <c r="AH284" s="152">
        <f t="shared" ref="AH284:AH287" si="3571">SUM(AE284:AG284)</f>
        <v>0</v>
      </c>
      <c r="AI284" s="152"/>
      <c r="AJ284" s="152"/>
      <c r="AK284" s="152"/>
      <c r="AL284" s="152">
        <f t="shared" ref="AL284:AL287" si="3572">SUM(AI284:AK284)</f>
        <v>0</v>
      </c>
      <c r="AM284" s="152"/>
      <c r="AN284" s="152"/>
      <c r="AO284" s="152"/>
      <c r="AP284" s="152">
        <f t="shared" ref="AP284:AP287" si="3573">SUM(AM284:AO284)</f>
        <v>0</v>
      </c>
      <c r="AQ284" s="152">
        <f t="shared" ref="AQ284:AS287" si="3574">AA284+AE284+AI284+AM284</f>
        <v>0</v>
      </c>
      <c r="AR284" s="152">
        <f t="shared" si="3574"/>
        <v>0</v>
      </c>
      <c r="AS284" s="152">
        <f t="shared" si="3574"/>
        <v>0</v>
      </c>
      <c r="AT284" s="168">
        <f t="shared" ref="AT284:AT287" si="3575">SUM(AQ284:AS284)</f>
        <v>0</v>
      </c>
      <c r="AU284" s="152"/>
      <c r="AV284" s="152"/>
      <c r="AW284" s="152"/>
      <c r="AX284" s="152">
        <f t="shared" ref="AX284:AX287" si="3576">SUM(AU284:AW284)</f>
        <v>0</v>
      </c>
      <c r="AY284" s="152"/>
      <c r="AZ284" s="152"/>
      <c r="BA284" s="152"/>
      <c r="BB284" s="152">
        <f t="shared" ref="BB284:BB287" si="3577">SUM(AY284:BA284)</f>
        <v>0</v>
      </c>
      <c r="BC284" s="152"/>
      <c r="BD284" s="152"/>
      <c r="BE284" s="152"/>
      <c r="BF284" s="152">
        <f t="shared" ref="BF284:BF287" si="3578">SUM(BC284:BE284)</f>
        <v>0</v>
      </c>
      <c r="BG284" s="152"/>
      <c r="BH284" s="152"/>
      <c r="BI284" s="152"/>
      <c r="BJ284" s="152">
        <f t="shared" ref="BJ284:BJ287" si="3579">SUM(BG284:BI284)</f>
        <v>0</v>
      </c>
      <c r="BK284" s="152">
        <f t="shared" ref="BK284:BK287" si="3580">AU284+AY284+BC284+BG284</f>
        <v>0</v>
      </c>
      <c r="BL284" s="152">
        <f t="shared" ref="BL284:BL287" si="3581">AV284+AZ284+BD284+BH284</f>
        <v>0</v>
      </c>
      <c r="BM284" s="152">
        <f t="shared" ref="BM284:BM287" si="3582">AW284+BA284+BE284+BI284</f>
        <v>0</v>
      </c>
      <c r="BN284" s="152">
        <f t="shared" ref="BN284:BN287" si="3583">SUM(BK284:BM284)</f>
        <v>0</v>
      </c>
      <c r="BO284" s="168"/>
      <c r="BP284" s="152">
        <f t="shared" ref="BP284:BP287" si="3584">W284-AQ284</f>
        <v>0</v>
      </c>
      <c r="BQ284" s="152">
        <f t="shared" ref="BQ284:BQ287" si="3585">X284-AR284</f>
        <v>0</v>
      </c>
      <c r="BR284" s="152">
        <f t="shared" ref="BR284:BR287" si="3586">Y284-AS284</f>
        <v>0</v>
      </c>
      <c r="BS284" s="168">
        <f t="shared" ref="BS284:BS287" si="3587">SUM(BP284:BR284)</f>
        <v>0</v>
      </c>
      <c r="BT284" s="152"/>
      <c r="BU284" s="152"/>
      <c r="BV284" s="152"/>
      <c r="BW284" s="152">
        <f t="shared" ref="BW284:BW287" si="3588">SUM(BT284:BV284)</f>
        <v>0</v>
      </c>
      <c r="BX284" s="152">
        <f t="shared" ref="BX284:BX287" si="3589">AQ284-BK284-BT284</f>
        <v>0</v>
      </c>
      <c r="BY284" s="152">
        <f t="shared" ref="BY284:BY287" si="3590">AR284-BL284-BU284</f>
        <v>0</v>
      </c>
      <c r="BZ284" s="152">
        <f t="shared" ref="BZ284:BZ287" si="3591">AS284-BM284-BV284</f>
        <v>0</v>
      </c>
      <c r="CA284" s="587">
        <f t="shared" ref="CA284:CA287" si="3592">SUM(BX284:BZ284)</f>
        <v>0</v>
      </c>
    </row>
    <row r="285" spans="1:79" ht="14.1" customHeight="1" x14ac:dyDescent="0.2">
      <c r="A285" s="125" t="s">
        <v>223</v>
      </c>
      <c r="B285" s="568"/>
      <c r="C285" s="81">
        <v>2</v>
      </c>
      <c r="D285" s="69" t="s">
        <v>645</v>
      </c>
      <c r="E285" s="83"/>
      <c r="G285" s="152"/>
      <c r="H285" s="152"/>
      <c r="I285" s="152"/>
      <c r="J285" s="152">
        <f t="shared" si="3562"/>
        <v>0</v>
      </c>
      <c r="K285" s="152"/>
      <c r="L285" s="152"/>
      <c r="M285" s="152"/>
      <c r="N285" s="152">
        <f t="shared" si="3563"/>
        <v>0</v>
      </c>
      <c r="O285" s="152"/>
      <c r="P285" s="152"/>
      <c r="Q285" s="152"/>
      <c r="R285" s="152">
        <f t="shared" si="3564"/>
        <v>0</v>
      </c>
      <c r="S285" s="152"/>
      <c r="T285" s="152"/>
      <c r="U285" s="152"/>
      <c r="V285" s="152">
        <f t="shared" si="3565"/>
        <v>0</v>
      </c>
      <c r="W285" s="152">
        <f t="shared" si="3566"/>
        <v>0</v>
      </c>
      <c r="X285" s="152">
        <f t="shared" si="3567"/>
        <v>0</v>
      </c>
      <c r="Y285" s="152">
        <f t="shared" si="3568"/>
        <v>0</v>
      </c>
      <c r="Z285" s="168">
        <f t="shared" si="3569"/>
        <v>0</v>
      </c>
      <c r="AA285" s="152"/>
      <c r="AB285" s="152"/>
      <c r="AC285" s="152"/>
      <c r="AD285" s="152">
        <f t="shared" si="3570"/>
        <v>0</v>
      </c>
      <c r="AE285" s="152"/>
      <c r="AF285" s="152"/>
      <c r="AG285" s="152"/>
      <c r="AH285" s="152">
        <f t="shared" si="3571"/>
        <v>0</v>
      </c>
      <c r="AI285" s="152"/>
      <c r="AJ285" s="152"/>
      <c r="AK285" s="152"/>
      <c r="AL285" s="152">
        <f t="shared" si="3572"/>
        <v>0</v>
      </c>
      <c r="AM285" s="152"/>
      <c r="AN285" s="152"/>
      <c r="AO285" s="152"/>
      <c r="AP285" s="152">
        <f t="shared" si="3573"/>
        <v>0</v>
      </c>
      <c r="AQ285" s="152">
        <f t="shared" si="3574"/>
        <v>0</v>
      </c>
      <c r="AR285" s="152">
        <f t="shared" si="3574"/>
        <v>0</v>
      </c>
      <c r="AS285" s="152">
        <f t="shared" si="3574"/>
        <v>0</v>
      </c>
      <c r="AT285" s="168">
        <f t="shared" si="3575"/>
        <v>0</v>
      </c>
      <c r="AU285" s="152"/>
      <c r="AV285" s="152"/>
      <c r="AW285" s="152"/>
      <c r="AX285" s="152">
        <f t="shared" si="3576"/>
        <v>0</v>
      </c>
      <c r="AY285" s="152"/>
      <c r="AZ285" s="152"/>
      <c r="BA285" s="152"/>
      <c r="BB285" s="152">
        <f t="shared" si="3577"/>
        <v>0</v>
      </c>
      <c r="BC285" s="152"/>
      <c r="BD285" s="152"/>
      <c r="BE285" s="152"/>
      <c r="BF285" s="152">
        <f t="shared" si="3578"/>
        <v>0</v>
      </c>
      <c r="BG285" s="152"/>
      <c r="BH285" s="152"/>
      <c r="BI285" s="152"/>
      <c r="BJ285" s="152">
        <f t="shared" si="3579"/>
        <v>0</v>
      </c>
      <c r="BK285" s="152">
        <f t="shared" si="3580"/>
        <v>0</v>
      </c>
      <c r="BL285" s="152">
        <f t="shared" si="3581"/>
        <v>0</v>
      </c>
      <c r="BM285" s="152">
        <f t="shared" si="3582"/>
        <v>0</v>
      </c>
      <c r="BN285" s="152">
        <f t="shared" si="3583"/>
        <v>0</v>
      </c>
      <c r="BO285" s="168"/>
      <c r="BP285" s="152">
        <f t="shared" si="3584"/>
        <v>0</v>
      </c>
      <c r="BQ285" s="152">
        <f t="shared" si="3585"/>
        <v>0</v>
      </c>
      <c r="BR285" s="152">
        <f t="shared" si="3586"/>
        <v>0</v>
      </c>
      <c r="BS285" s="168">
        <f t="shared" si="3587"/>
        <v>0</v>
      </c>
      <c r="BT285" s="152"/>
      <c r="BU285" s="152"/>
      <c r="BV285" s="152"/>
      <c r="BW285" s="152">
        <f t="shared" si="3588"/>
        <v>0</v>
      </c>
      <c r="BX285" s="152">
        <f t="shared" si="3589"/>
        <v>0</v>
      </c>
      <c r="BY285" s="152">
        <f t="shared" si="3590"/>
        <v>0</v>
      </c>
      <c r="BZ285" s="152">
        <f t="shared" si="3591"/>
        <v>0</v>
      </c>
      <c r="CA285" s="587">
        <f t="shared" si="3592"/>
        <v>0</v>
      </c>
    </row>
    <row r="286" spans="1:79" ht="14.1" customHeight="1" x14ac:dyDescent="0.2">
      <c r="A286" s="125" t="s">
        <v>646</v>
      </c>
      <c r="B286" s="568"/>
      <c r="C286" s="81">
        <v>3</v>
      </c>
      <c r="D286" s="69" t="s">
        <v>647</v>
      </c>
      <c r="E286" s="83"/>
      <c r="G286" s="152"/>
      <c r="H286" s="152"/>
      <c r="I286" s="152"/>
      <c r="J286" s="152">
        <f t="shared" si="3562"/>
        <v>0</v>
      </c>
      <c r="K286" s="152"/>
      <c r="L286" s="152"/>
      <c r="M286" s="152"/>
      <c r="N286" s="152">
        <f t="shared" si="3563"/>
        <v>0</v>
      </c>
      <c r="O286" s="152"/>
      <c r="P286" s="152"/>
      <c r="Q286" s="152"/>
      <c r="R286" s="152">
        <f t="shared" si="3564"/>
        <v>0</v>
      </c>
      <c r="S286" s="152"/>
      <c r="T286" s="152"/>
      <c r="U286" s="152"/>
      <c r="V286" s="152">
        <f t="shared" si="3565"/>
        <v>0</v>
      </c>
      <c r="W286" s="152">
        <f t="shared" si="3566"/>
        <v>0</v>
      </c>
      <c r="X286" s="152">
        <f t="shared" si="3567"/>
        <v>0</v>
      </c>
      <c r="Y286" s="152">
        <f t="shared" si="3568"/>
        <v>0</v>
      </c>
      <c r="Z286" s="168">
        <f t="shared" si="3569"/>
        <v>0</v>
      </c>
      <c r="AA286" s="152"/>
      <c r="AB286" s="152"/>
      <c r="AC286" s="152"/>
      <c r="AD286" s="152">
        <f t="shared" si="3570"/>
        <v>0</v>
      </c>
      <c r="AE286" s="152"/>
      <c r="AF286" s="152"/>
      <c r="AG286" s="152"/>
      <c r="AH286" s="152">
        <f t="shared" si="3571"/>
        <v>0</v>
      </c>
      <c r="AI286" s="152"/>
      <c r="AJ286" s="152"/>
      <c r="AK286" s="152"/>
      <c r="AL286" s="152">
        <f t="shared" si="3572"/>
        <v>0</v>
      </c>
      <c r="AM286" s="152"/>
      <c r="AN286" s="152"/>
      <c r="AO286" s="152"/>
      <c r="AP286" s="152">
        <f t="shared" si="3573"/>
        <v>0</v>
      </c>
      <c r="AQ286" s="152">
        <f t="shared" si="3574"/>
        <v>0</v>
      </c>
      <c r="AR286" s="152">
        <f t="shared" si="3574"/>
        <v>0</v>
      </c>
      <c r="AS286" s="152">
        <f t="shared" si="3574"/>
        <v>0</v>
      </c>
      <c r="AT286" s="168">
        <f t="shared" si="3575"/>
        <v>0</v>
      </c>
      <c r="AU286" s="152"/>
      <c r="AV286" s="152"/>
      <c r="AW286" s="152"/>
      <c r="AX286" s="152">
        <f t="shared" si="3576"/>
        <v>0</v>
      </c>
      <c r="AY286" s="152"/>
      <c r="AZ286" s="152"/>
      <c r="BA286" s="152"/>
      <c r="BB286" s="152">
        <f t="shared" si="3577"/>
        <v>0</v>
      </c>
      <c r="BC286" s="152"/>
      <c r="BD286" s="152"/>
      <c r="BE286" s="152"/>
      <c r="BF286" s="152">
        <f t="shared" si="3578"/>
        <v>0</v>
      </c>
      <c r="BG286" s="152"/>
      <c r="BH286" s="152"/>
      <c r="BI286" s="152"/>
      <c r="BJ286" s="152">
        <f t="shared" si="3579"/>
        <v>0</v>
      </c>
      <c r="BK286" s="152">
        <f t="shared" si="3580"/>
        <v>0</v>
      </c>
      <c r="BL286" s="152">
        <f t="shared" si="3581"/>
        <v>0</v>
      </c>
      <c r="BM286" s="152">
        <f t="shared" si="3582"/>
        <v>0</v>
      </c>
      <c r="BN286" s="152">
        <f t="shared" si="3583"/>
        <v>0</v>
      </c>
      <c r="BO286" s="168"/>
      <c r="BP286" s="152">
        <f t="shared" si="3584"/>
        <v>0</v>
      </c>
      <c r="BQ286" s="152">
        <f t="shared" si="3585"/>
        <v>0</v>
      </c>
      <c r="BR286" s="152">
        <f t="shared" si="3586"/>
        <v>0</v>
      </c>
      <c r="BS286" s="168">
        <f t="shared" si="3587"/>
        <v>0</v>
      </c>
      <c r="BT286" s="152"/>
      <c r="BU286" s="152"/>
      <c r="BV286" s="152"/>
      <c r="BW286" s="152">
        <f t="shared" si="3588"/>
        <v>0</v>
      </c>
      <c r="BX286" s="152">
        <f t="shared" si="3589"/>
        <v>0</v>
      </c>
      <c r="BY286" s="152">
        <f t="shared" si="3590"/>
        <v>0</v>
      </c>
      <c r="BZ286" s="152">
        <f t="shared" si="3591"/>
        <v>0</v>
      </c>
      <c r="CA286" s="587">
        <f t="shared" si="3592"/>
        <v>0</v>
      </c>
    </row>
    <row r="287" spans="1:79" ht="14.1" customHeight="1" x14ac:dyDescent="0.2">
      <c r="A287" s="127" t="s">
        <v>224</v>
      </c>
      <c r="B287" s="78" t="s">
        <v>184</v>
      </c>
      <c r="C287" s="568" t="s">
        <v>648</v>
      </c>
      <c r="D287" s="69"/>
      <c r="E287" s="75"/>
      <c r="G287" s="152"/>
      <c r="H287" s="152"/>
      <c r="I287" s="152"/>
      <c r="J287" s="152">
        <f t="shared" si="3562"/>
        <v>0</v>
      </c>
      <c r="K287" s="152"/>
      <c r="L287" s="152"/>
      <c r="M287" s="152"/>
      <c r="N287" s="152">
        <f t="shared" si="3563"/>
        <v>0</v>
      </c>
      <c r="O287" s="152"/>
      <c r="P287" s="152"/>
      <c r="Q287" s="152"/>
      <c r="R287" s="152">
        <f t="shared" si="3564"/>
        <v>0</v>
      </c>
      <c r="S287" s="152"/>
      <c r="T287" s="152"/>
      <c r="U287" s="152"/>
      <c r="V287" s="152">
        <f t="shared" si="3565"/>
        <v>0</v>
      </c>
      <c r="W287" s="152">
        <f t="shared" si="3566"/>
        <v>0</v>
      </c>
      <c r="X287" s="152">
        <f t="shared" si="3567"/>
        <v>0</v>
      </c>
      <c r="Y287" s="152">
        <f t="shared" si="3568"/>
        <v>0</v>
      </c>
      <c r="Z287" s="168">
        <f t="shared" si="3569"/>
        <v>0</v>
      </c>
      <c r="AA287" s="152"/>
      <c r="AB287" s="152"/>
      <c r="AC287" s="152"/>
      <c r="AD287" s="152">
        <f t="shared" si="3570"/>
        <v>0</v>
      </c>
      <c r="AE287" s="152"/>
      <c r="AF287" s="152"/>
      <c r="AG287" s="152"/>
      <c r="AH287" s="152">
        <f t="shared" si="3571"/>
        <v>0</v>
      </c>
      <c r="AI287" s="152"/>
      <c r="AJ287" s="152"/>
      <c r="AK287" s="152"/>
      <c r="AL287" s="152">
        <f t="shared" si="3572"/>
        <v>0</v>
      </c>
      <c r="AM287" s="152"/>
      <c r="AN287" s="152"/>
      <c r="AO287" s="152"/>
      <c r="AP287" s="152">
        <f t="shared" si="3573"/>
        <v>0</v>
      </c>
      <c r="AQ287" s="152">
        <f t="shared" si="3574"/>
        <v>0</v>
      </c>
      <c r="AR287" s="152">
        <f t="shared" si="3574"/>
        <v>0</v>
      </c>
      <c r="AS287" s="152">
        <f t="shared" si="3574"/>
        <v>0</v>
      </c>
      <c r="AT287" s="168">
        <f t="shared" si="3575"/>
        <v>0</v>
      </c>
      <c r="AU287" s="152"/>
      <c r="AV287" s="152"/>
      <c r="AW287" s="152"/>
      <c r="AX287" s="152">
        <f t="shared" si="3576"/>
        <v>0</v>
      </c>
      <c r="AY287" s="152"/>
      <c r="AZ287" s="152"/>
      <c r="BA287" s="152"/>
      <c r="BB287" s="152">
        <f t="shared" si="3577"/>
        <v>0</v>
      </c>
      <c r="BC287" s="152"/>
      <c r="BD287" s="152"/>
      <c r="BE287" s="152"/>
      <c r="BF287" s="152">
        <f t="shared" si="3578"/>
        <v>0</v>
      </c>
      <c r="BG287" s="152"/>
      <c r="BH287" s="152"/>
      <c r="BI287" s="152"/>
      <c r="BJ287" s="152">
        <f t="shared" si="3579"/>
        <v>0</v>
      </c>
      <c r="BK287" s="152">
        <f t="shared" si="3580"/>
        <v>0</v>
      </c>
      <c r="BL287" s="152">
        <f t="shared" si="3581"/>
        <v>0</v>
      </c>
      <c r="BM287" s="152">
        <f t="shared" si="3582"/>
        <v>0</v>
      </c>
      <c r="BN287" s="152">
        <f t="shared" si="3583"/>
        <v>0</v>
      </c>
      <c r="BO287" s="168"/>
      <c r="BP287" s="152">
        <f t="shared" si="3584"/>
        <v>0</v>
      </c>
      <c r="BQ287" s="152">
        <f t="shared" si="3585"/>
        <v>0</v>
      </c>
      <c r="BR287" s="152">
        <f t="shared" si="3586"/>
        <v>0</v>
      </c>
      <c r="BS287" s="168">
        <f t="shared" si="3587"/>
        <v>0</v>
      </c>
      <c r="BT287" s="152"/>
      <c r="BU287" s="152"/>
      <c r="BV287" s="152"/>
      <c r="BW287" s="152">
        <f t="shared" si="3588"/>
        <v>0</v>
      </c>
      <c r="BX287" s="152">
        <f t="shared" si="3589"/>
        <v>0</v>
      </c>
      <c r="BY287" s="152">
        <f t="shared" si="3590"/>
        <v>0</v>
      </c>
      <c r="BZ287" s="152">
        <f t="shared" si="3591"/>
        <v>0</v>
      </c>
      <c r="CA287" s="587">
        <f t="shared" si="3592"/>
        <v>0</v>
      </c>
    </row>
    <row r="288" spans="1:79" ht="14.1" customHeight="1" x14ac:dyDescent="0.2">
      <c r="A288" s="526" t="s">
        <v>649</v>
      </c>
      <c r="B288" s="523" t="s">
        <v>650</v>
      </c>
      <c r="C288" s="523"/>
      <c r="D288" s="523"/>
      <c r="E288" s="528"/>
      <c r="F288" s="525"/>
      <c r="G288" s="530">
        <f>G289</f>
        <v>0</v>
      </c>
      <c r="H288" s="530">
        <f t="shared" ref="H288:I288" si="3593">H289</f>
        <v>0</v>
      </c>
      <c r="I288" s="530">
        <f t="shared" si="3593"/>
        <v>0</v>
      </c>
      <c r="J288" s="530">
        <f t="shared" ref="J288" si="3594">J289</f>
        <v>0</v>
      </c>
      <c r="K288" s="530">
        <f>K289</f>
        <v>0</v>
      </c>
      <c r="L288" s="530">
        <f t="shared" ref="L288" si="3595">L289</f>
        <v>0</v>
      </c>
      <c r="M288" s="530">
        <f t="shared" ref="M288" si="3596">M289</f>
        <v>0</v>
      </c>
      <c r="N288" s="530">
        <f t="shared" ref="N288" si="3597">N289</f>
        <v>0</v>
      </c>
      <c r="O288" s="530">
        <f>O289</f>
        <v>0</v>
      </c>
      <c r="P288" s="530">
        <f t="shared" ref="P288" si="3598">P289</f>
        <v>0</v>
      </c>
      <c r="Q288" s="530">
        <f t="shared" ref="Q288" si="3599">Q289</f>
        <v>0</v>
      </c>
      <c r="R288" s="530">
        <f t="shared" ref="R288" si="3600">R289</f>
        <v>0</v>
      </c>
      <c r="S288" s="530">
        <f>S289</f>
        <v>0</v>
      </c>
      <c r="T288" s="530">
        <f t="shared" ref="T288" si="3601">T289</f>
        <v>0</v>
      </c>
      <c r="U288" s="530">
        <f t="shared" ref="U288" si="3602">U289</f>
        <v>0</v>
      </c>
      <c r="V288" s="530">
        <f t="shared" ref="V288" si="3603">V289</f>
        <v>0</v>
      </c>
      <c r="W288" s="530">
        <f t="shared" ref="W288" si="3604">W289</f>
        <v>0</v>
      </c>
      <c r="X288" s="530">
        <f t="shared" ref="X288" si="3605">X289</f>
        <v>0</v>
      </c>
      <c r="Y288" s="530">
        <f t="shared" ref="Y288" si="3606">Y289</f>
        <v>0</v>
      </c>
      <c r="Z288" s="531">
        <f t="shared" ref="Z288:AD288" si="3607">Z289</f>
        <v>0</v>
      </c>
      <c r="AA288" s="530">
        <f t="shared" si="3607"/>
        <v>0</v>
      </c>
      <c r="AB288" s="530">
        <f t="shared" si="3607"/>
        <v>0</v>
      </c>
      <c r="AC288" s="530">
        <f t="shared" si="3607"/>
        <v>0</v>
      </c>
      <c r="AD288" s="530">
        <f t="shared" si="3607"/>
        <v>0</v>
      </c>
      <c r="AE288" s="530">
        <f>AE289</f>
        <v>0</v>
      </c>
      <c r="AF288" s="530">
        <f t="shared" ref="AF288:AH288" si="3608">AF289</f>
        <v>0</v>
      </c>
      <c r="AG288" s="530">
        <f t="shared" si="3608"/>
        <v>0</v>
      </c>
      <c r="AH288" s="530">
        <f t="shared" si="3608"/>
        <v>0</v>
      </c>
      <c r="AI288" s="530">
        <f>AI289</f>
        <v>0</v>
      </c>
      <c r="AJ288" s="530">
        <f t="shared" ref="AJ288:AL288" si="3609">AJ289</f>
        <v>0</v>
      </c>
      <c r="AK288" s="530">
        <f t="shared" si="3609"/>
        <v>0</v>
      </c>
      <c r="AL288" s="530">
        <f t="shared" si="3609"/>
        <v>0</v>
      </c>
      <c r="AM288" s="530">
        <f>AM289</f>
        <v>0</v>
      </c>
      <c r="AN288" s="530">
        <f t="shared" ref="AN288:AT288" si="3610">AN289</f>
        <v>0</v>
      </c>
      <c r="AO288" s="530">
        <f t="shared" si="3610"/>
        <v>0</v>
      </c>
      <c r="AP288" s="530">
        <f t="shared" si="3610"/>
        <v>0</v>
      </c>
      <c r="AQ288" s="530">
        <f t="shared" si="3610"/>
        <v>0</v>
      </c>
      <c r="AR288" s="530">
        <f t="shared" si="3610"/>
        <v>0</v>
      </c>
      <c r="AS288" s="530">
        <f t="shared" si="3610"/>
        <v>0</v>
      </c>
      <c r="AT288" s="531">
        <f t="shared" si="3610"/>
        <v>0</v>
      </c>
      <c r="AU288" s="530">
        <f>AU289</f>
        <v>0</v>
      </c>
      <c r="AV288" s="530">
        <f t="shared" ref="AV288:AX288" si="3611">AV289</f>
        <v>0</v>
      </c>
      <c r="AW288" s="530">
        <f t="shared" si="3611"/>
        <v>0</v>
      </c>
      <c r="AX288" s="530">
        <f t="shared" si="3611"/>
        <v>0</v>
      </c>
      <c r="AY288" s="530">
        <f>AY289</f>
        <v>0</v>
      </c>
      <c r="AZ288" s="530">
        <f t="shared" ref="AZ288" si="3612">AZ289</f>
        <v>0</v>
      </c>
      <c r="BA288" s="530">
        <f t="shared" ref="BA288" si="3613">BA289</f>
        <v>0</v>
      </c>
      <c r="BB288" s="530">
        <f t="shared" ref="BB288" si="3614">BB289</f>
        <v>0</v>
      </c>
      <c r="BC288" s="530">
        <f>BC289</f>
        <v>0</v>
      </c>
      <c r="BD288" s="530">
        <f t="shared" ref="BD288" si="3615">BD289</f>
        <v>0</v>
      </c>
      <c r="BE288" s="530">
        <f t="shared" ref="BE288" si="3616">BE289</f>
        <v>0</v>
      </c>
      <c r="BF288" s="530">
        <f t="shared" ref="BF288" si="3617">BF289</f>
        <v>0</v>
      </c>
      <c r="BG288" s="530">
        <f>BG289</f>
        <v>0</v>
      </c>
      <c r="BH288" s="530">
        <f t="shared" ref="BH288" si="3618">BH289</f>
        <v>0</v>
      </c>
      <c r="BI288" s="530">
        <f t="shared" ref="BI288" si="3619">BI289</f>
        <v>0</v>
      </c>
      <c r="BJ288" s="530">
        <f t="shared" ref="BJ288" si="3620">BJ289</f>
        <v>0</v>
      </c>
      <c r="BK288" s="530">
        <f t="shared" ref="BK288" si="3621">BK289</f>
        <v>0</v>
      </c>
      <c r="BL288" s="530">
        <f t="shared" ref="BL288" si="3622">BL289</f>
        <v>0</v>
      </c>
      <c r="BM288" s="530">
        <f t="shared" ref="BM288" si="3623">BM289</f>
        <v>0</v>
      </c>
      <c r="BN288" s="530">
        <f t="shared" ref="BN288" si="3624">BN289</f>
        <v>0</v>
      </c>
      <c r="BO288" s="532">
        <f t="shared" ref="BO288" si="3625">BO289</f>
        <v>0</v>
      </c>
      <c r="BP288" s="530">
        <f t="shared" ref="BP288" si="3626">BP289</f>
        <v>0</v>
      </c>
      <c r="BQ288" s="530">
        <f t="shared" ref="BQ288" si="3627">BQ289</f>
        <v>0</v>
      </c>
      <c r="BR288" s="530">
        <f t="shared" ref="BR288" si="3628">BR289</f>
        <v>0</v>
      </c>
      <c r="BS288" s="531">
        <f t="shared" ref="BS288" si="3629">BS289</f>
        <v>0</v>
      </c>
      <c r="BT288" s="530">
        <f>BT289</f>
        <v>0</v>
      </c>
      <c r="BU288" s="530">
        <f t="shared" ref="BU288" si="3630">BU289</f>
        <v>0</v>
      </c>
      <c r="BV288" s="530">
        <f t="shared" ref="BV288" si="3631">BV289</f>
        <v>0</v>
      </c>
      <c r="BW288" s="530">
        <f t="shared" ref="BW288" si="3632">BW289</f>
        <v>0</v>
      </c>
      <c r="BX288" s="530">
        <f t="shared" ref="BX288" si="3633">BX289</f>
        <v>0</v>
      </c>
      <c r="BY288" s="530">
        <f t="shared" ref="BY288" si="3634">BY289</f>
        <v>0</v>
      </c>
      <c r="BZ288" s="530">
        <f t="shared" ref="BZ288" si="3635">BZ289</f>
        <v>0</v>
      </c>
      <c r="CA288" s="533">
        <f t="shared" ref="CA288" si="3636">CA289</f>
        <v>0</v>
      </c>
    </row>
    <row r="289" spans="1:79" ht="14.1" customHeight="1" x14ac:dyDescent="0.2">
      <c r="A289" s="138" t="s">
        <v>651</v>
      </c>
      <c r="B289" s="66" t="s">
        <v>126</v>
      </c>
      <c r="C289" s="64" t="s">
        <v>652</v>
      </c>
      <c r="D289" s="68"/>
      <c r="G289" s="161">
        <f>SUM(G290:G293)</f>
        <v>0</v>
      </c>
      <c r="H289" s="161">
        <f t="shared" ref="H289:I289" si="3637">SUM(H290:H293)</f>
        <v>0</v>
      </c>
      <c r="I289" s="161">
        <f t="shared" si="3637"/>
        <v>0</v>
      </c>
      <c r="J289" s="161">
        <f t="shared" ref="J289" si="3638">SUM(J290:J293)</f>
        <v>0</v>
      </c>
      <c r="K289" s="161">
        <f>SUM(K290:K293)</f>
        <v>0</v>
      </c>
      <c r="L289" s="161">
        <f t="shared" ref="L289" si="3639">SUM(L290:L293)</f>
        <v>0</v>
      </c>
      <c r="M289" s="161">
        <f t="shared" ref="M289" si="3640">SUM(M290:M293)</f>
        <v>0</v>
      </c>
      <c r="N289" s="161">
        <f t="shared" ref="N289" si="3641">SUM(N290:N293)</f>
        <v>0</v>
      </c>
      <c r="O289" s="161">
        <f>SUM(O290:O293)</f>
        <v>0</v>
      </c>
      <c r="P289" s="161">
        <f t="shared" ref="P289" si="3642">SUM(P290:P293)</f>
        <v>0</v>
      </c>
      <c r="Q289" s="161">
        <f t="shared" ref="Q289" si="3643">SUM(Q290:Q293)</f>
        <v>0</v>
      </c>
      <c r="R289" s="161">
        <f t="shared" ref="R289" si="3644">SUM(R290:R293)</f>
        <v>0</v>
      </c>
      <c r="S289" s="161">
        <f>SUM(S290:S293)</f>
        <v>0</v>
      </c>
      <c r="T289" s="161">
        <f t="shared" ref="T289" si="3645">SUM(T290:T293)</f>
        <v>0</v>
      </c>
      <c r="U289" s="161">
        <f t="shared" ref="U289" si="3646">SUM(U290:U293)</f>
        <v>0</v>
      </c>
      <c r="V289" s="161">
        <f t="shared" ref="V289" si="3647">SUM(V290:V293)</f>
        <v>0</v>
      </c>
      <c r="W289" s="161">
        <f t="shared" ref="W289" si="3648">SUM(W290:W293)</f>
        <v>0</v>
      </c>
      <c r="X289" s="161">
        <f t="shared" ref="X289" si="3649">SUM(X290:X293)</f>
        <v>0</v>
      </c>
      <c r="Y289" s="161">
        <f t="shared" ref="Y289" si="3650">SUM(Y290:Y293)</f>
        <v>0</v>
      </c>
      <c r="Z289" s="97">
        <f t="shared" ref="Z289:AD289" si="3651">SUM(Z290:Z293)</f>
        <v>0</v>
      </c>
      <c r="AA289" s="161">
        <f t="shared" si="3651"/>
        <v>0</v>
      </c>
      <c r="AB289" s="161">
        <f t="shared" si="3651"/>
        <v>0</v>
      </c>
      <c r="AC289" s="161">
        <f t="shared" si="3651"/>
        <v>0</v>
      </c>
      <c r="AD289" s="161">
        <f t="shared" si="3651"/>
        <v>0</v>
      </c>
      <c r="AE289" s="161">
        <f>SUM(AE290:AE293)</f>
        <v>0</v>
      </c>
      <c r="AF289" s="161">
        <f t="shared" ref="AF289:AH289" si="3652">SUM(AF290:AF293)</f>
        <v>0</v>
      </c>
      <c r="AG289" s="161">
        <f t="shared" si="3652"/>
        <v>0</v>
      </c>
      <c r="AH289" s="161">
        <f t="shared" si="3652"/>
        <v>0</v>
      </c>
      <c r="AI289" s="161">
        <f>SUM(AI290:AI293)</f>
        <v>0</v>
      </c>
      <c r="AJ289" s="161">
        <f t="shared" ref="AJ289:AL289" si="3653">SUM(AJ290:AJ293)</f>
        <v>0</v>
      </c>
      <c r="AK289" s="161">
        <f t="shared" si="3653"/>
        <v>0</v>
      </c>
      <c r="AL289" s="161">
        <f t="shared" si="3653"/>
        <v>0</v>
      </c>
      <c r="AM289" s="161">
        <f>SUM(AM290:AM293)</f>
        <v>0</v>
      </c>
      <c r="AN289" s="161">
        <f t="shared" ref="AN289:AT289" si="3654">SUM(AN290:AN293)</f>
        <v>0</v>
      </c>
      <c r="AO289" s="161">
        <f t="shared" si="3654"/>
        <v>0</v>
      </c>
      <c r="AP289" s="161">
        <f t="shared" si="3654"/>
        <v>0</v>
      </c>
      <c r="AQ289" s="161">
        <f t="shared" si="3654"/>
        <v>0</v>
      </c>
      <c r="AR289" s="161">
        <f t="shared" si="3654"/>
        <v>0</v>
      </c>
      <c r="AS289" s="161">
        <f t="shared" si="3654"/>
        <v>0</v>
      </c>
      <c r="AT289" s="97">
        <f t="shared" si="3654"/>
        <v>0</v>
      </c>
      <c r="AU289" s="161">
        <f>SUM(AU290:AU293)</f>
        <v>0</v>
      </c>
      <c r="AV289" s="161">
        <f t="shared" ref="AV289:AX289" si="3655">SUM(AV290:AV293)</f>
        <v>0</v>
      </c>
      <c r="AW289" s="161">
        <f t="shared" si="3655"/>
        <v>0</v>
      </c>
      <c r="AX289" s="161">
        <f t="shared" si="3655"/>
        <v>0</v>
      </c>
      <c r="AY289" s="161">
        <f>SUM(AY290:AY293)</f>
        <v>0</v>
      </c>
      <c r="AZ289" s="161">
        <f t="shared" ref="AZ289" si="3656">SUM(AZ290:AZ293)</f>
        <v>0</v>
      </c>
      <c r="BA289" s="161">
        <f t="shared" ref="BA289" si="3657">SUM(BA290:BA293)</f>
        <v>0</v>
      </c>
      <c r="BB289" s="161">
        <f t="shared" ref="BB289" si="3658">SUM(BB290:BB293)</f>
        <v>0</v>
      </c>
      <c r="BC289" s="161">
        <f>SUM(BC290:BC293)</f>
        <v>0</v>
      </c>
      <c r="BD289" s="161">
        <f t="shared" ref="BD289" si="3659">SUM(BD290:BD293)</f>
        <v>0</v>
      </c>
      <c r="BE289" s="161">
        <f t="shared" ref="BE289" si="3660">SUM(BE290:BE293)</f>
        <v>0</v>
      </c>
      <c r="BF289" s="161">
        <f t="shared" ref="BF289" si="3661">SUM(BF290:BF293)</f>
        <v>0</v>
      </c>
      <c r="BG289" s="161">
        <f>SUM(BG290:BG293)</f>
        <v>0</v>
      </c>
      <c r="BH289" s="161">
        <f t="shared" ref="BH289" si="3662">SUM(BH290:BH293)</f>
        <v>0</v>
      </c>
      <c r="BI289" s="161">
        <f t="shared" ref="BI289" si="3663">SUM(BI290:BI293)</f>
        <v>0</v>
      </c>
      <c r="BJ289" s="161">
        <f t="shared" ref="BJ289" si="3664">SUM(BJ290:BJ293)</f>
        <v>0</v>
      </c>
      <c r="BK289" s="161">
        <f t="shared" ref="BK289" si="3665">SUM(BK290:BK293)</f>
        <v>0</v>
      </c>
      <c r="BL289" s="161">
        <f t="shared" ref="BL289" si="3666">SUM(BL290:BL293)</f>
        <v>0</v>
      </c>
      <c r="BM289" s="161">
        <f t="shared" ref="BM289" si="3667">SUM(BM290:BM293)</f>
        <v>0</v>
      </c>
      <c r="BN289" s="161">
        <f t="shared" ref="BN289" si="3668">SUM(BN290:BN293)</f>
        <v>0</v>
      </c>
      <c r="BO289" s="176">
        <f t="shared" ref="BO289" si="3669">SUM(BO290:BO293)</f>
        <v>0</v>
      </c>
      <c r="BP289" s="161">
        <f t="shared" ref="BP289" si="3670">SUM(BP290:BP293)</f>
        <v>0</v>
      </c>
      <c r="BQ289" s="161">
        <f t="shared" ref="BQ289" si="3671">SUM(BQ290:BQ293)</f>
        <v>0</v>
      </c>
      <c r="BR289" s="161">
        <f t="shared" ref="BR289" si="3672">SUM(BR290:BR293)</f>
        <v>0</v>
      </c>
      <c r="BS289" s="97">
        <f t="shared" ref="BS289" si="3673">SUM(BS290:BS293)</f>
        <v>0</v>
      </c>
      <c r="BT289" s="161">
        <f>SUM(BT290:BT293)</f>
        <v>0</v>
      </c>
      <c r="BU289" s="161">
        <f t="shared" ref="BU289" si="3674">SUM(BU290:BU293)</f>
        <v>0</v>
      </c>
      <c r="BV289" s="161">
        <f t="shared" ref="BV289" si="3675">SUM(BV290:BV293)</f>
        <v>0</v>
      </c>
      <c r="BW289" s="161">
        <f t="shared" ref="BW289" si="3676">SUM(BW290:BW293)</f>
        <v>0</v>
      </c>
      <c r="BX289" s="161">
        <f t="shared" ref="BX289" si="3677">SUM(BX290:BX293)</f>
        <v>0</v>
      </c>
      <c r="BY289" s="161">
        <f t="shared" ref="BY289" si="3678">SUM(BY290:BY293)</f>
        <v>0</v>
      </c>
      <c r="BZ289" s="161">
        <f t="shared" ref="BZ289" si="3679">SUM(BZ290:BZ293)</f>
        <v>0</v>
      </c>
      <c r="CA289" s="139">
        <f t="shared" ref="CA289" si="3680">SUM(CA290:CA293)</f>
        <v>0</v>
      </c>
    </row>
    <row r="290" spans="1:79" ht="14.1" customHeight="1" x14ac:dyDescent="0.2">
      <c r="A290" s="125" t="s">
        <v>653</v>
      </c>
      <c r="B290" s="568"/>
      <c r="C290" s="81">
        <v>1</v>
      </c>
      <c r="D290" s="69" t="s">
        <v>654</v>
      </c>
      <c r="E290" s="83"/>
      <c r="G290" s="152"/>
      <c r="H290" s="152"/>
      <c r="I290" s="152"/>
      <c r="J290" s="152">
        <f t="shared" ref="J290:J293" si="3681">SUM(G290:I290)</f>
        <v>0</v>
      </c>
      <c r="K290" s="152"/>
      <c r="L290" s="152"/>
      <c r="M290" s="152"/>
      <c r="N290" s="152">
        <f t="shared" ref="N290:N293" si="3682">SUM(K290:M290)</f>
        <v>0</v>
      </c>
      <c r="O290" s="152"/>
      <c r="P290" s="152"/>
      <c r="Q290" s="152"/>
      <c r="R290" s="152">
        <f t="shared" ref="R290:R293" si="3683">SUM(O290:Q290)</f>
        <v>0</v>
      </c>
      <c r="S290" s="152"/>
      <c r="T290" s="152"/>
      <c r="U290" s="152"/>
      <c r="V290" s="152">
        <f t="shared" ref="V290:V293" si="3684">SUM(S290:U290)</f>
        <v>0</v>
      </c>
      <c r="W290" s="152">
        <f>G290-O290+S290+K290</f>
        <v>0</v>
      </c>
      <c r="X290" s="152">
        <f t="shared" ref="X290:X291" si="3685">H290-P290+T290+L290</f>
        <v>0</v>
      </c>
      <c r="Y290" s="152">
        <f t="shared" ref="Y290:Y291" si="3686">I290-Q290+U290+M290</f>
        <v>0</v>
      </c>
      <c r="Z290" s="168">
        <f>SUM(W290:Y290)</f>
        <v>0</v>
      </c>
      <c r="AA290" s="152"/>
      <c r="AB290" s="152"/>
      <c r="AC290" s="152"/>
      <c r="AD290" s="152">
        <f t="shared" ref="AD290:AD293" si="3687">SUM(AA290:AC290)</f>
        <v>0</v>
      </c>
      <c r="AE290" s="152"/>
      <c r="AF290" s="152"/>
      <c r="AG290" s="152"/>
      <c r="AH290" s="152">
        <f t="shared" ref="AH290:AH293" si="3688">SUM(AE290:AG290)</f>
        <v>0</v>
      </c>
      <c r="AI290" s="152"/>
      <c r="AJ290" s="152"/>
      <c r="AK290" s="152"/>
      <c r="AL290" s="152">
        <f t="shared" ref="AL290:AL293" si="3689">SUM(AI290:AK290)</f>
        <v>0</v>
      </c>
      <c r="AM290" s="152"/>
      <c r="AN290" s="152"/>
      <c r="AO290" s="152"/>
      <c r="AP290" s="152">
        <f t="shared" ref="AP290:AP293" si="3690">SUM(AM290:AO290)</f>
        <v>0</v>
      </c>
      <c r="AQ290" s="152">
        <f t="shared" ref="AQ290:AS291" si="3691">AA290+AE290+AI290+AM290</f>
        <v>0</v>
      </c>
      <c r="AR290" s="152">
        <f t="shared" si="3691"/>
        <v>0</v>
      </c>
      <c r="AS290" s="152">
        <f t="shared" si="3691"/>
        <v>0</v>
      </c>
      <c r="AT290" s="168">
        <f>SUM(AQ290:AS290)</f>
        <v>0</v>
      </c>
      <c r="AU290" s="152"/>
      <c r="AV290" s="152"/>
      <c r="AW290" s="152"/>
      <c r="AX290" s="152">
        <f t="shared" ref="AX290:AX293" si="3692">SUM(AU290:AW290)</f>
        <v>0</v>
      </c>
      <c r="AY290" s="152"/>
      <c r="AZ290" s="152"/>
      <c r="BA290" s="152"/>
      <c r="BB290" s="152">
        <f t="shared" ref="BB290:BB293" si="3693">SUM(AY290:BA290)</f>
        <v>0</v>
      </c>
      <c r="BC290" s="152"/>
      <c r="BD290" s="152"/>
      <c r="BE290" s="152"/>
      <c r="BF290" s="152">
        <f t="shared" ref="BF290:BF293" si="3694">SUM(BC290:BE290)</f>
        <v>0</v>
      </c>
      <c r="BG290" s="152"/>
      <c r="BH290" s="152"/>
      <c r="BI290" s="152"/>
      <c r="BJ290" s="152">
        <f t="shared" ref="BJ290:BJ293" si="3695">SUM(BG290:BI290)</f>
        <v>0</v>
      </c>
      <c r="BK290" s="152">
        <f t="shared" ref="BK290:BK291" si="3696">AU290+AY290+BC290+BG290</f>
        <v>0</v>
      </c>
      <c r="BL290" s="152">
        <f t="shared" ref="BL290:BL291" si="3697">AV290+AZ290+BD290+BH290</f>
        <v>0</v>
      </c>
      <c r="BM290" s="152">
        <f t="shared" ref="BM290:BM291" si="3698">AW290+BA290+BE290+BI290</f>
        <v>0</v>
      </c>
      <c r="BN290" s="152">
        <f>SUM(BK290:BM290)</f>
        <v>0</v>
      </c>
      <c r="BO290" s="168"/>
      <c r="BP290" s="152">
        <f t="shared" ref="BP290:BP291" si="3699">W290-AQ290</f>
        <v>0</v>
      </c>
      <c r="BQ290" s="152">
        <f t="shared" ref="BQ290:BQ291" si="3700">X290-AR290</f>
        <v>0</v>
      </c>
      <c r="BR290" s="152">
        <f t="shared" ref="BR290:BR291" si="3701">Y290-AS290</f>
        <v>0</v>
      </c>
      <c r="BS290" s="168">
        <f>SUM(BP290:BR290)</f>
        <v>0</v>
      </c>
      <c r="BT290" s="152"/>
      <c r="BU290" s="152"/>
      <c r="BV290" s="152"/>
      <c r="BW290" s="152">
        <f t="shared" ref="BW290:BW293" si="3702">SUM(BT290:BV290)</f>
        <v>0</v>
      </c>
      <c r="BX290" s="152">
        <f t="shared" ref="BX290:BX293" si="3703">AQ290-BK290-BT290</f>
        <v>0</v>
      </c>
      <c r="BY290" s="152">
        <f t="shared" ref="BY290:BY293" si="3704">AR290-BL290-BU290</f>
        <v>0</v>
      </c>
      <c r="BZ290" s="152">
        <f t="shared" ref="BZ290:BZ293" si="3705">AS290-BM290-BV290</f>
        <v>0</v>
      </c>
      <c r="CA290" s="587">
        <f t="shared" ref="CA290:CA293" si="3706">SUM(BX290:BZ290)</f>
        <v>0</v>
      </c>
    </row>
    <row r="291" spans="1:79" ht="14.1" customHeight="1" x14ac:dyDescent="0.2">
      <c r="A291" s="125" t="s">
        <v>655</v>
      </c>
      <c r="B291" s="568"/>
      <c r="C291" s="81" t="s">
        <v>656</v>
      </c>
      <c r="D291" s="69" t="s">
        <v>207</v>
      </c>
      <c r="E291" s="83"/>
      <c r="G291" s="152"/>
      <c r="H291" s="152"/>
      <c r="I291" s="152"/>
      <c r="J291" s="152">
        <f t="shared" si="3681"/>
        <v>0</v>
      </c>
      <c r="K291" s="152"/>
      <c r="L291" s="152"/>
      <c r="M291" s="152"/>
      <c r="N291" s="152">
        <f t="shared" si="3682"/>
        <v>0</v>
      </c>
      <c r="O291" s="152"/>
      <c r="P291" s="152"/>
      <c r="Q291" s="152"/>
      <c r="R291" s="152">
        <f t="shared" si="3683"/>
        <v>0</v>
      </c>
      <c r="S291" s="152"/>
      <c r="T291" s="152"/>
      <c r="U291" s="152"/>
      <c r="V291" s="152">
        <f t="shared" si="3684"/>
        <v>0</v>
      </c>
      <c r="W291" s="152">
        <f>G291-O291+S291+K291</f>
        <v>0</v>
      </c>
      <c r="X291" s="152">
        <f t="shared" si="3685"/>
        <v>0</v>
      </c>
      <c r="Y291" s="152">
        <f t="shared" si="3686"/>
        <v>0</v>
      </c>
      <c r="Z291" s="168">
        <f>SUM(W291:Y291)</f>
        <v>0</v>
      </c>
      <c r="AA291" s="152"/>
      <c r="AB291" s="152"/>
      <c r="AC291" s="152"/>
      <c r="AD291" s="152">
        <f t="shared" si="3687"/>
        <v>0</v>
      </c>
      <c r="AE291" s="152"/>
      <c r="AF291" s="152"/>
      <c r="AG291" s="152"/>
      <c r="AH291" s="152">
        <f t="shared" si="3688"/>
        <v>0</v>
      </c>
      <c r="AI291" s="152"/>
      <c r="AJ291" s="152"/>
      <c r="AK291" s="152"/>
      <c r="AL291" s="152">
        <f t="shared" si="3689"/>
        <v>0</v>
      </c>
      <c r="AM291" s="152"/>
      <c r="AN291" s="152"/>
      <c r="AO291" s="152"/>
      <c r="AP291" s="152">
        <f t="shared" si="3690"/>
        <v>0</v>
      </c>
      <c r="AQ291" s="152">
        <f t="shared" si="3691"/>
        <v>0</v>
      </c>
      <c r="AR291" s="152">
        <f t="shared" si="3691"/>
        <v>0</v>
      </c>
      <c r="AS291" s="152">
        <f t="shared" si="3691"/>
        <v>0</v>
      </c>
      <c r="AT291" s="168">
        <f>SUM(AQ291:AS291)</f>
        <v>0</v>
      </c>
      <c r="AU291" s="152"/>
      <c r="AV291" s="152"/>
      <c r="AW291" s="152"/>
      <c r="AX291" s="152">
        <f t="shared" si="3692"/>
        <v>0</v>
      </c>
      <c r="AY291" s="152"/>
      <c r="AZ291" s="152"/>
      <c r="BA291" s="152"/>
      <c r="BB291" s="152">
        <f t="shared" si="3693"/>
        <v>0</v>
      </c>
      <c r="BC291" s="152"/>
      <c r="BD291" s="152"/>
      <c r="BE291" s="152"/>
      <c r="BF291" s="152">
        <f t="shared" si="3694"/>
        <v>0</v>
      </c>
      <c r="BG291" s="152"/>
      <c r="BH291" s="152"/>
      <c r="BI291" s="152"/>
      <c r="BJ291" s="152">
        <f t="shared" si="3695"/>
        <v>0</v>
      </c>
      <c r="BK291" s="152">
        <f t="shared" si="3696"/>
        <v>0</v>
      </c>
      <c r="BL291" s="152">
        <f t="shared" si="3697"/>
        <v>0</v>
      </c>
      <c r="BM291" s="152">
        <f t="shared" si="3698"/>
        <v>0</v>
      </c>
      <c r="BN291" s="152">
        <f>SUM(BK291:BM291)</f>
        <v>0</v>
      </c>
      <c r="BO291" s="168"/>
      <c r="BP291" s="152">
        <f t="shared" si="3699"/>
        <v>0</v>
      </c>
      <c r="BQ291" s="152">
        <f t="shared" si="3700"/>
        <v>0</v>
      </c>
      <c r="BR291" s="152">
        <f t="shared" si="3701"/>
        <v>0</v>
      </c>
      <c r="BS291" s="168">
        <f>SUM(BP291:BR291)</f>
        <v>0</v>
      </c>
      <c r="BT291" s="152"/>
      <c r="BU291" s="152"/>
      <c r="BV291" s="152"/>
      <c r="BW291" s="152">
        <f t="shared" si="3702"/>
        <v>0</v>
      </c>
      <c r="BX291" s="152">
        <f t="shared" si="3703"/>
        <v>0</v>
      </c>
      <c r="BY291" s="152">
        <f t="shared" si="3704"/>
        <v>0</v>
      </c>
      <c r="BZ291" s="152">
        <f t="shared" si="3705"/>
        <v>0</v>
      </c>
      <c r="CA291" s="587">
        <f t="shared" si="3706"/>
        <v>0</v>
      </c>
    </row>
    <row r="292" spans="1:79" ht="14.1" customHeight="1" x14ac:dyDescent="0.2">
      <c r="A292" s="125"/>
      <c r="B292" s="568"/>
      <c r="C292" s="78" t="s">
        <v>657</v>
      </c>
      <c r="D292" s="69" t="s">
        <v>658</v>
      </c>
      <c r="E292" s="566"/>
      <c r="G292" s="152"/>
      <c r="H292" s="152"/>
      <c r="I292" s="152"/>
      <c r="J292" s="152">
        <f t="shared" si="3681"/>
        <v>0</v>
      </c>
      <c r="K292" s="152"/>
      <c r="L292" s="152"/>
      <c r="M292" s="152"/>
      <c r="N292" s="152">
        <f t="shared" si="3682"/>
        <v>0</v>
      </c>
      <c r="O292" s="152"/>
      <c r="P292" s="152"/>
      <c r="Q292" s="152"/>
      <c r="R292" s="152">
        <f t="shared" si="3683"/>
        <v>0</v>
      </c>
      <c r="S292" s="152"/>
      <c r="T292" s="152"/>
      <c r="U292" s="152"/>
      <c r="V292" s="152">
        <f t="shared" si="3684"/>
        <v>0</v>
      </c>
      <c r="W292" s="152"/>
      <c r="X292" s="152"/>
      <c r="Y292" s="152"/>
      <c r="AA292" s="152"/>
      <c r="AB292" s="152"/>
      <c r="AC292" s="152"/>
      <c r="AD292" s="152">
        <f t="shared" si="3687"/>
        <v>0</v>
      </c>
      <c r="AE292" s="152"/>
      <c r="AF292" s="152"/>
      <c r="AG292" s="152"/>
      <c r="AH292" s="152">
        <f t="shared" si="3688"/>
        <v>0</v>
      </c>
      <c r="AI292" s="152"/>
      <c r="AJ292" s="152"/>
      <c r="AK292" s="152"/>
      <c r="AL292" s="152">
        <f t="shared" si="3689"/>
        <v>0</v>
      </c>
      <c r="AM292" s="152"/>
      <c r="AN292" s="152"/>
      <c r="AO292" s="152"/>
      <c r="AP292" s="152">
        <f t="shared" si="3690"/>
        <v>0</v>
      </c>
      <c r="AQ292" s="152"/>
      <c r="AR292" s="152"/>
      <c r="AS292" s="152"/>
      <c r="AU292" s="152"/>
      <c r="AV292" s="152"/>
      <c r="AW292" s="152"/>
      <c r="AX292" s="152">
        <f t="shared" si="3692"/>
        <v>0</v>
      </c>
      <c r="AY292" s="152"/>
      <c r="AZ292" s="152"/>
      <c r="BA292" s="152"/>
      <c r="BB292" s="152">
        <f t="shared" si="3693"/>
        <v>0</v>
      </c>
      <c r="BC292" s="152"/>
      <c r="BD292" s="152"/>
      <c r="BE292" s="152"/>
      <c r="BF292" s="152">
        <f t="shared" si="3694"/>
        <v>0</v>
      </c>
      <c r="BG292" s="152"/>
      <c r="BH292" s="152"/>
      <c r="BI292" s="152"/>
      <c r="BJ292" s="152">
        <f t="shared" si="3695"/>
        <v>0</v>
      </c>
      <c r="BK292" s="152"/>
      <c r="BL292" s="152"/>
      <c r="BM292" s="152"/>
      <c r="BN292" s="152"/>
      <c r="BO292" s="168"/>
      <c r="BP292" s="152"/>
      <c r="BQ292" s="152"/>
      <c r="BR292" s="152"/>
      <c r="BT292" s="152"/>
      <c r="BU292" s="152"/>
      <c r="BV292" s="152"/>
      <c r="BW292" s="152">
        <f t="shared" si="3702"/>
        <v>0</v>
      </c>
      <c r="BX292" s="152">
        <f t="shared" si="3703"/>
        <v>0</v>
      </c>
      <c r="BY292" s="152">
        <f t="shared" si="3704"/>
        <v>0</v>
      </c>
      <c r="BZ292" s="152">
        <f t="shared" si="3705"/>
        <v>0</v>
      </c>
      <c r="CA292" s="587">
        <f t="shared" si="3706"/>
        <v>0</v>
      </c>
    </row>
    <row r="293" spans="1:79" ht="14.1" customHeight="1" x14ac:dyDescent="0.2">
      <c r="A293" s="125" t="s">
        <v>659</v>
      </c>
      <c r="B293" s="568"/>
      <c r="C293" s="81">
        <v>3</v>
      </c>
      <c r="D293" s="69" t="s">
        <v>660</v>
      </c>
      <c r="E293" s="83"/>
      <c r="G293" s="152"/>
      <c r="H293" s="152"/>
      <c r="I293" s="152"/>
      <c r="J293" s="152">
        <f t="shared" si="3681"/>
        <v>0</v>
      </c>
      <c r="K293" s="152"/>
      <c r="L293" s="152"/>
      <c r="M293" s="152"/>
      <c r="N293" s="152">
        <f t="shared" si="3682"/>
        <v>0</v>
      </c>
      <c r="O293" s="152"/>
      <c r="P293" s="152"/>
      <c r="Q293" s="152"/>
      <c r="R293" s="152">
        <f t="shared" si="3683"/>
        <v>0</v>
      </c>
      <c r="S293" s="152"/>
      <c r="T293" s="152"/>
      <c r="U293" s="152"/>
      <c r="V293" s="152">
        <f t="shared" si="3684"/>
        <v>0</v>
      </c>
      <c r="W293" s="152">
        <f>G293-O293+S293+K293</f>
        <v>0</v>
      </c>
      <c r="X293" s="152">
        <f t="shared" ref="X293" si="3707">H293-P293+T293+L293</f>
        <v>0</v>
      </c>
      <c r="Y293" s="152">
        <f t="shared" ref="Y293" si="3708">I293-Q293+U293+M293</f>
        <v>0</v>
      </c>
      <c r="Z293" s="168">
        <f>SUM(W293:Y293)</f>
        <v>0</v>
      </c>
      <c r="AA293" s="152"/>
      <c r="AB293" s="152"/>
      <c r="AC293" s="152"/>
      <c r="AD293" s="152">
        <f t="shared" si="3687"/>
        <v>0</v>
      </c>
      <c r="AE293" s="152"/>
      <c r="AF293" s="152"/>
      <c r="AG293" s="152"/>
      <c r="AH293" s="152">
        <f t="shared" si="3688"/>
        <v>0</v>
      </c>
      <c r="AI293" s="152"/>
      <c r="AJ293" s="152"/>
      <c r="AK293" s="152"/>
      <c r="AL293" s="152">
        <f t="shared" si="3689"/>
        <v>0</v>
      </c>
      <c r="AM293" s="152"/>
      <c r="AN293" s="152"/>
      <c r="AO293" s="152"/>
      <c r="AP293" s="152">
        <f t="shared" si="3690"/>
        <v>0</v>
      </c>
      <c r="AQ293" s="152">
        <f t="shared" ref="AQ293:AS293" si="3709">AA293+AE293+AI293+AM293</f>
        <v>0</v>
      </c>
      <c r="AR293" s="152">
        <f t="shared" si="3709"/>
        <v>0</v>
      </c>
      <c r="AS293" s="152">
        <f t="shared" si="3709"/>
        <v>0</v>
      </c>
      <c r="AT293" s="168">
        <f>SUM(AQ293:AS293)</f>
        <v>0</v>
      </c>
      <c r="AU293" s="152"/>
      <c r="AV293" s="152"/>
      <c r="AW293" s="152"/>
      <c r="AX293" s="152">
        <f t="shared" si="3692"/>
        <v>0</v>
      </c>
      <c r="AY293" s="152"/>
      <c r="AZ293" s="152"/>
      <c r="BA293" s="152"/>
      <c r="BB293" s="152">
        <f t="shared" si="3693"/>
        <v>0</v>
      </c>
      <c r="BC293" s="152"/>
      <c r="BD293" s="152"/>
      <c r="BE293" s="152"/>
      <c r="BF293" s="152">
        <f t="shared" si="3694"/>
        <v>0</v>
      </c>
      <c r="BG293" s="152"/>
      <c r="BH293" s="152"/>
      <c r="BI293" s="152"/>
      <c r="BJ293" s="152">
        <f t="shared" si="3695"/>
        <v>0</v>
      </c>
      <c r="BK293" s="152">
        <f t="shared" ref="BK293" si="3710">AU293+AY293+BC293+BG293</f>
        <v>0</v>
      </c>
      <c r="BL293" s="152">
        <f t="shared" ref="BL293" si="3711">AV293+AZ293+BD293+BH293</f>
        <v>0</v>
      </c>
      <c r="BM293" s="152">
        <f t="shared" ref="BM293" si="3712">AW293+BA293+BE293+BI293</f>
        <v>0</v>
      </c>
      <c r="BN293" s="152">
        <f>SUM(BK293:BM293)</f>
        <v>0</v>
      </c>
      <c r="BO293" s="168"/>
      <c r="BP293" s="152">
        <f t="shared" ref="BP293" si="3713">W293-AQ293</f>
        <v>0</v>
      </c>
      <c r="BQ293" s="152">
        <f t="shared" ref="BQ293" si="3714">X293-AR293</f>
        <v>0</v>
      </c>
      <c r="BR293" s="152">
        <f t="shared" ref="BR293" si="3715">Y293-AS293</f>
        <v>0</v>
      </c>
      <c r="BS293" s="168">
        <f>SUM(BP293:BR293)</f>
        <v>0</v>
      </c>
      <c r="BT293" s="152"/>
      <c r="BU293" s="152"/>
      <c r="BV293" s="152"/>
      <c r="BW293" s="152">
        <f t="shared" si="3702"/>
        <v>0</v>
      </c>
      <c r="BX293" s="152">
        <f t="shared" si="3703"/>
        <v>0</v>
      </c>
      <c r="BY293" s="152">
        <f t="shared" si="3704"/>
        <v>0</v>
      </c>
      <c r="BZ293" s="152">
        <f t="shared" si="3705"/>
        <v>0</v>
      </c>
      <c r="CA293" s="587">
        <f t="shared" si="3706"/>
        <v>0</v>
      </c>
    </row>
    <row r="294" spans="1:79" ht="14.1" customHeight="1" x14ac:dyDescent="0.2">
      <c r="A294" s="526" t="s">
        <v>661</v>
      </c>
      <c r="B294" s="523" t="s">
        <v>662</v>
      </c>
      <c r="C294" s="523"/>
      <c r="D294" s="523"/>
      <c r="E294" s="528"/>
      <c r="F294" s="525"/>
      <c r="G294" s="530">
        <f>G295</f>
        <v>0</v>
      </c>
      <c r="H294" s="530">
        <f t="shared" ref="H294:I294" si="3716">H295</f>
        <v>0</v>
      </c>
      <c r="I294" s="530">
        <f t="shared" si="3716"/>
        <v>0</v>
      </c>
      <c r="J294" s="530">
        <f t="shared" ref="J294" si="3717">J295</f>
        <v>0</v>
      </c>
      <c r="K294" s="530">
        <f>K295</f>
        <v>0</v>
      </c>
      <c r="L294" s="530">
        <f t="shared" ref="L294" si="3718">L295</f>
        <v>0</v>
      </c>
      <c r="M294" s="530">
        <f t="shared" ref="M294" si="3719">M295</f>
        <v>0</v>
      </c>
      <c r="N294" s="530">
        <f t="shared" ref="N294" si="3720">N295</f>
        <v>0</v>
      </c>
      <c r="O294" s="530">
        <f>O295</f>
        <v>0</v>
      </c>
      <c r="P294" s="530">
        <f t="shared" ref="P294" si="3721">P295</f>
        <v>0</v>
      </c>
      <c r="Q294" s="530">
        <f t="shared" ref="Q294" si="3722">Q295</f>
        <v>0</v>
      </c>
      <c r="R294" s="530">
        <f t="shared" ref="R294" si="3723">R295</f>
        <v>0</v>
      </c>
      <c r="S294" s="530">
        <f>S295</f>
        <v>0</v>
      </c>
      <c r="T294" s="530">
        <f t="shared" ref="T294" si="3724">T295</f>
        <v>0</v>
      </c>
      <c r="U294" s="530">
        <f t="shared" ref="U294" si="3725">U295</f>
        <v>0</v>
      </c>
      <c r="V294" s="530">
        <f t="shared" ref="V294" si="3726">V295</f>
        <v>0</v>
      </c>
      <c r="W294" s="530">
        <f t="shared" ref="W294" si="3727">W295</f>
        <v>0</v>
      </c>
      <c r="X294" s="530">
        <f t="shared" ref="X294" si="3728">X295</f>
        <v>0</v>
      </c>
      <c r="Y294" s="530">
        <f t="shared" ref="Y294" si="3729">Y295</f>
        <v>0</v>
      </c>
      <c r="Z294" s="531">
        <f t="shared" ref="Z294:AD294" si="3730">Z295</f>
        <v>0</v>
      </c>
      <c r="AA294" s="530">
        <f t="shared" si="3730"/>
        <v>0</v>
      </c>
      <c r="AB294" s="530">
        <f t="shared" si="3730"/>
        <v>0</v>
      </c>
      <c r="AC294" s="530">
        <f t="shared" si="3730"/>
        <v>0</v>
      </c>
      <c r="AD294" s="530">
        <f t="shared" si="3730"/>
        <v>0</v>
      </c>
      <c r="AE294" s="530">
        <f>AE295</f>
        <v>0</v>
      </c>
      <c r="AF294" s="530">
        <f t="shared" ref="AF294:AH294" si="3731">AF295</f>
        <v>0</v>
      </c>
      <c r="AG294" s="530">
        <f t="shared" si="3731"/>
        <v>0</v>
      </c>
      <c r="AH294" s="530">
        <f t="shared" si="3731"/>
        <v>0</v>
      </c>
      <c r="AI294" s="530">
        <f>AI295</f>
        <v>0</v>
      </c>
      <c r="AJ294" s="530">
        <f t="shared" ref="AJ294:AL294" si="3732">AJ295</f>
        <v>0</v>
      </c>
      <c r="AK294" s="530">
        <f t="shared" si="3732"/>
        <v>0</v>
      </c>
      <c r="AL294" s="530">
        <f t="shared" si="3732"/>
        <v>0</v>
      </c>
      <c r="AM294" s="530">
        <f>AM295</f>
        <v>0</v>
      </c>
      <c r="AN294" s="530">
        <f t="shared" ref="AN294:AT294" si="3733">AN295</f>
        <v>0</v>
      </c>
      <c r="AO294" s="530">
        <f t="shared" si="3733"/>
        <v>0</v>
      </c>
      <c r="AP294" s="530">
        <f t="shared" si="3733"/>
        <v>0</v>
      </c>
      <c r="AQ294" s="530">
        <f t="shared" si="3733"/>
        <v>0</v>
      </c>
      <c r="AR294" s="530">
        <f t="shared" si="3733"/>
        <v>0</v>
      </c>
      <c r="AS294" s="530">
        <f t="shared" si="3733"/>
        <v>0</v>
      </c>
      <c r="AT294" s="531">
        <f t="shared" si="3733"/>
        <v>0</v>
      </c>
      <c r="AU294" s="530">
        <f>AU295</f>
        <v>0</v>
      </c>
      <c r="AV294" s="530">
        <f t="shared" ref="AV294:AX294" si="3734">AV295</f>
        <v>0</v>
      </c>
      <c r="AW294" s="530">
        <f t="shared" si="3734"/>
        <v>0</v>
      </c>
      <c r="AX294" s="530">
        <f t="shared" si="3734"/>
        <v>0</v>
      </c>
      <c r="AY294" s="530">
        <f>AY295</f>
        <v>0</v>
      </c>
      <c r="AZ294" s="530">
        <f t="shared" ref="AZ294" si="3735">AZ295</f>
        <v>0</v>
      </c>
      <c r="BA294" s="530">
        <f t="shared" ref="BA294" si="3736">BA295</f>
        <v>0</v>
      </c>
      <c r="BB294" s="530">
        <f t="shared" ref="BB294" si="3737">BB295</f>
        <v>0</v>
      </c>
      <c r="BC294" s="530">
        <f>BC295</f>
        <v>0</v>
      </c>
      <c r="BD294" s="530">
        <f t="shared" ref="BD294" si="3738">BD295</f>
        <v>0</v>
      </c>
      <c r="BE294" s="530">
        <f t="shared" ref="BE294" si="3739">BE295</f>
        <v>0</v>
      </c>
      <c r="BF294" s="530">
        <f t="shared" ref="BF294" si="3740">BF295</f>
        <v>0</v>
      </c>
      <c r="BG294" s="530">
        <f>BG295</f>
        <v>0</v>
      </c>
      <c r="BH294" s="530">
        <f t="shared" ref="BH294" si="3741">BH295</f>
        <v>0</v>
      </c>
      <c r="BI294" s="530">
        <f t="shared" ref="BI294" si="3742">BI295</f>
        <v>0</v>
      </c>
      <c r="BJ294" s="530">
        <f t="shared" ref="BJ294" si="3743">BJ295</f>
        <v>0</v>
      </c>
      <c r="BK294" s="530">
        <f t="shared" ref="BK294" si="3744">BK295</f>
        <v>0</v>
      </c>
      <c r="BL294" s="530">
        <f t="shared" ref="BL294" si="3745">BL295</f>
        <v>0</v>
      </c>
      <c r="BM294" s="530">
        <f t="shared" ref="BM294" si="3746">BM295</f>
        <v>0</v>
      </c>
      <c r="BN294" s="530">
        <f t="shared" ref="BN294" si="3747">BN295</f>
        <v>0</v>
      </c>
      <c r="BO294" s="532">
        <f t="shared" ref="BO294" si="3748">BO295</f>
        <v>0</v>
      </c>
      <c r="BP294" s="530">
        <f t="shared" ref="BP294" si="3749">BP295</f>
        <v>0</v>
      </c>
      <c r="BQ294" s="530">
        <f t="shared" ref="BQ294" si="3750">BQ295</f>
        <v>0</v>
      </c>
      <c r="BR294" s="530">
        <f t="shared" ref="BR294" si="3751">BR295</f>
        <v>0</v>
      </c>
      <c r="BS294" s="531">
        <f t="shared" ref="BS294" si="3752">BS295</f>
        <v>0</v>
      </c>
      <c r="BT294" s="530">
        <f>BT295</f>
        <v>0</v>
      </c>
      <c r="BU294" s="530">
        <f t="shared" ref="BU294" si="3753">BU295</f>
        <v>0</v>
      </c>
      <c r="BV294" s="530">
        <f t="shared" ref="BV294" si="3754">BV295</f>
        <v>0</v>
      </c>
      <c r="BW294" s="530">
        <f t="shared" ref="BW294" si="3755">BW295</f>
        <v>0</v>
      </c>
      <c r="BX294" s="530">
        <f t="shared" ref="BX294" si="3756">BX295</f>
        <v>0</v>
      </c>
      <c r="BY294" s="530">
        <f t="shared" ref="BY294" si="3757">BY295</f>
        <v>0</v>
      </c>
      <c r="BZ294" s="530">
        <f t="shared" ref="BZ294" si="3758">BZ295</f>
        <v>0</v>
      </c>
      <c r="CA294" s="533">
        <f t="shared" ref="CA294" si="3759">CA295</f>
        <v>0</v>
      </c>
    </row>
    <row r="295" spans="1:79" ht="14.1" customHeight="1" x14ac:dyDescent="0.2">
      <c r="A295" s="125" t="s">
        <v>663</v>
      </c>
      <c r="B295" s="78" t="s">
        <v>524</v>
      </c>
      <c r="C295" s="69" t="s">
        <v>664</v>
      </c>
      <c r="D295" s="83"/>
      <c r="E295" s="83"/>
      <c r="G295" s="152"/>
      <c r="H295" s="152"/>
      <c r="I295" s="152"/>
      <c r="J295" s="152">
        <f>SUM(G295:I295)</f>
        <v>0</v>
      </c>
      <c r="K295" s="152"/>
      <c r="L295" s="152"/>
      <c r="M295" s="152"/>
      <c r="N295" s="152">
        <f>SUM(K295:M295)</f>
        <v>0</v>
      </c>
      <c r="O295" s="152"/>
      <c r="P295" s="152"/>
      <c r="Q295" s="152"/>
      <c r="R295" s="152">
        <f>SUM(O295:Q295)</f>
        <v>0</v>
      </c>
      <c r="S295" s="152"/>
      <c r="T295" s="152"/>
      <c r="U295" s="152"/>
      <c r="V295" s="152">
        <f>SUM(S295:U295)</f>
        <v>0</v>
      </c>
      <c r="W295" s="152">
        <f>G295-O295+S295+K295</f>
        <v>0</v>
      </c>
      <c r="X295" s="152">
        <f t="shared" ref="X295" si="3760">H295-P295+T295+L295</f>
        <v>0</v>
      </c>
      <c r="Y295" s="152">
        <f t="shared" ref="Y295" si="3761">I295-Q295+U295+M295</f>
        <v>0</v>
      </c>
      <c r="Z295" s="168">
        <f>SUM(W295:Y295)</f>
        <v>0</v>
      </c>
      <c r="AA295" s="152"/>
      <c r="AB295" s="152"/>
      <c r="AC295" s="152"/>
      <c r="AD295" s="152">
        <f>SUM(AA295:AC295)</f>
        <v>0</v>
      </c>
      <c r="AE295" s="152"/>
      <c r="AF295" s="152"/>
      <c r="AG295" s="152"/>
      <c r="AH295" s="152">
        <f>SUM(AE295:AG295)</f>
        <v>0</v>
      </c>
      <c r="AI295" s="152"/>
      <c r="AJ295" s="152"/>
      <c r="AK295" s="152"/>
      <c r="AL295" s="152">
        <f>SUM(AI295:AK295)</f>
        <v>0</v>
      </c>
      <c r="AM295" s="152"/>
      <c r="AN295" s="152"/>
      <c r="AO295" s="152"/>
      <c r="AP295" s="152">
        <f>SUM(AM295:AO295)</f>
        <v>0</v>
      </c>
      <c r="AQ295" s="152">
        <f t="shared" ref="AQ295:AS295" si="3762">AA295+AE295+AI295+AM295</f>
        <v>0</v>
      </c>
      <c r="AR295" s="152">
        <f t="shared" si="3762"/>
        <v>0</v>
      </c>
      <c r="AS295" s="152">
        <f t="shared" si="3762"/>
        <v>0</v>
      </c>
      <c r="AT295" s="168">
        <f>SUM(AQ295:AS295)</f>
        <v>0</v>
      </c>
      <c r="AU295" s="152"/>
      <c r="AV295" s="152"/>
      <c r="AW295" s="152"/>
      <c r="AX295" s="152">
        <f>SUM(AU295:AW295)</f>
        <v>0</v>
      </c>
      <c r="AY295" s="152"/>
      <c r="AZ295" s="152"/>
      <c r="BA295" s="152"/>
      <c r="BB295" s="152">
        <f>SUM(AY295:BA295)</f>
        <v>0</v>
      </c>
      <c r="BC295" s="152"/>
      <c r="BD295" s="152"/>
      <c r="BE295" s="152"/>
      <c r="BF295" s="152">
        <f>SUM(BC295:BE295)</f>
        <v>0</v>
      </c>
      <c r="BG295" s="152"/>
      <c r="BH295" s="152"/>
      <c r="BI295" s="152"/>
      <c r="BJ295" s="152">
        <f>SUM(BG295:BI295)</f>
        <v>0</v>
      </c>
      <c r="BK295" s="152">
        <f t="shared" ref="BK295" si="3763">AU295+AY295+BC295+BG295</f>
        <v>0</v>
      </c>
      <c r="BL295" s="152">
        <f t="shared" ref="BL295" si="3764">AV295+AZ295+BD295+BH295</f>
        <v>0</v>
      </c>
      <c r="BM295" s="152">
        <f t="shared" ref="BM295" si="3765">AW295+BA295+BE295+BI295</f>
        <v>0</v>
      </c>
      <c r="BN295" s="152">
        <f>SUM(BK295:BM295)</f>
        <v>0</v>
      </c>
      <c r="BO295" s="168"/>
      <c r="BP295" s="152">
        <f t="shared" ref="BP295" si="3766">W295-AQ295</f>
        <v>0</v>
      </c>
      <c r="BQ295" s="152">
        <f t="shared" ref="BQ295" si="3767">X295-AR295</f>
        <v>0</v>
      </c>
      <c r="BR295" s="152">
        <f t="shared" ref="BR295" si="3768">Y295-AS295</f>
        <v>0</v>
      </c>
      <c r="BS295" s="168">
        <f>SUM(BP295:BR295)</f>
        <v>0</v>
      </c>
      <c r="BT295" s="152"/>
      <c r="BU295" s="152"/>
      <c r="BV295" s="152"/>
      <c r="BW295" s="152">
        <f>SUM(BT295:BV295)</f>
        <v>0</v>
      </c>
      <c r="BX295" s="152">
        <f>AQ295-BK295-BT295</f>
        <v>0</v>
      </c>
      <c r="BY295" s="152">
        <f t="shared" ref="BY295" si="3769">AR295-BL295-BU295</f>
        <v>0</v>
      </c>
      <c r="BZ295" s="152">
        <f t="shared" ref="BZ295" si="3770">AS295-BM295-BV295</f>
        <v>0</v>
      </c>
      <c r="CA295" s="587">
        <f>SUM(BX295:BZ295)</f>
        <v>0</v>
      </c>
    </row>
    <row r="296" spans="1:79" ht="14.1" customHeight="1" thickBot="1" x14ac:dyDescent="0.25">
      <c r="A296" s="115" t="s">
        <v>225</v>
      </c>
      <c r="B296" s="116"/>
      <c r="C296" s="117"/>
      <c r="D296" s="118"/>
      <c r="E296" s="117"/>
      <c r="F296" s="117"/>
      <c r="G296" s="164">
        <f t="shared" ref="G296:AL296" si="3771">G14+G168</f>
        <v>19093300</v>
      </c>
      <c r="H296" s="164">
        <f t="shared" si="3771"/>
        <v>30081079.780000001</v>
      </c>
      <c r="I296" s="164">
        <f t="shared" si="3771"/>
        <v>1400000</v>
      </c>
      <c r="J296" s="164">
        <f t="shared" si="3771"/>
        <v>50574379.780000001</v>
      </c>
      <c r="K296" s="164">
        <f t="shared" si="3771"/>
        <v>975000</v>
      </c>
      <c r="L296" s="164">
        <f t="shared" si="3771"/>
        <v>-975000</v>
      </c>
      <c r="M296" s="164">
        <f t="shared" si="3771"/>
        <v>0</v>
      </c>
      <c r="N296" s="164">
        <f t="shared" si="3771"/>
        <v>0</v>
      </c>
      <c r="O296" s="164">
        <f t="shared" si="3771"/>
        <v>0</v>
      </c>
      <c r="P296" s="164">
        <f t="shared" si="3771"/>
        <v>0</v>
      </c>
      <c r="Q296" s="164">
        <f t="shared" si="3771"/>
        <v>0</v>
      </c>
      <c r="R296" s="164">
        <f t="shared" si="3771"/>
        <v>0</v>
      </c>
      <c r="S296" s="164">
        <f t="shared" si="3771"/>
        <v>2581793.06</v>
      </c>
      <c r="T296" s="164">
        <f t="shared" si="3771"/>
        <v>617216</v>
      </c>
      <c r="U296" s="164">
        <f t="shared" si="3771"/>
        <v>190000</v>
      </c>
      <c r="V296" s="164">
        <f t="shared" si="3771"/>
        <v>3389009.06</v>
      </c>
      <c r="W296" s="164">
        <f t="shared" si="3771"/>
        <v>22650093.059999999</v>
      </c>
      <c r="X296" s="164">
        <f t="shared" si="3771"/>
        <v>29723295.780000001</v>
      </c>
      <c r="Y296" s="164">
        <f t="shared" si="3771"/>
        <v>1590000</v>
      </c>
      <c r="Z296" s="119">
        <f t="shared" si="3771"/>
        <v>53963388.840000004</v>
      </c>
      <c r="AA296" s="164">
        <f t="shared" si="3771"/>
        <v>5651194.3200000003</v>
      </c>
      <c r="AB296" s="164">
        <f t="shared" si="3771"/>
        <v>2516863.2399999998</v>
      </c>
      <c r="AC296" s="164">
        <f t="shared" si="3771"/>
        <v>0</v>
      </c>
      <c r="AD296" s="164">
        <f t="shared" si="3771"/>
        <v>8168057.5599999996</v>
      </c>
      <c r="AE296" s="164">
        <f t="shared" si="3771"/>
        <v>5267178.7</v>
      </c>
      <c r="AF296" s="164">
        <f t="shared" si="3771"/>
        <v>2439033.0199999996</v>
      </c>
      <c r="AG296" s="164">
        <f t="shared" si="3771"/>
        <v>0</v>
      </c>
      <c r="AH296" s="164">
        <f t="shared" si="3771"/>
        <v>7706211.7200000007</v>
      </c>
      <c r="AI296" s="164">
        <f t="shared" si="3771"/>
        <v>4844776.1100000003</v>
      </c>
      <c r="AJ296" s="164">
        <f t="shared" si="3771"/>
        <v>4992302.8499999996</v>
      </c>
      <c r="AK296" s="164">
        <f t="shared" si="3771"/>
        <v>1532049.84</v>
      </c>
      <c r="AL296" s="164">
        <f t="shared" si="3771"/>
        <v>11369128.800000001</v>
      </c>
      <c r="AM296" s="164">
        <f t="shared" ref="AM296:BR296" si="3772">AM14+AM168</f>
        <v>6580580.9299999997</v>
      </c>
      <c r="AN296" s="164">
        <f t="shared" si="3772"/>
        <v>15212001.23</v>
      </c>
      <c r="AO296" s="164">
        <f t="shared" si="3772"/>
        <v>0</v>
      </c>
      <c r="AP296" s="164">
        <f t="shared" si="3772"/>
        <v>21792582.160000004</v>
      </c>
      <c r="AQ296" s="164">
        <f t="shared" si="3772"/>
        <v>22343730.059999999</v>
      </c>
      <c r="AR296" s="164">
        <f t="shared" si="3772"/>
        <v>25160200.340000004</v>
      </c>
      <c r="AS296" s="164">
        <f t="shared" si="3772"/>
        <v>1532049.84</v>
      </c>
      <c r="AT296" s="119">
        <f t="shared" si="3772"/>
        <v>49035980.239999995</v>
      </c>
      <c r="AU296" s="164">
        <f t="shared" si="3772"/>
        <v>4298259.6399999997</v>
      </c>
      <c r="AV296" s="164">
        <f t="shared" si="3772"/>
        <v>2289959.3200000003</v>
      </c>
      <c r="AW296" s="164">
        <f t="shared" si="3772"/>
        <v>0</v>
      </c>
      <c r="AX296" s="164">
        <f t="shared" si="3772"/>
        <v>6588218.959999999</v>
      </c>
      <c r="AY296" s="164">
        <f t="shared" si="3772"/>
        <v>5723381.3400000008</v>
      </c>
      <c r="AZ296" s="164">
        <f t="shared" si="3772"/>
        <v>2634076.9399999995</v>
      </c>
      <c r="BA296" s="164">
        <f t="shared" si="3772"/>
        <v>0</v>
      </c>
      <c r="BB296" s="164">
        <f t="shared" si="3772"/>
        <v>8357458.2800000012</v>
      </c>
      <c r="BC296" s="164">
        <f t="shared" si="3772"/>
        <v>4950205.63</v>
      </c>
      <c r="BD296" s="164">
        <f t="shared" si="3772"/>
        <v>4804187.8499999996</v>
      </c>
      <c r="BE296" s="164">
        <f t="shared" si="3772"/>
        <v>1532049.84</v>
      </c>
      <c r="BF296" s="164">
        <f t="shared" si="3772"/>
        <v>11286443.32</v>
      </c>
      <c r="BG296" s="164">
        <f t="shared" si="3772"/>
        <v>7371882.4500000002</v>
      </c>
      <c r="BH296" s="164">
        <f t="shared" si="3772"/>
        <v>12874410.780000001</v>
      </c>
      <c r="BI296" s="164">
        <f t="shared" si="3772"/>
        <v>0</v>
      </c>
      <c r="BJ296" s="164">
        <f t="shared" si="3772"/>
        <v>20246293.23</v>
      </c>
      <c r="BK296" s="164">
        <f t="shared" si="3772"/>
        <v>22343729.059999999</v>
      </c>
      <c r="BL296" s="164">
        <f t="shared" si="3772"/>
        <v>22602634.889999997</v>
      </c>
      <c r="BM296" s="164">
        <f t="shared" si="3772"/>
        <v>1532049.84</v>
      </c>
      <c r="BN296" s="164">
        <f t="shared" si="3772"/>
        <v>46478413.789999992</v>
      </c>
      <c r="BO296" s="178">
        <f t="shared" si="3772"/>
        <v>0</v>
      </c>
      <c r="BP296" s="164">
        <f t="shared" si="3772"/>
        <v>306362.99999999942</v>
      </c>
      <c r="BQ296" s="164">
        <f t="shared" si="3772"/>
        <v>4563095.4399999995</v>
      </c>
      <c r="BR296" s="164">
        <f t="shared" si="3772"/>
        <v>57950.16</v>
      </c>
      <c r="BS296" s="119">
        <f t="shared" ref="BS296:CA296" si="3773">BS14+BS168</f>
        <v>4927408.5999999987</v>
      </c>
      <c r="BT296" s="164">
        <f t="shared" si="3773"/>
        <v>1</v>
      </c>
      <c r="BU296" s="164">
        <f t="shared" si="3773"/>
        <v>205</v>
      </c>
      <c r="BV296" s="164">
        <f t="shared" si="3773"/>
        <v>0</v>
      </c>
      <c r="BW296" s="164">
        <f t="shared" si="3773"/>
        <v>206</v>
      </c>
      <c r="BX296" s="164">
        <f t="shared" si="3773"/>
        <v>-3.4924596548080444E-10</v>
      </c>
      <c r="BY296" s="164">
        <f t="shared" si="3773"/>
        <v>2557360.4500000016</v>
      </c>
      <c r="BZ296" s="164">
        <f t="shared" si="3773"/>
        <v>0</v>
      </c>
      <c r="CA296" s="119">
        <f t="shared" si="3773"/>
        <v>2557360.4500000011</v>
      </c>
    </row>
    <row r="297" spans="1:79" ht="14.1" customHeight="1" thickTop="1" thickBot="1" x14ac:dyDescent="0.25">
      <c r="A297" s="142"/>
      <c r="B297" s="143"/>
      <c r="C297" s="144"/>
      <c r="D297" s="145"/>
      <c r="E297" s="144"/>
      <c r="F297" s="144"/>
      <c r="G297" s="165"/>
      <c r="H297" s="165"/>
      <c r="I297" s="165"/>
      <c r="J297" s="165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  <c r="BI297" s="146"/>
      <c r="BJ297" s="146"/>
      <c r="BK297" s="146"/>
      <c r="BL297" s="146"/>
      <c r="BM297" s="146"/>
      <c r="BN297" s="146"/>
      <c r="BO297" s="146"/>
      <c r="BP297" s="146"/>
      <c r="BQ297" s="146"/>
      <c r="BR297" s="146"/>
      <c r="BS297" s="146"/>
      <c r="BT297" s="146"/>
      <c r="BU297" s="146"/>
      <c r="BV297" s="146"/>
      <c r="BW297" s="146"/>
      <c r="BX297" s="146"/>
      <c r="BY297" s="146"/>
      <c r="BZ297" s="146"/>
      <c r="CA297" s="147"/>
    </row>
    <row r="299" spans="1:79" ht="14.1" customHeight="1" x14ac:dyDescent="0.2">
      <c r="AR299" s="61">
        <v>22343730.060000002</v>
      </c>
    </row>
    <row r="300" spans="1:79" ht="14.1" customHeight="1" x14ac:dyDescent="0.2">
      <c r="AR300" s="61">
        <v>25160200.34</v>
      </c>
    </row>
    <row r="301" spans="1:79" ht="14.1" customHeight="1" x14ac:dyDescent="0.2">
      <c r="AR301" s="61">
        <v>1532049.84</v>
      </c>
    </row>
  </sheetData>
  <mergeCells count="77">
    <mergeCell ref="D86:E86"/>
    <mergeCell ref="C93:E93"/>
    <mergeCell ref="C40:E40"/>
    <mergeCell ref="D43:E43"/>
    <mergeCell ref="D45:E45"/>
    <mergeCell ref="D46:E46"/>
    <mergeCell ref="D47:E47"/>
    <mergeCell ref="D48:E48"/>
    <mergeCell ref="D42:E42"/>
    <mergeCell ref="C53:E53"/>
    <mergeCell ref="C54:E54"/>
    <mergeCell ref="C23:E23"/>
    <mergeCell ref="D81:E81"/>
    <mergeCell ref="D82:E82"/>
    <mergeCell ref="B26:E26"/>
    <mergeCell ref="C33:E33"/>
    <mergeCell ref="D34:E34"/>
    <mergeCell ref="D37:E37"/>
    <mergeCell ref="C25:E25"/>
    <mergeCell ref="D50:E50"/>
    <mergeCell ref="D73:E73"/>
    <mergeCell ref="D74:E74"/>
    <mergeCell ref="C55:E55"/>
    <mergeCell ref="C56:E56"/>
    <mergeCell ref="BO11:BO12"/>
    <mergeCell ref="BP11:BS12"/>
    <mergeCell ref="BT11:CA11"/>
    <mergeCell ref="BT12:BW12"/>
    <mergeCell ref="BX12:CA12"/>
    <mergeCell ref="BO10:CA10"/>
    <mergeCell ref="G11:J12"/>
    <mergeCell ref="K11:N12"/>
    <mergeCell ref="O11:R12"/>
    <mergeCell ref="S11:V12"/>
    <mergeCell ref="W11:Z12"/>
    <mergeCell ref="AA11:AD12"/>
    <mergeCell ref="AE11:AH12"/>
    <mergeCell ref="AI11:AL12"/>
    <mergeCell ref="AM11:AP12"/>
    <mergeCell ref="AU10:BN10"/>
    <mergeCell ref="AU11:AX12"/>
    <mergeCell ref="AY11:BB12"/>
    <mergeCell ref="BC11:BF12"/>
    <mergeCell ref="BG11:BJ12"/>
    <mergeCell ref="BK11:BN12"/>
    <mergeCell ref="D7:E7"/>
    <mergeCell ref="A10:E12"/>
    <mergeCell ref="F10:F12"/>
    <mergeCell ref="G10:Z10"/>
    <mergeCell ref="AA10:AT10"/>
    <mergeCell ref="AQ11:AT12"/>
    <mergeCell ref="A14:E14"/>
    <mergeCell ref="C206:E206"/>
    <mergeCell ref="C207:E207"/>
    <mergeCell ref="D224:E224"/>
    <mergeCell ref="D225:E225"/>
    <mergeCell ref="D198:E198"/>
    <mergeCell ref="D199:E199"/>
    <mergeCell ref="D201:E201"/>
    <mergeCell ref="C204:E204"/>
    <mergeCell ref="C205:E205"/>
    <mergeCell ref="C191:E191"/>
    <mergeCell ref="D193:E193"/>
    <mergeCell ref="D194:E194"/>
    <mergeCell ref="D196:E196"/>
    <mergeCell ref="D197:E197"/>
    <mergeCell ref="C176:E176"/>
    <mergeCell ref="D233:E233"/>
    <mergeCell ref="D237:E237"/>
    <mergeCell ref="C244:E244"/>
    <mergeCell ref="C272:E272"/>
    <mergeCell ref="D232:E232"/>
    <mergeCell ref="B177:E177"/>
    <mergeCell ref="C184:E184"/>
    <mergeCell ref="D185:E185"/>
    <mergeCell ref="D188:E188"/>
    <mergeCell ref="C121:E121"/>
  </mergeCells>
  <pageMargins left="0.5" right="0.3" top="0.38" bottom="0.71" header="0.12" footer="0.38"/>
  <pageSetup paperSize="512" scale="80" orientation="landscape" r:id="rId1"/>
  <headerFooter alignWithMargins="0">
    <oddFooter>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 altText="">
                <anchor moveWithCells="1">
                  <from>
                    <xdr:col>19</xdr:col>
                    <xdr:colOff>419100</xdr:colOff>
                    <xdr:row>4</xdr:row>
                    <xdr:rowOff>123825</xdr:rowOff>
                  </from>
                  <to>
                    <xdr:col>19</xdr:col>
                    <xdr:colOff>733425</xdr:colOff>
                    <xdr:row>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locked="0" defaultSize="0" autoFill="0" autoLine="0" autoPict="0" macro="[1]!CheckBox29490_Click" altText="">
                <anchor moveWithCells="1">
                  <from>
                    <xdr:col>19</xdr:col>
                    <xdr:colOff>419100</xdr:colOff>
                    <xdr:row>5</xdr:row>
                    <xdr:rowOff>123825</xdr:rowOff>
                  </from>
                  <to>
                    <xdr:col>19</xdr:col>
                    <xdr:colOff>733425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 altText="">
                <anchor moveWithCells="1">
                  <from>
                    <xdr:col>19</xdr:col>
                    <xdr:colOff>419100</xdr:colOff>
                    <xdr:row>6</xdr:row>
                    <xdr:rowOff>114300</xdr:rowOff>
                  </from>
                  <to>
                    <xdr:col>19</xdr:col>
                    <xdr:colOff>733425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 altText="">
                <anchor moveWithCells="1">
                  <from>
                    <xdr:col>19</xdr:col>
                    <xdr:colOff>419100</xdr:colOff>
                    <xdr:row>4</xdr:row>
                    <xdr:rowOff>123825</xdr:rowOff>
                  </from>
                  <to>
                    <xdr:col>19</xdr:col>
                    <xdr:colOff>733425</xdr:colOff>
                    <xdr:row>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Check Box 5">
              <controlPr locked="0" defaultSize="0" autoFill="0" autoLine="0" autoPict="0" macro="[1]!CheckBox29490_Click" altText="">
                <anchor moveWithCells="1">
                  <from>
                    <xdr:col>19</xdr:col>
                    <xdr:colOff>419100</xdr:colOff>
                    <xdr:row>5</xdr:row>
                    <xdr:rowOff>123825</xdr:rowOff>
                  </from>
                  <to>
                    <xdr:col>19</xdr:col>
                    <xdr:colOff>733425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Check Box 6">
              <controlPr defaultSize="0" autoFill="0" autoLine="0" autoPict="0" altText="">
                <anchor moveWithCells="1">
                  <from>
                    <xdr:col>19</xdr:col>
                    <xdr:colOff>419100</xdr:colOff>
                    <xdr:row>6</xdr:row>
                    <xdr:rowOff>114300</xdr:rowOff>
                  </from>
                  <to>
                    <xdr:col>19</xdr:col>
                    <xdr:colOff>733425</xdr:colOff>
                    <xdr:row>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CM179"/>
  <sheetViews>
    <sheetView tabSelected="1" workbookViewId="0">
      <selection activeCell="E59" sqref="E59"/>
    </sheetView>
  </sheetViews>
  <sheetFormatPr defaultRowHeight="14.1" customHeight="1" x14ac:dyDescent="0.2"/>
  <cols>
    <col min="1" max="1" width="7" style="57" customWidth="1"/>
    <col min="2" max="2" width="3.28515625" style="58" customWidth="1"/>
    <col min="3" max="3" width="3.140625" style="59" customWidth="1"/>
    <col min="4" max="4" width="6.28515625" style="60" customWidth="1"/>
    <col min="5" max="5" width="43.42578125" style="59" customWidth="1"/>
    <col min="6" max="6" width="13.140625" style="61" customWidth="1"/>
    <col min="7" max="7" width="14.140625" style="61" customWidth="1"/>
    <col min="8" max="8" width="11.28515625" style="61" customWidth="1"/>
    <col min="9" max="10" width="13.28515625" style="61" customWidth="1"/>
    <col min="11" max="12" width="9.140625" style="61" customWidth="1"/>
    <col min="13" max="13" width="12.85546875" style="61" customWidth="1"/>
    <col min="14" max="14" width="15.7109375" style="61" customWidth="1"/>
    <col min="15" max="16" width="12.42578125" style="61" customWidth="1"/>
    <col min="17" max="17" width="13.140625" style="61" customWidth="1"/>
    <col min="18" max="18" width="13.28515625" style="59" customWidth="1"/>
    <col min="19" max="19" width="13.5703125" style="59" customWidth="1"/>
    <col min="20" max="20" width="12.7109375" style="59" customWidth="1"/>
    <col min="21" max="21" width="12.85546875" style="59" customWidth="1"/>
    <col min="22" max="22" width="13.28515625" style="59" customWidth="1"/>
    <col min="23" max="23" width="13.42578125" style="59" customWidth="1"/>
    <col min="24" max="24" width="13.28515625" style="59" customWidth="1"/>
    <col min="25" max="25" width="13.5703125" style="59" customWidth="1"/>
    <col min="26" max="26" width="16.5703125" style="59" customWidth="1"/>
    <col min="27" max="27" width="9.140625" style="59"/>
    <col min="28" max="28" width="13.28515625" style="59" customWidth="1"/>
    <col min="29" max="16384" width="9.140625" style="59"/>
  </cols>
  <sheetData>
    <row r="1" spans="1:28" s="256" customFormat="1" ht="12.75" x14ac:dyDescent="0.2">
      <c r="A1" s="292"/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950" t="s">
        <v>229</v>
      </c>
      <c r="Z1" s="950"/>
      <c r="AA1" s="498"/>
      <c r="AB1" s="499"/>
    </row>
    <row r="2" spans="1:28" s="256" customFormat="1" ht="12.75" x14ac:dyDescent="0.2">
      <c r="A2" s="945" t="s">
        <v>68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  <c r="N2" s="946"/>
      <c r="O2" s="946"/>
      <c r="P2" s="946"/>
      <c r="Q2" s="946"/>
      <c r="R2" s="946"/>
      <c r="S2" s="946"/>
      <c r="T2" s="946"/>
      <c r="U2" s="946"/>
      <c r="V2" s="946"/>
      <c r="W2" s="946"/>
      <c r="X2" s="946"/>
      <c r="Y2" s="946"/>
      <c r="Z2" s="946"/>
      <c r="AA2" s="946"/>
      <c r="AB2" s="947"/>
    </row>
    <row r="3" spans="1:28" s="256" customFormat="1" ht="12.75" x14ac:dyDescent="0.2">
      <c r="A3" s="945" t="str">
        <f>'detailed fund u'!A3</f>
        <v>As of Quarterly Ending December 31, 2016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  <c r="R3" s="946"/>
      <c r="S3" s="946"/>
      <c r="T3" s="946"/>
      <c r="U3" s="946"/>
      <c r="V3" s="946"/>
      <c r="W3" s="946"/>
      <c r="X3" s="946"/>
      <c r="Y3" s="946"/>
      <c r="Z3" s="946"/>
      <c r="AA3" s="946"/>
      <c r="AB3" s="947"/>
    </row>
    <row r="4" spans="1:28" s="250" customFormat="1" ht="12.75" x14ac:dyDescent="0.2">
      <c r="A4" s="293"/>
      <c r="B4" s="257"/>
      <c r="C4" s="257"/>
      <c r="D4" s="257"/>
      <c r="E4" s="258"/>
      <c r="F4" s="259"/>
      <c r="G4" s="259"/>
      <c r="H4" s="259"/>
      <c r="I4" s="259"/>
      <c r="J4" s="259"/>
      <c r="K4" s="259"/>
      <c r="L4" s="259"/>
      <c r="M4" s="259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1"/>
    </row>
    <row r="5" spans="1:28" s="256" customFormat="1" ht="12.75" x14ac:dyDescent="0.2">
      <c r="A5" s="294" t="s">
        <v>69</v>
      </c>
      <c r="B5" s="251"/>
      <c r="C5" s="262" t="s">
        <v>70</v>
      </c>
      <c r="D5" s="575" t="s">
        <v>71</v>
      </c>
      <c r="E5" s="576"/>
      <c r="F5" s="253"/>
      <c r="G5" s="253"/>
      <c r="H5" s="253"/>
      <c r="I5" s="253"/>
      <c r="J5" s="253"/>
      <c r="K5" s="253"/>
      <c r="L5" s="253"/>
      <c r="M5" s="253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63"/>
      <c r="Y5" s="254" t="s">
        <v>74</v>
      </c>
      <c r="Z5" s="254"/>
      <c r="AA5" s="254"/>
      <c r="AB5" s="255"/>
    </row>
    <row r="6" spans="1:28" s="256" customFormat="1" ht="12.75" x14ac:dyDescent="0.2">
      <c r="A6" s="294" t="s">
        <v>72</v>
      </c>
      <c r="B6" s="251"/>
      <c r="C6" s="262" t="s">
        <v>70</v>
      </c>
      <c r="D6" s="577" t="s">
        <v>73</v>
      </c>
      <c r="E6" s="576"/>
      <c r="F6" s="253"/>
      <c r="G6" s="253"/>
      <c r="H6" s="253"/>
      <c r="I6" s="253"/>
      <c r="J6" s="253"/>
      <c r="K6" s="253"/>
      <c r="L6" s="253"/>
      <c r="M6" s="253"/>
      <c r="N6" s="254"/>
      <c r="O6" s="254"/>
      <c r="P6" s="264"/>
      <c r="Q6" s="254"/>
      <c r="R6" s="254"/>
      <c r="S6" s="254"/>
      <c r="T6" s="264"/>
      <c r="U6" s="254"/>
      <c r="V6" s="254"/>
      <c r="W6" s="254"/>
      <c r="X6" s="263"/>
      <c r="Y6" s="254" t="s">
        <v>76</v>
      </c>
      <c r="Z6" s="254"/>
      <c r="AA6" s="254"/>
      <c r="AB6" s="255"/>
    </row>
    <row r="7" spans="1:28" s="273" customFormat="1" ht="12.75" x14ac:dyDescent="0.2">
      <c r="A7" s="265" t="s">
        <v>75</v>
      </c>
      <c r="B7" s="266"/>
      <c r="C7" s="267" t="s">
        <v>70</v>
      </c>
      <c r="D7" s="579" t="str">
        <f>'detailed fund u'!D7:E7</f>
        <v>Region VII</v>
      </c>
      <c r="E7" s="578"/>
      <c r="F7" s="269"/>
      <c r="G7" s="269"/>
      <c r="H7" s="269"/>
      <c r="I7" s="269"/>
      <c r="J7" s="269"/>
      <c r="K7" s="269"/>
      <c r="L7" s="269"/>
      <c r="M7" s="269"/>
      <c r="N7" s="270"/>
      <c r="O7" s="270"/>
      <c r="P7" s="270"/>
      <c r="Q7" s="270"/>
      <c r="R7" s="270"/>
      <c r="S7" s="48"/>
      <c r="T7" s="270"/>
      <c r="U7" s="270"/>
      <c r="V7" s="270"/>
      <c r="W7" s="270"/>
      <c r="X7" s="271"/>
      <c r="Y7" s="270" t="s">
        <v>78</v>
      </c>
      <c r="Z7" s="270"/>
      <c r="AA7" s="270"/>
      <c r="AB7" s="272"/>
    </row>
    <row r="8" spans="1:28" s="256" customFormat="1" ht="12.75" x14ac:dyDescent="0.2">
      <c r="A8" s="294" t="s">
        <v>77</v>
      </c>
      <c r="B8" s="251"/>
      <c r="C8" s="262" t="s">
        <v>70</v>
      </c>
      <c r="D8" s="579" t="str">
        <f>'detailed fund u'!D8:E8</f>
        <v>10 003 03 00007</v>
      </c>
      <c r="E8" s="581"/>
      <c r="F8" s="253"/>
      <c r="G8" s="253"/>
      <c r="H8" s="253"/>
      <c r="I8" s="253"/>
      <c r="J8" s="253"/>
      <c r="K8" s="253"/>
      <c r="L8" s="253"/>
      <c r="M8" s="253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5"/>
    </row>
    <row r="9" spans="1:28" s="256" customFormat="1" ht="12.75" x14ac:dyDescent="0.2">
      <c r="A9" s="24" t="s">
        <v>79</v>
      </c>
      <c r="B9" s="25"/>
      <c r="C9" s="281" t="s">
        <v>70</v>
      </c>
      <c r="D9" s="581" t="s">
        <v>2</v>
      </c>
      <c r="E9" s="582"/>
      <c r="F9" s="253"/>
      <c r="G9" s="253"/>
      <c r="H9" s="253"/>
      <c r="I9" s="253"/>
      <c r="J9" s="253"/>
      <c r="K9" s="253"/>
      <c r="L9" s="253"/>
      <c r="M9" s="253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5"/>
    </row>
    <row r="10" spans="1:28" s="32" customFormat="1" ht="12.75" x14ac:dyDescent="0.2">
      <c r="A10" s="295"/>
      <c r="B10" s="25"/>
      <c r="C10" s="25"/>
      <c r="D10" s="25"/>
      <c r="E10" s="25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6"/>
    </row>
    <row r="11" spans="1:28" s="343" customFormat="1" ht="12.75" customHeight="1" x14ac:dyDescent="0.2">
      <c r="A11" s="965" t="s">
        <v>80</v>
      </c>
      <c r="B11" s="966"/>
      <c r="C11" s="966"/>
      <c r="D11" s="966"/>
      <c r="E11" s="967"/>
      <c r="F11" s="951" t="s">
        <v>81</v>
      </c>
      <c r="G11" s="954" t="s">
        <v>230</v>
      </c>
      <c r="H11" s="954"/>
      <c r="I11" s="954"/>
      <c r="J11" s="954" t="s">
        <v>82</v>
      </c>
      <c r="K11" s="954"/>
      <c r="L11" s="954"/>
      <c r="M11" s="954"/>
      <c r="N11" s="954"/>
      <c r="O11" s="955" t="s">
        <v>231</v>
      </c>
      <c r="P11" s="955"/>
      <c r="Q11" s="955"/>
      <c r="R11" s="955"/>
      <c r="S11" s="955"/>
      <c r="T11" s="955" t="s">
        <v>232</v>
      </c>
      <c r="U11" s="955"/>
      <c r="V11" s="955"/>
      <c r="W11" s="955"/>
      <c r="X11" s="955"/>
      <c r="Y11" s="974" t="s">
        <v>85</v>
      </c>
      <c r="Z11" s="974"/>
      <c r="AA11" s="974"/>
      <c r="AB11" s="975"/>
    </row>
    <row r="12" spans="1:28" s="343" customFormat="1" ht="12.75" customHeight="1" x14ac:dyDescent="0.2">
      <c r="A12" s="968"/>
      <c r="B12" s="969"/>
      <c r="C12" s="969"/>
      <c r="D12" s="969"/>
      <c r="E12" s="970"/>
      <c r="F12" s="952"/>
      <c r="G12" s="956" t="s">
        <v>233</v>
      </c>
      <c r="H12" s="956" t="s">
        <v>234</v>
      </c>
      <c r="I12" s="956" t="s">
        <v>235</v>
      </c>
      <c r="J12" s="956" t="s">
        <v>86</v>
      </c>
      <c r="K12" s="956" t="s">
        <v>87</v>
      </c>
      <c r="L12" s="956" t="s">
        <v>236</v>
      </c>
      <c r="M12" s="956" t="s">
        <v>237</v>
      </c>
      <c r="N12" s="956" t="s">
        <v>90</v>
      </c>
      <c r="O12" s="956" t="s">
        <v>91</v>
      </c>
      <c r="P12" s="956" t="s">
        <v>92</v>
      </c>
      <c r="Q12" s="956" t="s">
        <v>93</v>
      </c>
      <c r="R12" s="956" t="s">
        <v>94</v>
      </c>
      <c r="S12" s="956" t="s">
        <v>95</v>
      </c>
      <c r="T12" s="956" t="s">
        <v>91</v>
      </c>
      <c r="U12" s="956" t="s">
        <v>92</v>
      </c>
      <c r="V12" s="956" t="s">
        <v>93</v>
      </c>
      <c r="W12" s="956" t="s">
        <v>94</v>
      </c>
      <c r="X12" s="956" t="s">
        <v>95</v>
      </c>
      <c r="Y12" s="956" t="s">
        <v>96</v>
      </c>
      <c r="Z12" s="956" t="s">
        <v>97</v>
      </c>
      <c r="AA12" s="948" t="s">
        <v>98</v>
      </c>
      <c r="AB12" s="949"/>
    </row>
    <row r="13" spans="1:28" s="346" customFormat="1" ht="48" customHeight="1" x14ac:dyDescent="0.2">
      <c r="A13" s="971"/>
      <c r="B13" s="972"/>
      <c r="C13" s="972"/>
      <c r="D13" s="972"/>
      <c r="E13" s="973"/>
      <c r="F13" s="953"/>
      <c r="G13" s="957"/>
      <c r="H13" s="957"/>
      <c r="I13" s="957"/>
      <c r="J13" s="957"/>
      <c r="K13" s="957"/>
      <c r="L13" s="957"/>
      <c r="M13" s="957"/>
      <c r="N13" s="957"/>
      <c r="O13" s="957"/>
      <c r="P13" s="957"/>
      <c r="Q13" s="957"/>
      <c r="R13" s="957"/>
      <c r="S13" s="957"/>
      <c r="T13" s="957"/>
      <c r="U13" s="957"/>
      <c r="V13" s="957"/>
      <c r="W13" s="957"/>
      <c r="X13" s="957"/>
      <c r="Y13" s="957"/>
      <c r="Z13" s="957"/>
      <c r="AA13" s="344" t="s">
        <v>99</v>
      </c>
      <c r="AB13" s="345" t="s">
        <v>100</v>
      </c>
    </row>
    <row r="14" spans="1:28" s="56" customFormat="1" ht="25.5" x14ac:dyDescent="0.2">
      <c r="A14" s="960">
        <v>1</v>
      </c>
      <c r="B14" s="961"/>
      <c r="C14" s="961"/>
      <c r="D14" s="961"/>
      <c r="E14" s="962"/>
      <c r="F14" s="282">
        <v>2</v>
      </c>
      <c r="G14" s="283">
        <v>3</v>
      </c>
      <c r="H14" s="283">
        <v>4</v>
      </c>
      <c r="I14" s="284" t="s">
        <v>238</v>
      </c>
      <c r="J14" s="284">
        <v>6</v>
      </c>
      <c r="K14" s="284">
        <v>7</v>
      </c>
      <c r="L14" s="284">
        <v>8</v>
      </c>
      <c r="M14" s="284">
        <v>9</v>
      </c>
      <c r="N14" s="284" t="s">
        <v>239</v>
      </c>
      <c r="O14" s="285">
        <v>11</v>
      </c>
      <c r="P14" s="285">
        <v>12</v>
      </c>
      <c r="Q14" s="285">
        <v>13</v>
      </c>
      <c r="R14" s="285">
        <v>14</v>
      </c>
      <c r="S14" s="285" t="s">
        <v>240</v>
      </c>
      <c r="T14" s="285">
        <v>16</v>
      </c>
      <c r="U14" s="285">
        <v>17</v>
      </c>
      <c r="V14" s="285">
        <v>18</v>
      </c>
      <c r="W14" s="285">
        <v>19</v>
      </c>
      <c r="X14" s="285" t="s">
        <v>241</v>
      </c>
      <c r="Y14" s="285" t="s">
        <v>242</v>
      </c>
      <c r="Z14" s="285" t="s">
        <v>243</v>
      </c>
      <c r="AA14" s="285">
        <v>23</v>
      </c>
      <c r="AB14" s="297">
        <v>24</v>
      </c>
    </row>
    <row r="15" spans="1:28" s="56" customFormat="1" ht="25.5" customHeight="1" x14ac:dyDescent="0.2">
      <c r="A15" s="904" t="s">
        <v>675</v>
      </c>
      <c r="B15" s="905"/>
      <c r="C15" s="905"/>
      <c r="D15" s="905"/>
      <c r="E15" s="905"/>
      <c r="F15" s="298"/>
      <c r="G15" s="320"/>
      <c r="H15" s="320"/>
      <c r="I15" s="320"/>
      <c r="J15" s="320"/>
      <c r="K15" s="331"/>
      <c r="L15" s="331"/>
      <c r="M15" s="331"/>
      <c r="N15" s="331"/>
      <c r="O15" s="331"/>
      <c r="P15" s="331"/>
      <c r="Q15" s="331"/>
      <c r="R15" s="339"/>
      <c r="S15" s="339"/>
      <c r="T15" s="339"/>
      <c r="U15" s="339"/>
      <c r="V15" s="339"/>
      <c r="W15" s="339"/>
      <c r="X15" s="339"/>
      <c r="Y15" s="339"/>
      <c r="Z15" s="339"/>
      <c r="AA15" s="339"/>
      <c r="AB15" s="299"/>
    </row>
    <row r="16" spans="1:28" ht="14.1" customHeight="1" x14ac:dyDescent="0.2">
      <c r="A16" s="279" t="s">
        <v>683</v>
      </c>
      <c r="B16" s="102"/>
      <c r="C16" s="103"/>
      <c r="D16" s="104"/>
      <c r="E16" s="103"/>
      <c r="F16" s="289" t="s">
        <v>244</v>
      </c>
      <c r="G16" s="148"/>
      <c r="H16" s="148"/>
      <c r="I16" s="148"/>
      <c r="J16" s="148"/>
      <c r="K16" s="152"/>
      <c r="L16" s="152"/>
      <c r="M16" s="152"/>
      <c r="N16" s="152"/>
      <c r="O16" s="152"/>
      <c r="P16" s="152"/>
      <c r="Q16" s="152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00"/>
    </row>
    <row r="17" spans="1:91" s="90" customFormat="1" ht="14.1" customHeight="1" x14ac:dyDescent="0.2">
      <c r="A17" s="301" t="s">
        <v>101</v>
      </c>
      <c r="B17" s="594" t="s">
        <v>102</v>
      </c>
      <c r="C17" s="594"/>
      <c r="D17" s="594"/>
      <c r="E17" s="594"/>
      <c r="F17" s="291" t="s">
        <v>673</v>
      </c>
      <c r="G17" s="321">
        <f>G19+G24</f>
        <v>9760000</v>
      </c>
      <c r="H17" s="321">
        <f t="shared" ref="H17:AB17" si="0">H19+H24</f>
        <v>0</v>
      </c>
      <c r="I17" s="321">
        <f t="shared" si="0"/>
        <v>9760000</v>
      </c>
      <c r="J17" s="321">
        <f t="shared" si="0"/>
        <v>9760000</v>
      </c>
      <c r="K17" s="332">
        <f t="shared" si="0"/>
        <v>0</v>
      </c>
      <c r="L17" s="332">
        <f t="shared" si="0"/>
        <v>0</v>
      </c>
      <c r="M17" s="332">
        <f t="shared" si="0"/>
        <v>513981.06</v>
      </c>
      <c r="N17" s="332">
        <f t="shared" si="0"/>
        <v>10273981.059999999</v>
      </c>
      <c r="O17" s="332">
        <f t="shared" si="0"/>
        <v>2223054.0499999998</v>
      </c>
      <c r="P17" s="332">
        <f t="shared" si="0"/>
        <v>1477736.34</v>
      </c>
      <c r="Q17" s="332">
        <f t="shared" si="0"/>
        <v>1938145.04</v>
      </c>
      <c r="R17" s="332">
        <f t="shared" si="0"/>
        <v>4006943.9000000004</v>
      </c>
      <c r="S17" s="332">
        <f t="shared" si="0"/>
        <v>9645879.3300000001</v>
      </c>
      <c r="T17" s="332">
        <f t="shared" si="0"/>
        <v>1938573.05</v>
      </c>
      <c r="U17" s="332">
        <f t="shared" si="0"/>
        <v>1560129.7999999998</v>
      </c>
      <c r="V17" s="332">
        <f t="shared" si="0"/>
        <v>2134604.04</v>
      </c>
      <c r="W17" s="332">
        <f t="shared" si="0"/>
        <v>4012572.4400000004</v>
      </c>
      <c r="X17" s="332">
        <f t="shared" si="0"/>
        <v>9645879.3300000001</v>
      </c>
      <c r="Y17" s="332">
        <f t="shared" si="0"/>
        <v>-513981.05999999959</v>
      </c>
      <c r="Z17" s="332">
        <f t="shared" si="0"/>
        <v>628101.72999999928</v>
      </c>
      <c r="AA17" s="332">
        <f t="shared" si="0"/>
        <v>0</v>
      </c>
      <c r="AB17" s="302">
        <f t="shared" si="0"/>
        <v>0</v>
      </c>
    </row>
    <row r="18" spans="1:91" s="91" customFormat="1" ht="14.1" customHeight="1" x14ac:dyDescent="0.2">
      <c r="A18" s="303" t="s">
        <v>103</v>
      </c>
      <c r="B18" s="592" t="s">
        <v>104</v>
      </c>
      <c r="C18" s="592"/>
      <c r="D18" s="592"/>
      <c r="E18" s="69"/>
      <c r="F18" s="91" t="s">
        <v>246</v>
      </c>
      <c r="G18" s="149"/>
      <c r="H18" s="149"/>
      <c r="I18" s="149"/>
      <c r="J18" s="149"/>
      <c r="K18" s="159"/>
      <c r="L18" s="159"/>
      <c r="M18" s="159"/>
      <c r="N18" s="159"/>
      <c r="O18" s="159"/>
      <c r="P18" s="159"/>
      <c r="Q18" s="159"/>
      <c r="R18" s="341"/>
      <c r="S18" s="341"/>
      <c r="T18" s="341"/>
      <c r="U18" s="341"/>
      <c r="V18" s="341"/>
      <c r="W18" s="341"/>
      <c r="X18" s="341"/>
      <c r="Y18" s="341"/>
      <c r="Z18" s="341"/>
      <c r="AA18" s="341"/>
      <c r="AB18" s="304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</row>
    <row r="19" spans="1:91" s="91" customFormat="1" ht="14.1" customHeight="1" x14ac:dyDescent="0.2">
      <c r="A19" s="303"/>
      <c r="B19" s="592"/>
      <c r="C19" s="592"/>
      <c r="D19" s="592" t="s">
        <v>245</v>
      </c>
      <c r="E19" s="69"/>
      <c r="F19" s="91" t="s">
        <v>246</v>
      </c>
      <c r="G19" s="322">
        <f>SUM(G20:G22)</f>
        <v>9760000</v>
      </c>
      <c r="H19" s="322">
        <f t="shared" ref="H19:AB19" si="1">SUM(H20:H22)</f>
        <v>0</v>
      </c>
      <c r="I19" s="322">
        <f t="shared" si="1"/>
        <v>9760000</v>
      </c>
      <c r="J19" s="322">
        <f t="shared" si="1"/>
        <v>9760000</v>
      </c>
      <c r="K19" s="333">
        <f t="shared" si="1"/>
        <v>0</v>
      </c>
      <c r="L19" s="333">
        <f t="shared" si="1"/>
        <v>0</v>
      </c>
      <c r="M19" s="333">
        <f t="shared" si="1"/>
        <v>408365.06</v>
      </c>
      <c r="N19" s="333">
        <f t="shared" si="1"/>
        <v>10168365.059999999</v>
      </c>
      <c r="O19" s="333">
        <f t="shared" si="1"/>
        <v>2223054.0499999998</v>
      </c>
      <c r="P19" s="333">
        <f t="shared" si="1"/>
        <v>1454431.6600000001</v>
      </c>
      <c r="Q19" s="333">
        <f t="shared" si="1"/>
        <v>1929145.04</v>
      </c>
      <c r="R19" s="333">
        <f t="shared" si="1"/>
        <v>3963316.72</v>
      </c>
      <c r="S19" s="333">
        <f t="shared" si="1"/>
        <v>9569947.4700000007</v>
      </c>
      <c r="T19" s="333">
        <f t="shared" si="1"/>
        <v>1938573.05</v>
      </c>
      <c r="U19" s="333">
        <f t="shared" si="1"/>
        <v>1536825.1199999999</v>
      </c>
      <c r="V19" s="333">
        <f t="shared" si="1"/>
        <v>2125604.04</v>
      </c>
      <c r="W19" s="333">
        <f t="shared" si="1"/>
        <v>3968945.2600000002</v>
      </c>
      <c r="X19" s="333">
        <f t="shared" si="1"/>
        <v>9569947.4700000007</v>
      </c>
      <c r="Y19" s="333">
        <f t="shared" si="1"/>
        <v>-408365.05999999959</v>
      </c>
      <c r="Z19" s="333">
        <f t="shared" si="1"/>
        <v>598417.58999999927</v>
      </c>
      <c r="AA19" s="333">
        <f t="shared" si="1"/>
        <v>0</v>
      </c>
      <c r="AB19" s="305">
        <f t="shared" si="1"/>
        <v>0</v>
      </c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</row>
    <row r="20" spans="1:91" s="91" customFormat="1" ht="14.1" customHeight="1" x14ac:dyDescent="0.2">
      <c r="A20" s="303"/>
      <c r="B20" s="592"/>
      <c r="C20" s="592"/>
      <c r="D20" s="592"/>
      <c r="E20" s="69" t="s">
        <v>11</v>
      </c>
      <c r="G20" s="323">
        <f>'detailed fund u'!$G$17</f>
        <v>6927000</v>
      </c>
      <c r="H20" s="323"/>
      <c r="I20" s="329">
        <f t="shared" ref="I20:I22" si="2">G20+H20</f>
        <v>6927000</v>
      </c>
      <c r="J20" s="329">
        <f t="shared" ref="J20:J22" si="3">I20</f>
        <v>6927000</v>
      </c>
      <c r="K20" s="274">
        <f>'detailed fund u'!$K$17</f>
        <v>0</v>
      </c>
      <c r="L20" s="274"/>
      <c r="M20" s="274">
        <f>'detailed fund u'!$S$17</f>
        <v>218365.06</v>
      </c>
      <c r="N20" s="275">
        <f>J20+K20-L20+M20</f>
        <v>7145365.0599999996</v>
      </c>
      <c r="O20" s="274">
        <f>'detailed fund u'!$AA$17</f>
        <v>1159201</v>
      </c>
      <c r="P20" s="274">
        <f>'detailed fund u'!$AE$17</f>
        <v>1074726</v>
      </c>
      <c r="Q20" s="274">
        <f>'detailed fund u'!$AI$17</f>
        <v>1412610.15</v>
      </c>
      <c r="R20" s="274">
        <f>'detailed fund u'!$AM$17</f>
        <v>3483877.75</v>
      </c>
      <c r="S20" s="274">
        <f t="shared" ref="S20:S22" si="4">SUM(O20:R20)</f>
        <v>7130414.9000000004</v>
      </c>
      <c r="T20" s="274">
        <f>'detailed fund u'!$AU$17</f>
        <v>889057</v>
      </c>
      <c r="U20" s="274">
        <f>'detailed fund u'!$AY$17</f>
        <v>1143182.46</v>
      </c>
      <c r="V20" s="274">
        <f>'detailed fund u'!$BC$17</f>
        <v>1608669.15</v>
      </c>
      <c r="W20" s="274">
        <f>'detailed fund u'!$BG$17</f>
        <v>3489506.29</v>
      </c>
      <c r="X20" s="274">
        <f t="shared" ref="X20:X22" si="5">SUM(T20:W20)</f>
        <v>7130414.9000000004</v>
      </c>
      <c r="Y20" s="274">
        <f t="shared" ref="Y20:Y22" si="6">I20-N20</f>
        <v>-218365.05999999959</v>
      </c>
      <c r="Z20" s="274">
        <f t="shared" ref="Z20:Z22" si="7">N20-S20</f>
        <v>14950.159999999218</v>
      </c>
      <c r="AA20" s="274">
        <f>'detailed fund u'!$BT$17</f>
        <v>0</v>
      </c>
      <c r="AB20" s="306">
        <f t="shared" ref="AB20:AB22" si="8">+S20-X20-AA20</f>
        <v>0</v>
      </c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</row>
    <row r="21" spans="1:91" s="91" customFormat="1" ht="14.1" customHeight="1" x14ac:dyDescent="0.2">
      <c r="A21" s="303"/>
      <c r="B21" s="592"/>
      <c r="C21" s="592"/>
      <c r="D21" s="592"/>
      <c r="E21" s="69" t="s">
        <v>12</v>
      </c>
      <c r="G21" s="323">
        <f>'detailed fund u'!$H$17</f>
        <v>2833000</v>
      </c>
      <c r="H21" s="323"/>
      <c r="I21" s="329">
        <f t="shared" si="2"/>
        <v>2833000</v>
      </c>
      <c r="J21" s="329">
        <f t="shared" si="3"/>
        <v>2833000</v>
      </c>
      <c r="K21" s="274">
        <f>'detailed fund u'!$L$17</f>
        <v>0</v>
      </c>
      <c r="L21" s="274"/>
      <c r="M21" s="274">
        <f>'detailed fund u'!$T$17</f>
        <v>0</v>
      </c>
      <c r="N21" s="275">
        <f>J21+K21-L21+M21</f>
        <v>2833000</v>
      </c>
      <c r="O21" s="274">
        <f>'detailed fund u'!$AB$17</f>
        <v>1063853.0499999998</v>
      </c>
      <c r="P21" s="274">
        <f>'detailed fund u'!$AF$17</f>
        <v>379705.66000000003</v>
      </c>
      <c r="Q21" s="274">
        <f>'detailed fund u'!$AJ$17</f>
        <v>384485.05</v>
      </c>
      <c r="R21" s="274">
        <f>'detailed fund u'!$AN$17</f>
        <v>479438.97000000003</v>
      </c>
      <c r="S21" s="274">
        <f t="shared" si="4"/>
        <v>2307482.73</v>
      </c>
      <c r="T21" s="274">
        <f>'detailed fund u'!$AV$17</f>
        <v>1049516.05</v>
      </c>
      <c r="U21" s="274">
        <f>'detailed fund u'!$AZ$17</f>
        <v>393642.66</v>
      </c>
      <c r="V21" s="274">
        <f>'detailed fund u'!$BD$17</f>
        <v>384885.05000000005</v>
      </c>
      <c r="W21" s="274">
        <f>'detailed fund u'!$BH$17</f>
        <v>479438.97000000003</v>
      </c>
      <c r="X21" s="274">
        <f t="shared" si="5"/>
        <v>2307482.73</v>
      </c>
      <c r="Y21" s="274">
        <f t="shared" si="6"/>
        <v>0</v>
      </c>
      <c r="Z21" s="274">
        <f t="shared" si="7"/>
        <v>525517.27</v>
      </c>
      <c r="AA21" s="274">
        <f>'detailed fund u'!$BU$17</f>
        <v>0</v>
      </c>
      <c r="AB21" s="306">
        <f t="shared" si="8"/>
        <v>0</v>
      </c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</row>
    <row r="22" spans="1:91" s="91" customFormat="1" ht="14.1" customHeight="1" x14ac:dyDescent="0.2">
      <c r="A22" s="303"/>
      <c r="B22" s="592"/>
      <c r="C22" s="592"/>
      <c r="D22" s="592"/>
      <c r="E22" s="69" t="s">
        <v>13</v>
      </c>
      <c r="G22" s="323">
        <f>'detailed fund u'!$I$17</f>
        <v>0</v>
      </c>
      <c r="H22" s="323"/>
      <c r="I22" s="329">
        <f t="shared" si="2"/>
        <v>0</v>
      </c>
      <c r="J22" s="329">
        <f t="shared" si="3"/>
        <v>0</v>
      </c>
      <c r="K22" s="274">
        <f>'detailed fund u'!$M$17</f>
        <v>0</v>
      </c>
      <c r="L22" s="274"/>
      <c r="M22" s="274">
        <f>'detailed fund u'!$U$17</f>
        <v>190000</v>
      </c>
      <c r="N22" s="275">
        <f>J22+K22-L22+M22</f>
        <v>190000</v>
      </c>
      <c r="O22" s="274">
        <f>'detailed fund u'!$AC$17</f>
        <v>0</v>
      </c>
      <c r="P22" s="274">
        <f>'detailed fund u'!$AG$17</f>
        <v>0</v>
      </c>
      <c r="Q22" s="274">
        <f>'detailed fund u'!$AK$17</f>
        <v>132049.84</v>
      </c>
      <c r="R22" s="274">
        <f>'detailed fund u'!$AO$17</f>
        <v>0</v>
      </c>
      <c r="S22" s="274">
        <f t="shared" si="4"/>
        <v>132049.84</v>
      </c>
      <c r="T22" s="274">
        <f>'detailed fund u'!$AW$17</f>
        <v>0</v>
      </c>
      <c r="U22" s="274">
        <f>'detailed fund u'!$BA$17</f>
        <v>0</v>
      </c>
      <c r="V22" s="274">
        <f>'detailed fund u'!$BE$17</f>
        <v>132049.84</v>
      </c>
      <c r="W22" s="274">
        <f>'detailed fund u'!$BI$17</f>
        <v>0</v>
      </c>
      <c r="X22" s="274">
        <f t="shared" si="5"/>
        <v>132049.84</v>
      </c>
      <c r="Y22" s="274">
        <f t="shared" si="6"/>
        <v>-190000</v>
      </c>
      <c r="Z22" s="274">
        <f t="shared" si="7"/>
        <v>57950.16</v>
      </c>
      <c r="AA22" s="274">
        <f>'detailed fund u'!$BV$17</f>
        <v>0</v>
      </c>
      <c r="AB22" s="306">
        <f t="shared" si="8"/>
        <v>0</v>
      </c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</row>
    <row r="23" spans="1:91" s="91" customFormat="1" ht="14.1" customHeight="1" x14ac:dyDescent="0.2">
      <c r="A23" s="303" t="s">
        <v>110</v>
      </c>
      <c r="B23" s="592" t="s">
        <v>111</v>
      </c>
      <c r="C23" s="592"/>
      <c r="D23" s="592"/>
      <c r="E23" s="69"/>
      <c r="F23" s="91" t="s">
        <v>247</v>
      </c>
      <c r="G23" s="149"/>
      <c r="H23" s="149"/>
      <c r="I23" s="149"/>
      <c r="J23" s="149"/>
      <c r="K23" s="159"/>
      <c r="L23" s="159"/>
      <c r="M23" s="159"/>
      <c r="N23" s="159"/>
      <c r="O23" s="159"/>
      <c r="P23" s="159"/>
      <c r="Q23" s="159"/>
      <c r="R23" s="341"/>
      <c r="S23" s="341"/>
      <c r="T23" s="341"/>
      <c r="U23" s="341"/>
      <c r="V23" s="341"/>
      <c r="W23" s="341"/>
      <c r="X23" s="341"/>
      <c r="Y23" s="341"/>
      <c r="Z23" s="341"/>
      <c r="AA23" s="341"/>
      <c r="AB23" s="304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</row>
    <row r="24" spans="1:91" s="91" customFormat="1" ht="14.1" customHeight="1" x14ac:dyDescent="0.2">
      <c r="A24" s="303"/>
      <c r="B24" s="592"/>
      <c r="C24" s="592"/>
      <c r="D24" s="592" t="s">
        <v>248</v>
      </c>
      <c r="E24" s="69"/>
      <c r="F24" s="91" t="s">
        <v>249</v>
      </c>
      <c r="G24" s="322">
        <f>SUM(G25:G27)</f>
        <v>0</v>
      </c>
      <c r="H24" s="322">
        <f t="shared" ref="H24" si="9">SUM(H25:H27)</f>
        <v>0</v>
      </c>
      <c r="I24" s="322">
        <f t="shared" ref="I24" si="10">SUM(I25:I27)</f>
        <v>0</v>
      </c>
      <c r="J24" s="322">
        <f t="shared" ref="J24" si="11">SUM(J25:J27)</f>
        <v>0</v>
      </c>
      <c r="K24" s="333">
        <f t="shared" ref="K24" si="12">SUM(K25:K27)</f>
        <v>0</v>
      </c>
      <c r="L24" s="333">
        <f t="shared" ref="L24" si="13">SUM(L25:L27)</f>
        <v>0</v>
      </c>
      <c r="M24" s="333">
        <f t="shared" ref="M24" si="14">SUM(M25:M27)</f>
        <v>105616</v>
      </c>
      <c r="N24" s="333">
        <f t="shared" ref="N24" si="15">SUM(N25:N27)</f>
        <v>105616</v>
      </c>
      <c r="O24" s="333">
        <f t="shared" ref="O24" si="16">SUM(O25:O27)</f>
        <v>0</v>
      </c>
      <c r="P24" s="333">
        <f t="shared" ref="P24" si="17">SUM(P25:P27)</f>
        <v>23304.68</v>
      </c>
      <c r="Q24" s="333">
        <f t="shared" ref="Q24" si="18">SUM(Q25:Q27)</f>
        <v>9000</v>
      </c>
      <c r="R24" s="333">
        <f t="shared" ref="R24" si="19">SUM(R25:R27)</f>
        <v>43627.18</v>
      </c>
      <c r="S24" s="333">
        <f t="shared" ref="S24" si="20">SUM(S25:S27)</f>
        <v>75931.86</v>
      </c>
      <c r="T24" s="333">
        <f t="shared" ref="T24" si="21">SUM(T25:T27)</f>
        <v>0</v>
      </c>
      <c r="U24" s="333">
        <f t="shared" ref="U24" si="22">SUM(U25:U27)</f>
        <v>23304.68</v>
      </c>
      <c r="V24" s="333">
        <f t="shared" ref="V24" si="23">SUM(V25:V27)</f>
        <v>9000</v>
      </c>
      <c r="W24" s="333">
        <f t="shared" ref="W24" si="24">SUM(W25:W27)</f>
        <v>43627.18</v>
      </c>
      <c r="X24" s="333">
        <f t="shared" ref="X24" si="25">SUM(X25:X27)</f>
        <v>75931.86</v>
      </c>
      <c r="Y24" s="333">
        <f t="shared" ref="Y24" si="26">SUM(Y25:Y27)</f>
        <v>-105616</v>
      </c>
      <c r="Z24" s="333">
        <f t="shared" ref="Z24" si="27">SUM(Z25:Z27)</f>
        <v>29684.14</v>
      </c>
      <c r="AA24" s="333">
        <f t="shared" ref="AA24" si="28">SUM(AA25:AA27)</f>
        <v>0</v>
      </c>
      <c r="AB24" s="305">
        <f t="shared" ref="AB24" si="29">SUM(AB25:AB27)</f>
        <v>0</v>
      </c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</row>
    <row r="25" spans="1:91" s="91" customFormat="1" ht="14.1" customHeight="1" x14ac:dyDescent="0.2">
      <c r="A25" s="303"/>
      <c r="B25" s="592"/>
      <c r="C25" s="592"/>
      <c r="D25" s="592"/>
      <c r="E25" s="69" t="s">
        <v>11</v>
      </c>
      <c r="G25" s="323">
        <f>'detailed fund u'!$G$22</f>
        <v>0</v>
      </c>
      <c r="H25" s="323"/>
      <c r="I25" s="329">
        <f t="shared" ref="I25:I27" si="30">G25+H25</f>
        <v>0</v>
      </c>
      <c r="J25" s="329">
        <f t="shared" ref="J25:J27" si="31">I25</f>
        <v>0</v>
      </c>
      <c r="K25" s="274">
        <f>'detailed fund u'!$K$22</f>
        <v>0</v>
      </c>
      <c r="L25" s="274"/>
      <c r="M25" s="274">
        <f>'detailed fund u'!$S$22</f>
        <v>0</v>
      </c>
      <c r="N25" s="275">
        <f>J25+K25-L25+M25</f>
        <v>0</v>
      </c>
      <c r="O25" s="274">
        <f>'detailed fund u'!$AA$22</f>
        <v>0</v>
      </c>
      <c r="P25" s="274">
        <f>'detailed fund u'!$AE$22</f>
        <v>0</v>
      </c>
      <c r="Q25" s="274">
        <f>'detailed fund u'!$AI$22</f>
        <v>0</v>
      </c>
      <c r="R25" s="274">
        <f>'detailed fund u'!$AM$22</f>
        <v>0</v>
      </c>
      <c r="S25" s="274">
        <f t="shared" ref="S25:S27" si="32">SUM(O25:R25)</f>
        <v>0</v>
      </c>
      <c r="T25" s="274">
        <f>'detailed fund u'!$AU$22</f>
        <v>0</v>
      </c>
      <c r="U25" s="274">
        <f>'detailed fund u'!$AY$22</f>
        <v>0</v>
      </c>
      <c r="V25" s="274">
        <f>'detailed fund u'!$BC$22</f>
        <v>0</v>
      </c>
      <c r="W25" s="274">
        <f>'detailed fund u'!$BG$22</f>
        <v>0</v>
      </c>
      <c r="X25" s="274">
        <f t="shared" ref="X25:X27" si="33">SUM(T25:W25)</f>
        <v>0</v>
      </c>
      <c r="Y25" s="274">
        <f t="shared" ref="Y25:Y27" si="34">I25-N25</f>
        <v>0</v>
      </c>
      <c r="Z25" s="274">
        <f t="shared" ref="Z25:Z27" si="35">N25-S25</f>
        <v>0</v>
      </c>
      <c r="AA25" s="274">
        <f>'detailed fund u'!$BT$22</f>
        <v>0</v>
      </c>
      <c r="AB25" s="306">
        <f t="shared" ref="AB25:AB27" si="36">+S25-X25-AA25</f>
        <v>0</v>
      </c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</row>
    <row r="26" spans="1:91" s="91" customFormat="1" ht="14.1" customHeight="1" x14ac:dyDescent="0.2">
      <c r="A26" s="303"/>
      <c r="B26" s="592"/>
      <c r="C26" s="592"/>
      <c r="D26" s="592"/>
      <c r="E26" s="69" t="s">
        <v>12</v>
      </c>
      <c r="G26" s="323">
        <f>'detailed fund u'!$H$22</f>
        <v>0</v>
      </c>
      <c r="H26" s="323"/>
      <c r="I26" s="329">
        <f t="shared" si="30"/>
        <v>0</v>
      </c>
      <c r="J26" s="329">
        <f t="shared" si="31"/>
        <v>0</v>
      </c>
      <c r="K26" s="274">
        <f>'detailed fund u'!$L$22</f>
        <v>0</v>
      </c>
      <c r="L26" s="274"/>
      <c r="M26" s="274">
        <f>'detailed fund u'!$T$22</f>
        <v>105616</v>
      </c>
      <c r="N26" s="275">
        <f>J26+K26-L26+M26</f>
        <v>105616</v>
      </c>
      <c r="O26" s="274">
        <f>'detailed fund u'!$AB$22</f>
        <v>0</v>
      </c>
      <c r="P26" s="274">
        <f>'detailed fund u'!$AF$22</f>
        <v>23304.68</v>
      </c>
      <c r="Q26" s="274">
        <f>'detailed fund u'!$AJ$22</f>
        <v>9000</v>
      </c>
      <c r="R26" s="274">
        <f>'detailed fund u'!$AN$22</f>
        <v>43627.18</v>
      </c>
      <c r="S26" s="274">
        <f t="shared" si="32"/>
        <v>75931.86</v>
      </c>
      <c r="T26" s="274">
        <f>'detailed fund u'!$AV$22</f>
        <v>0</v>
      </c>
      <c r="U26" s="274">
        <f>'detailed fund u'!$AZ$22</f>
        <v>23304.68</v>
      </c>
      <c r="V26" s="274">
        <f>'detailed fund u'!$BD$22</f>
        <v>9000</v>
      </c>
      <c r="W26" s="274">
        <f>'detailed fund u'!$BH$22</f>
        <v>43627.18</v>
      </c>
      <c r="X26" s="274">
        <f t="shared" si="33"/>
        <v>75931.86</v>
      </c>
      <c r="Y26" s="274">
        <f t="shared" si="34"/>
        <v>-105616</v>
      </c>
      <c r="Z26" s="274">
        <f t="shared" si="35"/>
        <v>29684.14</v>
      </c>
      <c r="AA26" s="274">
        <f>'detailed fund u'!$BU$22</f>
        <v>0</v>
      </c>
      <c r="AB26" s="306">
        <f t="shared" si="36"/>
        <v>0</v>
      </c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</row>
    <row r="27" spans="1:91" s="91" customFormat="1" ht="14.1" customHeight="1" x14ac:dyDescent="0.2">
      <c r="A27" s="303"/>
      <c r="B27" s="592"/>
      <c r="C27" s="592"/>
      <c r="D27" s="592"/>
      <c r="E27" s="69" t="s">
        <v>13</v>
      </c>
      <c r="G27" s="323">
        <f>'detailed fund u'!$I$22</f>
        <v>0</v>
      </c>
      <c r="H27" s="323"/>
      <c r="I27" s="329">
        <f t="shared" si="30"/>
        <v>0</v>
      </c>
      <c r="J27" s="329">
        <f t="shared" si="31"/>
        <v>0</v>
      </c>
      <c r="K27" s="274">
        <f>'detailed fund u'!$M$22</f>
        <v>0</v>
      </c>
      <c r="L27" s="274"/>
      <c r="M27" s="274">
        <f>'detailed fund u'!$U$22</f>
        <v>0</v>
      </c>
      <c r="N27" s="275">
        <f>J27+K27-L27+M27</f>
        <v>0</v>
      </c>
      <c r="O27" s="274">
        <f>'detailed fund u'!$AC$22</f>
        <v>0</v>
      </c>
      <c r="P27" s="274">
        <f>'detailed fund u'!$AG$22</f>
        <v>0</v>
      </c>
      <c r="Q27" s="274">
        <f>'detailed fund u'!$AK$22</f>
        <v>0</v>
      </c>
      <c r="R27" s="274">
        <f>'detailed fund u'!$AO$22</f>
        <v>0</v>
      </c>
      <c r="S27" s="274">
        <f t="shared" si="32"/>
        <v>0</v>
      </c>
      <c r="T27" s="274">
        <f>'detailed fund u'!$AW$22</f>
        <v>0</v>
      </c>
      <c r="U27" s="274">
        <f>'detailed fund u'!$BA$22</f>
        <v>0</v>
      </c>
      <c r="V27" s="274">
        <f>'detailed fund u'!$BE$22</f>
        <v>0</v>
      </c>
      <c r="W27" s="274">
        <f>'detailed fund u'!$BI$22</f>
        <v>0</v>
      </c>
      <c r="X27" s="274">
        <f t="shared" si="33"/>
        <v>0</v>
      </c>
      <c r="Y27" s="274">
        <f t="shared" si="34"/>
        <v>0</v>
      </c>
      <c r="Z27" s="274">
        <f t="shared" si="35"/>
        <v>0</v>
      </c>
      <c r="AA27" s="274">
        <f>'detailed fund u'!$BV$22</f>
        <v>0</v>
      </c>
      <c r="AB27" s="306">
        <f t="shared" si="36"/>
        <v>0</v>
      </c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</row>
    <row r="28" spans="1:91" s="100" customFormat="1" ht="14.1" customHeight="1" x14ac:dyDescent="0.2">
      <c r="A28" s="301"/>
      <c r="B28" s="615" t="s">
        <v>715</v>
      </c>
      <c r="C28" s="615"/>
      <c r="D28" s="615"/>
      <c r="E28" s="73"/>
      <c r="F28" s="100" t="s">
        <v>247</v>
      </c>
      <c r="G28" s="321">
        <f>G29</f>
        <v>86000</v>
      </c>
      <c r="H28" s="321">
        <f t="shared" ref="H28:AB28" si="37">H29</f>
        <v>0</v>
      </c>
      <c r="I28" s="321">
        <f t="shared" si="37"/>
        <v>86000</v>
      </c>
      <c r="J28" s="321">
        <f t="shared" si="37"/>
        <v>86000</v>
      </c>
      <c r="K28" s="321">
        <f t="shared" si="37"/>
        <v>0</v>
      </c>
      <c r="L28" s="321">
        <f t="shared" si="37"/>
        <v>0</v>
      </c>
      <c r="M28" s="321">
        <f t="shared" si="37"/>
        <v>0</v>
      </c>
      <c r="N28" s="321">
        <f t="shared" si="37"/>
        <v>86000</v>
      </c>
      <c r="O28" s="321">
        <f t="shared" si="37"/>
        <v>0</v>
      </c>
      <c r="P28" s="321">
        <f t="shared" si="37"/>
        <v>0</v>
      </c>
      <c r="Q28" s="321">
        <f t="shared" si="37"/>
        <v>0</v>
      </c>
      <c r="R28" s="321">
        <f t="shared" si="37"/>
        <v>0</v>
      </c>
      <c r="S28" s="321">
        <f t="shared" si="37"/>
        <v>0</v>
      </c>
      <c r="T28" s="321">
        <f t="shared" si="37"/>
        <v>0</v>
      </c>
      <c r="U28" s="321">
        <f t="shared" si="37"/>
        <v>0</v>
      </c>
      <c r="V28" s="321">
        <f t="shared" si="37"/>
        <v>0</v>
      </c>
      <c r="W28" s="321">
        <f t="shared" si="37"/>
        <v>0</v>
      </c>
      <c r="X28" s="321">
        <f t="shared" si="37"/>
        <v>0</v>
      </c>
      <c r="Y28" s="321">
        <f t="shared" si="37"/>
        <v>0</v>
      </c>
      <c r="Z28" s="321">
        <f t="shared" si="37"/>
        <v>86000</v>
      </c>
      <c r="AA28" s="321">
        <f t="shared" si="37"/>
        <v>0</v>
      </c>
      <c r="AB28" s="321">
        <f t="shared" si="37"/>
        <v>0</v>
      </c>
      <c r="AC28" s="287"/>
      <c r="AD28" s="287"/>
      <c r="AE28" s="287"/>
      <c r="AF28" s="287"/>
      <c r="AG28" s="287"/>
      <c r="AH28" s="287"/>
      <c r="AI28" s="287"/>
      <c r="AJ28" s="287"/>
      <c r="AK28" s="287"/>
      <c r="AL28" s="287"/>
      <c r="AM28" s="287"/>
      <c r="AN28" s="287"/>
      <c r="AO28" s="287"/>
      <c r="AP28" s="287"/>
      <c r="AQ28" s="287"/>
      <c r="AR28" s="287"/>
      <c r="AS28" s="287"/>
      <c r="AT28" s="287"/>
      <c r="AU28" s="287"/>
      <c r="AV28" s="287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287"/>
      <c r="CE28" s="287"/>
      <c r="CF28" s="287"/>
      <c r="CG28" s="287"/>
      <c r="CH28" s="287"/>
      <c r="CI28" s="287"/>
      <c r="CJ28" s="287"/>
      <c r="CK28" s="287"/>
      <c r="CL28" s="287"/>
      <c r="CM28" s="287"/>
    </row>
    <row r="29" spans="1:91" s="91" customFormat="1" ht="14.1" customHeight="1" x14ac:dyDescent="0.2">
      <c r="A29" s="303"/>
      <c r="B29" s="614"/>
      <c r="C29" s="614"/>
      <c r="D29" s="614" t="s">
        <v>717</v>
      </c>
      <c r="E29" s="69"/>
      <c r="F29" s="91" t="s">
        <v>249</v>
      </c>
      <c r="G29" s="323">
        <f>'detailed fund u'!$G$25</f>
        <v>86000</v>
      </c>
      <c r="H29" s="323"/>
      <c r="I29" s="329">
        <f t="shared" ref="I29" si="38">G29+H29</f>
        <v>86000</v>
      </c>
      <c r="J29" s="329">
        <f t="shared" ref="J29" si="39">I29</f>
        <v>86000</v>
      </c>
      <c r="K29" s="274">
        <f>'detailed fund u'!$K$25</f>
        <v>0</v>
      </c>
      <c r="L29" s="274"/>
      <c r="M29" s="274">
        <f>'detailed fund u'!$S$22</f>
        <v>0</v>
      </c>
      <c r="N29" s="275">
        <f>J29+K29-L29+M29</f>
        <v>86000</v>
      </c>
      <c r="O29" s="274">
        <f>'detailed fund u'!$AA$25</f>
        <v>0</v>
      </c>
      <c r="P29" s="274">
        <f>'detailed fund u'!$AE$25</f>
        <v>0</v>
      </c>
      <c r="Q29" s="274">
        <f>'detailed fund u'!$AI$25</f>
        <v>0</v>
      </c>
      <c r="R29" s="274">
        <f>'detailed fund u'!$AM$25</f>
        <v>0</v>
      </c>
      <c r="S29" s="274">
        <f t="shared" ref="S29" si="40">SUM(O29:R29)</f>
        <v>0</v>
      </c>
      <c r="T29" s="274">
        <f>'detailed fund u'!$AU$25</f>
        <v>0</v>
      </c>
      <c r="U29" s="274">
        <f>'detailed fund u'!$AY$25</f>
        <v>0</v>
      </c>
      <c r="V29" s="274">
        <f>'detailed fund u'!$BC$25</f>
        <v>0</v>
      </c>
      <c r="W29" s="274">
        <f>'detailed fund u'!$BG$25</f>
        <v>0</v>
      </c>
      <c r="X29" s="274">
        <f t="shared" ref="X29" si="41">SUM(T29:W29)</f>
        <v>0</v>
      </c>
      <c r="Y29" s="274">
        <f t="shared" ref="Y29" si="42">I29-N29</f>
        <v>0</v>
      </c>
      <c r="Z29" s="274">
        <f t="shared" ref="Z29" si="43">N29-S29</f>
        <v>86000</v>
      </c>
      <c r="AA29" s="274">
        <f>'detailed fund u'!$BT$25</f>
        <v>0</v>
      </c>
      <c r="AB29" s="306">
        <f t="shared" ref="AB29" si="44">+S29-X29-AA29</f>
        <v>0</v>
      </c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</row>
    <row r="30" spans="1:91" s="91" customFormat="1" ht="14.1" customHeight="1" x14ac:dyDescent="0.2">
      <c r="A30" s="303"/>
      <c r="B30" s="614"/>
      <c r="C30" s="614"/>
      <c r="D30" s="614"/>
      <c r="E30" s="69"/>
      <c r="G30" s="323"/>
      <c r="H30" s="323"/>
      <c r="I30" s="329"/>
      <c r="J30" s="329"/>
      <c r="K30" s="274"/>
      <c r="L30" s="274"/>
      <c r="M30" s="274"/>
      <c r="N30" s="275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306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</row>
    <row r="31" spans="1:91" s="61" customFormat="1" ht="14.1" customHeight="1" x14ac:dyDescent="0.2">
      <c r="A31" s="307" t="s">
        <v>112</v>
      </c>
      <c r="B31" s="944" t="s">
        <v>113</v>
      </c>
      <c r="C31" s="944"/>
      <c r="D31" s="944"/>
      <c r="E31" s="944"/>
      <c r="F31" s="258" t="s">
        <v>250</v>
      </c>
      <c r="G31" s="324">
        <f>SUM(G33:G43)</f>
        <v>0</v>
      </c>
      <c r="H31" s="324">
        <f t="shared" ref="H31:AB31" si="45">SUM(H33:H43)</f>
        <v>0</v>
      </c>
      <c r="I31" s="324">
        <f t="shared" si="45"/>
        <v>0</v>
      </c>
      <c r="J31" s="324">
        <f t="shared" si="45"/>
        <v>0</v>
      </c>
      <c r="K31" s="334">
        <f t="shared" si="45"/>
        <v>0</v>
      </c>
      <c r="L31" s="334">
        <f t="shared" si="45"/>
        <v>0</v>
      </c>
      <c r="M31" s="334">
        <f t="shared" si="45"/>
        <v>0</v>
      </c>
      <c r="N31" s="334">
        <f t="shared" si="45"/>
        <v>0</v>
      </c>
      <c r="O31" s="334">
        <f t="shared" si="45"/>
        <v>0</v>
      </c>
      <c r="P31" s="334">
        <f t="shared" si="45"/>
        <v>0</v>
      </c>
      <c r="Q31" s="334">
        <f t="shared" si="45"/>
        <v>0</v>
      </c>
      <c r="R31" s="334">
        <f t="shared" si="45"/>
        <v>0</v>
      </c>
      <c r="S31" s="334">
        <f t="shared" si="45"/>
        <v>0</v>
      </c>
      <c r="T31" s="334">
        <f t="shared" si="45"/>
        <v>0</v>
      </c>
      <c r="U31" s="334">
        <f t="shared" si="45"/>
        <v>0</v>
      </c>
      <c r="V31" s="334">
        <f t="shared" si="45"/>
        <v>0</v>
      </c>
      <c r="W31" s="334">
        <f t="shared" si="45"/>
        <v>0</v>
      </c>
      <c r="X31" s="334">
        <f t="shared" si="45"/>
        <v>0</v>
      </c>
      <c r="Y31" s="334">
        <f t="shared" si="45"/>
        <v>0</v>
      </c>
      <c r="Z31" s="334">
        <f t="shared" si="45"/>
        <v>0</v>
      </c>
      <c r="AA31" s="334">
        <f t="shared" si="45"/>
        <v>0</v>
      </c>
      <c r="AB31" s="308">
        <f t="shared" si="45"/>
        <v>0</v>
      </c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</row>
    <row r="32" spans="1:91" s="61" customFormat="1" ht="14.1" customHeight="1" x14ac:dyDescent="0.2">
      <c r="A32" s="303" t="s">
        <v>114</v>
      </c>
      <c r="B32" s="80" t="s">
        <v>126</v>
      </c>
      <c r="C32" s="592" t="s">
        <v>115</v>
      </c>
      <c r="D32" s="592"/>
      <c r="E32" s="592"/>
      <c r="F32" s="258" t="s">
        <v>251</v>
      </c>
      <c r="G32" s="148"/>
      <c r="H32" s="148"/>
      <c r="I32" s="148"/>
      <c r="J32" s="148"/>
      <c r="K32" s="152"/>
      <c r="L32" s="152"/>
      <c r="M32" s="152"/>
      <c r="N32" s="152"/>
      <c r="O32" s="152"/>
      <c r="P32" s="152"/>
      <c r="Q32" s="152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00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</row>
    <row r="33" spans="1:91" s="61" customFormat="1" ht="14.1" customHeight="1" x14ac:dyDescent="0.2">
      <c r="A33" s="303"/>
      <c r="B33" s="80"/>
      <c r="C33" s="592"/>
      <c r="D33" s="592"/>
      <c r="E33" s="69" t="s">
        <v>11</v>
      </c>
      <c r="G33" s="323">
        <f>'detailed fund u'!$G$27</f>
        <v>0</v>
      </c>
      <c r="H33" s="323"/>
      <c r="I33" s="329">
        <f t="shared" ref="I33:I35" si="46">G33+H33</f>
        <v>0</v>
      </c>
      <c r="J33" s="329">
        <f t="shared" ref="J33:J35" si="47">I33</f>
        <v>0</v>
      </c>
      <c r="K33" s="274">
        <f>'detailed fund u'!$K$27</f>
        <v>0</v>
      </c>
      <c r="L33" s="274"/>
      <c r="M33" s="274">
        <f>'detailed fund u'!$S$27</f>
        <v>0</v>
      </c>
      <c r="N33" s="275">
        <f>J33+K33-L33+M33</f>
        <v>0</v>
      </c>
      <c r="O33" s="274">
        <f>'detailed fund u'!$AA$27</f>
        <v>0</v>
      </c>
      <c r="P33" s="274">
        <f>'detailed fund u'!$AE$27</f>
        <v>0</v>
      </c>
      <c r="Q33" s="274">
        <f>'detailed fund u'!$AI$27</f>
        <v>0</v>
      </c>
      <c r="R33" s="274">
        <f>'detailed fund u'!$AM$27</f>
        <v>0</v>
      </c>
      <c r="S33" s="274">
        <f t="shared" ref="S33:S35" si="48">SUM(O33:R33)</f>
        <v>0</v>
      </c>
      <c r="T33" s="274">
        <f>'detailed fund u'!$AU$27</f>
        <v>0</v>
      </c>
      <c r="U33" s="274">
        <f>'detailed fund u'!$AY$27</f>
        <v>0</v>
      </c>
      <c r="V33" s="274">
        <f>'detailed fund u'!$BC$27</f>
        <v>0</v>
      </c>
      <c r="W33" s="274">
        <f>'detailed fund u'!$BG$27</f>
        <v>0</v>
      </c>
      <c r="X33" s="274">
        <f t="shared" ref="X33:X35" si="49">SUM(T33:W33)</f>
        <v>0</v>
      </c>
      <c r="Y33" s="274">
        <f t="shared" ref="Y33:Y35" si="50">I33-N33</f>
        <v>0</v>
      </c>
      <c r="Z33" s="274">
        <f t="shared" ref="Z33:Z35" si="51">N33-S33</f>
        <v>0</v>
      </c>
      <c r="AA33" s="274">
        <f>'detailed fund u'!$BT$27</f>
        <v>0</v>
      </c>
      <c r="AB33" s="306">
        <f t="shared" ref="AB33:AB35" si="52">+S33-X33-AA33</f>
        <v>0</v>
      </c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</row>
    <row r="34" spans="1:91" s="61" customFormat="1" ht="14.1" customHeight="1" x14ac:dyDescent="0.2">
      <c r="A34" s="303"/>
      <c r="B34" s="80"/>
      <c r="C34" s="592"/>
      <c r="D34" s="592"/>
      <c r="E34" s="69" t="s">
        <v>12</v>
      </c>
      <c r="G34" s="323">
        <f>'detailed fund u'!$H$27</f>
        <v>0</v>
      </c>
      <c r="H34" s="323"/>
      <c r="I34" s="329">
        <f t="shared" si="46"/>
        <v>0</v>
      </c>
      <c r="J34" s="329">
        <f t="shared" si="47"/>
        <v>0</v>
      </c>
      <c r="K34" s="274">
        <f>'detailed fund u'!$L$27</f>
        <v>0</v>
      </c>
      <c r="L34" s="274"/>
      <c r="M34" s="274">
        <f>'detailed fund u'!$T$27</f>
        <v>0</v>
      </c>
      <c r="N34" s="275">
        <f>J34+K34-L34+M34</f>
        <v>0</v>
      </c>
      <c r="O34" s="274">
        <f>'detailed fund u'!$AB$27</f>
        <v>0</v>
      </c>
      <c r="P34" s="274">
        <f>'detailed fund u'!$AF$27</f>
        <v>0</v>
      </c>
      <c r="Q34" s="274">
        <f>'detailed fund u'!$AJ$27</f>
        <v>0</v>
      </c>
      <c r="R34" s="274">
        <f>'detailed fund u'!$AN$27</f>
        <v>0</v>
      </c>
      <c r="S34" s="274">
        <f t="shared" si="48"/>
        <v>0</v>
      </c>
      <c r="T34" s="274">
        <f>'detailed fund u'!$AV$27</f>
        <v>0</v>
      </c>
      <c r="U34" s="274">
        <f>'detailed fund u'!$AZ$27</f>
        <v>0</v>
      </c>
      <c r="V34" s="274">
        <f>'detailed fund u'!$BD$27</f>
        <v>0</v>
      </c>
      <c r="W34" s="274">
        <f>'detailed fund u'!$BH$27</f>
        <v>0</v>
      </c>
      <c r="X34" s="274">
        <f t="shared" si="49"/>
        <v>0</v>
      </c>
      <c r="Y34" s="274">
        <f t="shared" si="50"/>
        <v>0</v>
      </c>
      <c r="Z34" s="274">
        <f t="shared" si="51"/>
        <v>0</v>
      </c>
      <c r="AA34" s="274">
        <f>'detailed fund u'!$BU$27</f>
        <v>0</v>
      </c>
      <c r="AB34" s="306">
        <f t="shared" si="52"/>
        <v>0</v>
      </c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</row>
    <row r="35" spans="1:91" s="61" customFormat="1" ht="14.1" customHeight="1" x14ac:dyDescent="0.2">
      <c r="A35" s="303"/>
      <c r="B35" s="80"/>
      <c r="C35" s="592"/>
      <c r="D35" s="592"/>
      <c r="E35" s="69" t="s">
        <v>13</v>
      </c>
      <c r="G35" s="323">
        <f>'detailed fund u'!$I$27</f>
        <v>0</v>
      </c>
      <c r="H35" s="323"/>
      <c r="I35" s="329">
        <f t="shared" si="46"/>
        <v>0</v>
      </c>
      <c r="J35" s="329">
        <f t="shared" si="47"/>
        <v>0</v>
      </c>
      <c r="K35" s="274">
        <f>'detailed fund u'!$M$27</f>
        <v>0</v>
      </c>
      <c r="L35" s="274"/>
      <c r="M35" s="274">
        <f>'detailed fund u'!$U$27</f>
        <v>0</v>
      </c>
      <c r="N35" s="275">
        <f>J35+K35-L35+M35</f>
        <v>0</v>
      </c>
      <c r="O35" s="274">
        <f>'detailed fund u'!$AC$27</f>
        <v>0</v>
      </c>
      <c r="P35" s="274">
        <f>'detailed fund u'!$AG$27</f>
        <v>0</v>
      </c>
      <c r="Q35" s="274">
        <f>'detailed fund u'!$AK$27</f>
        <v>0</v>
      </c>
      <c r="R35" s="274">
        <f>'detailed fund u'!$AO$27</f>
        <v>0</v>
      </c>
      <c r="S35" s="274">
        <f t="shared" si="48"/>
        <v>0</v>
      </c>
      <c r="T35" s="274">
        <f>'detailed fund u'!$AW$27</f>
        <v>0</v>
      </c>
      <c r="U35" s="274">
        <f>'detailed fund u'!$BA$27</f>
        <v>0</v>
      </c>
      <c r="V35" s="274">
        <f>'detailed fund u'!$BE$27</f>
        <v>0</v>
      </c>
      <c r="W35" s="274">
        <f>'detailed fund u'!$BI$27</f>
        <v>0</v>
      </c>
      <c r="X35" s="274">
        <f t="shared" si="49"/>
        <v>0</v>
      </c>
      <c r="Y35" s="274">
        <f t="shared" si="50"/>
        <v>0</v>
      </c>
      <c r="Z35" s="274">
        <f t="shared" si="51"/>
        <v>0</v>
      </c>
      <c r="AA35" s="274">
        <f>'detailed fund u'!$BV$27</f>
        <v>0</v>
      </c>
      <c r="AB35" s="306">
        <f t="shared" si="52"/>
        <v>0</v>
      </c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</row>
    <row r="36" spans="1:91" s="61" customFormat="1" ht="14.1" customHeight="1" x14ac:dyDescent="0.2">
      <c r="A36" s="303" t="s">
        <v>116</v>
      </c>
      <c r="B36" s="80" t="s">
        <v>131</v>
      </c>
      <c r="C36" s="592" t="s">
        <v>252</v>
      </c>
      <c r="D36" s="592"/>
      <c r="E36" s="592"/>
      <c r="F36" s="258" t="s">
        <v>253</v>
      </c>
      <c r="G36" s="148"/>
      <c r="H36" s="148"/>
      <c r="I36" s="148"/>
      <c r="J36" s="148"/>
      <c r="K36" s="152"/>
      <c r="L36" s="152"/>
      <c r="M36" s="152"/>
      <c r="N36" s="152"/>
      <c r="O36" s="152"/>
      <c r="P36" s="152"/>
      <c r="Q36" s="152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00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</row>
    <row r="37" spans="1:91" s="61" customFormat="1" ht="14.1" customHeight="1" x14ac:dyDescent="0.2">
      <c r="A37" s="303"/>
      <c r="B37" s="80"/>
      <c r="C37" s="592"/>
      <c r="D37" s="592"/>
      <c r="E37" s="69" t="s">
        <v>11</v>
      </c>
      <c r="G37" s="323">
        <f>'detailed fund u'!$G$28</f>
        <v>0</v>
      </c>
      <c r="H37" s="323"/>
      <c r="I37" s="329">
        <f t="shared" ref="I37:I39" si="53">G37+H37</f>
        <v>0</v>
      </c>
      <c r="J37" s="329">
        <f t="shared" ref="J37:J39" si="54">I37</f>
        <v>0</v>
      </c>
      <c r="K37" s="274">
        <f>'detailed fund u'!$K$28</f>
        <v>0</v>
      </c>
      <c r="L37" s="274"/>
      <c r="M37" s="274">
        <f>'detailed fund u'!$S$28</f>
        <v>0</v>
      </c>
      <c r="N37" s="275">
        <f>J37+K37-L37+M37</f>
        <v>0</v>
      </c>
      <c r="O37" s="274">
        <f>'detailed fund u'!$AA$28</f>
        <v>0</v>
      </c>
      <c r="P37" s="274">
        <f>'detailed fund u'!$AE$28</f>
        <v>0</v>
      </c>
      <c r="Q37" s="274">
        <f>'detailed fund u'!$AI$28</f>
        <v>0</v>
      </c>
      <c r="R37" s="274">
        <f>'detailed fund u'!$AM$28</f>
        <v>0</v>
      </c>
      <c r="S37" s="274">
        <f t="shared" ref="S37:S39" si="55">SUM(O37:R37)</f>
        <v>0</v>
      </c>
      <c r="T37" s="274">
        <f>'detailed fund u'!$AU$28</f>
        <v>0</v>
      </c>
      <c r="U37" s="274">
        <f>'detailed fund u'!$AY$28</f>
        <v>0</v>
      </c>
      <c r="V37" s="274">
        <f>'detailed fund u'!$BC$28</f>
        <v>0</v>
      </c>
      <c r="W37" s="274">
        <f>'detailed fund u'!$BG$28</f>
        <v>0</v>
      </c>
      <c r="X37" s="274">
        <f t="shared" ref="X37:X39" si="56">SUM(T37:W37)</f>
        <v>0</v>
      </c>
      <c r="Y37" s="274">
        <f t="shared" ref="Y37:Y39" si="57">I37-N37</f>
        <v>0</v>
      </c>
      <c r="Z37" s="274">
        <f t="shared" ref="Z37:Z39" si="58">N37-S37</f>
        <v>0</v>
      </c>
      <c r="AA37" s="274">
        <f>'detailed fund u'!$BT$28</f>
        <v>0</v>
      </c>
      <c r="AB37" s="306">
        <f t="shared" ref="AB37:AB39" si="59">+S37-X37-AA37</f>
        <v>0</v>
      </c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</row>
    <row r="38" spans="1:91" s="61" customFormat="1" ht="14.1" customHeight="1" x14ac:dyDescent="0.2">
      <c r="A38" s="303"/>
      <c r="B38" s="80"/>
      <c r="C38" s="592"/>
      <c r="D38" s="592"/>
      <c r="E38" s="69" t="s">
        <v>12</v>
      </c>
      <c r="G38" s="323">
        <f>'detailed fund u'!$H$28</f>
        <v>0</v>
      </c>
      <c r="H38" s="323"/>
      <c r="I38" s="329">
        <f t="shared" si="53"/>
        <v>0</v>
      </c>
      <c r="J38" s="329">
        <f t="shared" si="54"/>
        <v>0</v>
      </c>
      <c r="K38" s="274">
        <f>'detailed fund u'!$L$28</f>
        <v>0</v>
      </c>
      <c r="L38" s="274"/>
      <c r="M38" s="274">
        <f>'detailed fund u'!$T$28</f>
        <v>0</v>
      </c>
      <c r="N38" s="275">
        <f>J38+K38-L38+M38</f>
        <v>0</v>
      </c>
      <c r="O38" s="274">
        <f>'detailed fund u'!$AB$28</f>
        <v>0</v>
      </c>
      <c r="P38" s="274">
        <f>'detailed fund u'!$AF$28</f>
        <v>0</v>
      </c>
      <c r="Q38" s="274">
        <f>'detailed fund u'!$AJ$28</f>
        <v>0</v>
      </c>
      <c r="R38" s="274">
        <f>'detailed fund u'!$AN$28</f>
        <v>0</v>
      </c>
      <c r="S38" s="274">
        <f t="shared" si="55"/>
        <v>0</v>
      </c>
      <c r="T38" s="274">
        <f>'detailed fund u'!$AV$28</f>
        <v>0</v>
      </c>
      <c r="U38" s="274">
        <f>'detailed fund u'!$AZ$28</f>
        <v>0</v>
      </c>
      <c r="V38" s="274">
        <f>'detailed fund u'!$BD$28</f>
        <v>0</v>
      </c>
      <c r="W38" s="274">
        <f>'detailed fund u'!$BH$28</f>
        <v>0</v>
      </c>
      <c r="X38" s="274">
        <f t="shared" si="56"/>
        <v>0</v>
      </c>
      <c r="Y38" s="274">
        <f t="shared" si="57"/>
        <v>0</v>
      </c>
      <c r="Z38" s="274">
        <f t="shared" si="58"/>
        <v>0</v>
      </c>
      <c r="AA38" s="274">
        <f>'detailed fund u'!$BU$28</f>
        <v>0</v>
      </c>
      <c r="AB38" s="306">
        <f t="shared" si="59"/>
        <v>0</v>
      </c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</row>
    <row r="39" spans="1:91" s="61" customFormat="1" ht="14.1" customHeight="1" x14ac:dyDescent="0.2">
      <c r="A39" s="303"/>
      <c r="B39" s="80"/>
      <c r="C39" s="592"/>
      <c r="D39" s="592"/>
      <c r="E39" s="69" t="s">
        <v>13</v>
      </c>
      <c r="G39" s="323">
        <f>'detailed fund u'!$I$28</f>
        <v>0</v>
      </c>
      <c r="H39" s="323"/>
      <c r="I39" s="329">
        <f t="shared" si="53"/>
        <v>0</v>
      </c>
      <c r="J39" s="329">
        <f t="shared" si="54"/>
        <v>0</v>
      </c>
      <c r="K39" s="274">
        <f>'detailed fund u'!$M$28</f>
        <v>0</v>
      </c>
      <c r="L39" s="274"/>
      <c r="M39" s="274">
        <f>'detailed fund u'!$U$28</f>
        <v>0</v>
      </c>
      <c r="N39" s="275">
        <f>J39+K39-L39+M39</f>
        <v>0</v>
      </c>
      <c r="O39" s="274">
        <f>'detailed fund u'!$AC$28</f>
        <v>0</v>
      </c>
      <c r="P39" s="274">
        <f>'detailed fund u'!$AG$28</f>
        <v>0</v>
      </c>
      <c r="Q39" s="274">
        <f>'detailed fund u'!$AK$28</f>
        <v>0</v>
      </c>
      <c r="R39" s="274">
        <f>'detailed fund u'!$AO$28</f>
        <v>0</v>
      </c>
      <c r="S39" s="274">
        <f t="shared" si="55"/>
        <v>0</v>
      </c>
      <c r="T39" s="274">
        <f>'detailed fund u'!$AW$28</f>
        <v>0</v>
      </c>
      <c r="U39" s="274">
        <f>'detailed fund u'!$BA$28</f>
        <v>0</v>
      </c>
      <c r="V39" s="274">
        <f>'detailed fund u'!$BE$28</f>
        <v>0</v>
      </c>
      <c r="W39" s="274">
        <f>'detailed fund u'!$BI$28</f>
        <v>0</v>
      </c>
      <c r="X39" s="274">
        <f t="shared" si="56"/>
        <v>0</v>
      </c>
      <c r="Y39" s="274">
        <f t="shared" si="57"/>
        <v>0</v>
      </c>
      <c r="Z39" s="274">
        <f t="shared" si="58"/>
        <v>0</v>
      </c>
      <c r="AA39" s="274">
        <f>'detailed fund u'!$BV$28</f>
        <v>0</v>
      </c>
      <c r="AB39" s="306">
        <f t="shared" si="59"/>
        <v>0</v>
      </c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</row>
    <row r="40" spans="1:91" s="61" customFormat="1" ht="14.1" customHeight="1" x14ac:dyDescent="0.2">
      <c r="A40" s="303" t="s">
        <v>117</v>
      </c>
      <c r="B40" s="80" t="s">
        <v>134</v>
      </c>
      <c r="C40" s="592" t="s">
        <v>118</v>
      </c>
      <c r="D40" s="592"/>
      <c r="E40" s="592"/>
      <c r="F40" s="258" t="s">
        <v>254</v>
      </c>
      <c r="G40" s="148"/>
      <c r="H40" s="148"/>
      <c r="I40" s="148"/>
      <c r="J40" s="148"/>
      <c r="K40" s="152"/>
      <c r="L40" s="152"/>
      <c r="M40" s="152"/>
      <c r="N40" s="152"/>
      <c r="O40" s="152"/>
      <c r="P40" s="152"/>
      <c r="Q40" s="152"/>
      <c r="R40" s="340"/>
      <c r="S40" s="340"/>
      <c r="T40" s="340"/>
      <c r="U40" s="340"/>
      <c r="V40" s="340"/>
      <c r="W40" s="340"/>
      <c r="X40" s="340"/>
      <c r="Y40" s="340"/>
      <c r="Z40" s="340"/>
      <c r="AA40" s="340"/>
      <c r="AB40" s="300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</row>
    <row r="41" spans="1:91" s="61" customFormat="1" ht="14.1" customHeight="1" x14ac:dyDescent="0.2">
      <c r="A41" s="303"/>
      <c r="B41" s="80"/>
      <c r="C41" s="592"/>
      <c r="D41" s="592"/>
      <c r="E41" s="69" t="s">
        <v>11</v>
      </c>
      <c r="G41" s="323">
        <f>'detailed fund u'!$G$29</f>
        <v>0</v>
      </c>
      <c r="H41" s="323"/>
      <c r="I41" s="329">
        <f t="shared" ref="I41:I43" si="60">G41+H41</f>
        <v>0</v>
      </c>
      <c r="J41" s="329">
        <f t="shared" ref="J41:J43" si="61">I41</f>
        <v>0</v>
      </c>
      <c r="K41" s="274">
        <f>'detailed fund u'!$K$29</f>
        <v>0</v>
      </c>
      <c r="L41" s="274"/>
      <c r="M41" s="274">
        <f>'detailed fund u'!$S$29</f>
        <v>0</v>
      </c>
      <c r="N41" s="275">
        <f>J41+K41-L41+M41</f>
        <v>0</v>
      </c>
      <c r="O41" s="274">
        <f>'detailed fund u'!$AA$29</f>
        <v>0</v>
      </c>
      <c r="P41" s="274">
        <f>'detailed fund u'!$AE$29</f>
        <v>0</v>
      </c>
      <c r="Q41" s="274">
        <f>'detailed fund u'!$AI$29</f>
        <v>0</v>
      </c>
      <c r="R41" s="274">
        <f>'detailed fund u'!$AM$29</f>
        <v>0</v>
      </c>
      <c r="S41" s="274">
        <f t="shared" ref="S41:S43" si="62">SUM(O41:R41)</f>
        <v>0</v>
      </c>
      <c r="T41" s="274">
        <f>'detailed fund u'!$AU$29</f>
        <v>0</v>
      </c>
      <c r="U41" s="274">
        <f>'detailed fund u'!$AY$29</f>
        <v>0</v>
      </c>
      <c r="V41" s="274">
        <f>'detailed fund u'!$BC$29</f>
        <v>0</v>
      </c>
      <c r="W41" s="274">
        <f>'detailed fund u'!$BG$29</f>
        <v>0</v>
      </c>
      <c r="X41" s="274">
        <f t="shared" ref="X41:X43" si="63">SUM(T41:W41)</f>
        <v>0</v>
      </c>
      <c r="Y41" s="274">
        <f t="shared" ref="Y41:Y43" si="64">I41-N41</f>
        <v>0</v>
      </c>
      <c r="Z41" s="274">
        <f t="shared" ref="Z41:Z43" si="65">N41-S41</f>
        <v>0</v>
      </c>
      <c r="AA41" s="274">
        <f>'detailed fund u'!$BT$29</f>
        <v>0</v>
      </c>
      <c r="AB41" s="306">
        <f t="shared" ref="AB41:AB43" si="66">+S41-X41-AA41</f>
        <v>0</v>
      </c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</row>
    <row r="42" spans="1:91" s="61" customFormat="1" ht="14.1" customHeight="1" x14ac:dyDescent="0.2">
      <c r="A42" s="303"/>
      <c r="B42" s="80"/>
      <c r="C42" s="592"/>
      <c r="D42" s="592"/>
      <c r="E42" s="69" t="s">
        <v>12</v>
      </c>
      <c r="G42" s="323">
        <f>'detailed fund u'!$H$29</f>
        <v>0</v>
      </c>
      <c r="H42" s="323"/>
      <c r="I42" s="329">
        <f t="shared" si="60"/>
        <v>0</v>
      </c>
      <c r="J42" s="329">
        <f t="shared" si="61"/>
        <v>0</v>
      </c>
      <c r="K42" s="274">
        <f>'detailed fund u'!$L$29</f>
        <v>0</v>
      </c>
      <c r="L42" s="274"/>
      <c r="M42" s="274">
        <f>'detailed fund u'!$T$29</f>
        <v>0</v>
      </c>
      <c r="N42" s="275">
        <f>J42+K42-L42+M42</f>
        <v>0</v>
      </c>
      <c r="O42" s="274">
        <f>'detailed fund u'!$AB$29</f>
        <v>0</v>
      </c>
      <c r="P42" s="274">
        <f>'detailed fund u'!$AF$29</f>
        <v>0</v>
      </c>
      <c r="Q42" s="274">
        <f>'detailed fund u'!$AJ$29</f>
        <v>0</v>
      </c>
      <c r="R42" s="274">
        <f>'detailed fund u'!$AN$29</f>
        <v>0</v>
      </c>
      <c r="S42" s="274">
        <f t="shared" si="62"/>
        <v>0</v>
      </c>
      <c r="T42" s="274">
        <f>'detailed fund u'!$AV$29</f>
        <v>0</v>
      </c>
      <c r="U42" s="274">
        <f>'detailed fund u'!$AZ$29</f>
        <v>0</v>
      </c>
      <c r="V42" s="274">
        <f>'detailed fund u'!$BD$29</f>
        <v>0</v>
      </c>
      <c r="W42" s="274">
        <f>'detailed fund u'!$BH$29</f>
        <v>0</v>
      </c>
      <c r="X42" s="274">
        <f t="shared" si="63"/>
        <v>0</v>
      </c>
      <c r="Y42" s="274">
        <f t="shared" si="64"/>
        <v>0</v>
      </c>
      <c r="Z42" s="274">
        <f t="shared" si="65"/>
        <v>0</v>
      </c>
      <c r="AA42" s="274">
        <f>'detailed fund u'!$BU$29</f>
        <v>0</v>
      </c>
      <c r="AB42" s="306">
        <f t="shared" si="66"/>
        <v>0</v>
      </c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</row>
    <row r="43" spans="1:91" s="61" customFormat="1" ht="14.1" customHeight="1" x14ac:dyDescent="0.2">
      <c r="A43" s="303"/>
      <c r="B43" s="80"/>
      <c r="C43" s="592"/>
      <c r="D43" s="592"/>
      <c r="E43" s="69" t="s">
        <v>13</v>
      </c>
      <c r="G43" s="323">
        <f>'detailed fund u'!$I$29</f>
        <v>0</v>
      </c>
      <c r="H43" s="323"/>
      <c r="I43" s="329">
        <f t="shared" si="60"/>
        <v>0</v>
      </c>
      <c r="J43" s="329">
        <f t="shared" si="61"/>
        <v>0</v>
      </c>
      <c r="K43" s="274">
        <f>'detailed fund u'!$M$29</f>
        <v>0</v>
      </c>
      <c r="L43" s="274"/>
      <c r="M43" s="274">
        <f>'detailed fund u'!$U$29</f>
        <v>0</v>
      </c>
      <c r="N43" s="275">
        <f>J43+K43-L43+M43</f>
        <v>0</v>
      </c>
      <c r="O43" s="274">
        <f>'detailed fund u'!$AC$29</f>
        <v>0</v>
      </c>
      <c r="P43" s="274">
        <f>'detailed fund u'!$AG$29</f>
        <v>0</v>
      </c>
      <c r="Q43" s="274">
        <f>'detailed fund u'!$AK$29</f>
        <v>0</v>
      </c>
      <c r="R43" s="274">
        <f>'detailed fund u'!$AO$29</f>
        <v>0</v>
      </c>
      <c r="S43" s="274">
        <f t="shared" si="62"/>
        <v>0</v>
      </c>
      <c r="T43" s="274">
        <f>'detailed fund u'!$AW$29</f>
        <v>0</v>
      </c>
      <c r="U43" s="274">
        <f>'detailed fund u'!$BA$29</f>
        <v>0</v>
      </c>
      <c r="V43" s="274">
        <f>'detailed fund u'!$BE$29</f>
        <v>0</v>
      </c>
      <c r="W43" s="274">
        <f>'detailed fund u'!$BI$29</f>
        <v>0</v>
      </c>
      <c r="X43" s="274">
        <f t="shared" si="63"/>
        <v>0</v>
      </c>
      <c r="Y43" s="274">
        <f t="shared" si="64"/>
        <v>0</v>
      </c>
      <c r="Z43" s="274">
        <f t="shared" si="65"/>
        <v>0</v>
      </c>
      <c r="AA43" s="274">
        <f>'detailed fund u'!$BV$29</f>
        <v>0</v>
      </c>
      <c r="AB43" s="306">
        <f t="shared" si="66"/>
        <v>0</v>
      </c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</row>
    <row r="44" spans="1:91" s="61" customFormat="1" ht="14.1" customHeight="1" x14ac:dyDescent="0.2">
      <c r="A44" s="303"/>
      <c r="B44" s="80"/>
      <c r="C44" s="592"/>
      <c r="D44" s="592"/>
      <c r="E44" s="69"/>
      <c r="G44" s="323"/>
      <c r="H44" s="323"/>
      <c r="I44" s="329"/>
      <c r="J44" s="329"/>
      <c r="K44" s="274"/>
      <c r="L44" s="274"/>
      <c r="M44" s="274"/>
      <c r="N44" s="275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306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</row>
    <row r="45" spans="1:91" s="61" customFormat="1" ht="14.1" customHeight="1" x14ac:dyDescent="0.2">
      <c r="A45" s="301" t="s">
        <v>119</v>
      </c>
      <c r="B45" s="73" t="s">
        <v>120</v>
      </c>
      <c r="C45" s="73"/>
      <c r="D45" s="73"/>
      <c r="E45" s="69"/>
      <c r="F45" s="258" t="s">
        <v>255</v>
      </c>
      <c r="G45" s="324">
        <f>G46+G60</f>
        <v>37742000</v>
      </c>
      <c r="H45" s="324">
        <f t="shared" ref="H45:AB45" si="67">H46+H60</f>
        <v>0</v>
      </c>
      <c r="I45" s="324">
        <f t="shared" si="67"/>
        <v>37742000</v>
      </c>
      <c r="J45" s="324">
        <f t="shared" si="67"/>
        <v>37742000</v>
      </c>
      <c r="K45" s="334">
        <f t="shared" si="67"/>
        <v>0</v>
      </c>
      <c r="L45" s="334">
        <f t="shared" si="67"/>
        <v>0</v>
      </c>
      <c r="M45" s="334">
        <f t="shared" si="67"/>
        <v>263600</v>
      </c>
      <c r="N45" s="334">
        <f t="shared" si="67"/>
        <v>38005600</v>
      </c>
      <c r="O45" s="334">
        <f t="shared" si="67"/>
        <v>5395445.1899999995</v>
      </c>
      <c r="P45" s="334">
        <f t="shared" si="67"/>
        <v>5560437.6600000001</v>
      </c>
      <c r="Q45" s="334">
        <f t="shared" si="67"/>
        <v>7654897.25</v>
      </c>
      <c r="R45" s="334">
        <f t="shared" si="67"/>
        <v>15590063.83</v>
      </c>
      <c r="S45" s="334">
        <f t="shared" si="67"/>
        <v>34200843.93</v>
      </c>
      <c r="T45" s="334">
        <f t="shared" si="67"/>
        <v>4234933.2699999996</v>
      </c>
      <c r="U45" s="334">
        <f t="shared" si="67"/>
        <v>6025585.2999999998</v>
      </c>
      <c r="V45" s="334">
        <f t="shared" si="67"/>
        <v>8115350.4099999992</v>
      </c>
      <c r="W45" s="334">
        <f t="shared" si="67"/>
        <v>13267409.5</v>
      </c>
      <c r="X45" s="334">
        <f t="shared" si="67"/>
        <v>31643278.479999997</v>
      </c>
      <c r="Y45" s="334">
        <f t="shared" si="67"/>
        <v>-263600</v>
      </c>
      <c r="Z45" s="334">
        <f t="shared" si="67"/>
        <v>3804756.0700000012</v>
      </c>
      <c r="AA45" s="334">
        <f t="shared" si="67"/>
        <v>0</v>
      </c>
      <c r="AB45" s="308">
        <f t="shared" si="67"/>
        <v>2557565.4499999997</v>
      </c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  <c r="CL45" s="59"/>
      <c r="CM45" s="59"/>
    </row>
    <row r="46" spans="1:91" s="61" customFormat="1" ht="14.1" customHeight="1" x14ac:dyDescent="0.2">
      <c r="A46" s="593" t="s">
        <v>256</v>
      </c>
      <c r="B46" s="73"/>
      <c r="C46" s="73"/>
      <c r="D46" s="73"/>
      <c r="E46" s="73"/>
      <c r="F46" s="258" t="s">
        <v>257</v>
      </c>
      <c r="G46" s="325">
        <f>SUM(G48:G59)</f>
        <v>24344000</v>
      </c>
      <c r="H46" s="325">
        <f t="shared" ref="H46:AB46" si="68">SUM(H48:H59)</f>
        <v>0</v>
      </c>
      <c r="I46" s="325">
        <f t="shared" si="68"/>
        <v>24344000</v>
      </c>
      <c r="J46" s="325">
        <f t="shared" si="68"/>
        <v>24344000</v>
      </c>
      <c r="K46" s="335">
        <f t="shared" si="68"/>
        <v>0</v>
      </c>
      <c r="L46" s="335">
        <f t="shared" si="68"/>
        <v>0</v>
      </c>
      <c r="M46" s="335">
        <f t="shared" si="68"/>
        <v>263600</v>
      </c>
      <c r="N46" s="335">
        <f t="shared" si="68"/>
        <v>24607600</v>
      </c>
      <c r="O46" s="335">
        <f t="shared" si="68"/>
        <v>2294703.81</v>
      </c>
      <c r="P46" s="335">
        <f t="shared" si="68"/>
        <v>2352147.48</v>
      </c>
      <c r="Q46" s="335">
        <f t="shared" si="68"/>
        <v>5532845.5999999996</v>
      </c>
      <c r="R46" s="335">
        <f t="shared" si="68"/>
        <v>11617929.33</v>
      </c>
      <c r="S46" s="335">
        <f t="shared" si="68"/>
        <v>21797626.219999999</v>
      </c>
      <c r="T46" s="335">
        <f t="shared" si="68"/>
        <v>1824631.89</v>
      </c>
      <c r="U46" s="335">
        <f t="shared" si="68"/>
        <v>2634405.4</v>
      </c>
      <c r="V46" s="335">
        <f t="shared" si="68"/>
        <v>5543534.5999999996</v>
      </c>
      <c r="W46" s="335">
        <f t="shared" si="68"/>
        <v>10041950.74</v>
      </c>
      <c r="X46" s="335">
        <f t="shared" si="68"/>
        <v>20044522.629999999</v>
      </c>
      <c r="Y46" s="335">
        <f t="shared" si="68"/>
        <v>-263600</v>
      </c>
      <c r="Z46" s="335">
        <f t="shared" si="68"/>
        <v>2809973.7800000012</v>
      </c>
      <c r="AA46" s="335">
        <f t="shared" si="68"/>
        <v>0</v>
      </c>
      <c r="AB46" s="309">
        <f t="shared" si="68"/>
        <v>1753103.5899999999</v>
      </c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</row>
    <row r="47" spans="1:91" s="61" customFormat="1" ht="14.1" customHeight="1" x14ac:dyDescent="0.2">
      <c r="A47" s="303" t="s">
        <v>121</v>
      </c>
      <c r="B47" s="592" t="s">
        <v>122</v>
      </c>
      <c r="C47" s="592"/>
      <c r="D47" s="592"/>
      <c r="E47" s="592"/>
      <c r="F47" s="258" t="s">
        <v>258</v>
      </c>
      <c r="G47" s="148"/>
      <c r="H47" s="148"/>
      <c r="I47" s="148"/>
      <c r="J47" s="148"/>
      <c r="K47" s="152"/>
      <c r="L47" s="152"/>
      <c r="M47" s="152"/>
      <c r="N47" s="152"/>
      <c r="O47" s="152"/>
      <c r="P47" s="152"/>
      <c r="Q47" s="152"/>
      <c r="R47" s="340"/>
      <c r="S47" s="340"/>
      <c r="T47" s="340"/>
      <c r="U47" s="340"/>
      <c r="V47" s="340"/>
      <c r="W47" s="340"/>
      <c r="X47" s="340"/>
      <c r="Y47" s="340"/>
      <c r="Z47" s="340"/>
      <c r="AA47" s="340"/>
      <c r="AB47" s="300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</row>
    <row r="48" spans="1:91" s="61" customFormat="1" ht="14.1" customHeight="1" x14ac:dyDescent="0.2">
      <c r="A48" s="310" t="s">
        <v>123</v>
      </c>
      <c r="B48" s="71">
        <v>1</v>
      </c>
      <c r="C48" s="592" t="s">
        <v>124</v>
      </c>
      <c r="D48" s="592"/>
      <c r="E48" s="592"/>
      <c r="F48" s="258" t="s">
        <v>259</v>
      </c>
      <c r="G48" s="148"/>
      <c r="H48" s="148"/>
      <c r="I48" s="148"/>
      <c r="J48" s="148"/>
      <c r="K48" s="152"/>
      <c r="L48" s="152"/>
      <c r="M48" s="152"/>
      <c r="N48" s="152"/>
      <c r="O48" s="152"/>
      <c r="P48" s="152"/>
      <c r="Q48" s="152"/>
      <c r="R48" s="340"/>
      <c r="S48" s="340"/>
      <c r="T48" s="340"/>
      <c r="U48" s="340"/>
      <c r="V48" s="340"/>
      <c r="W48" s="340"/>
      <c r="X48" s="340"/>
      <c r="Y48" s="340"/>
      <c r="Z48" s="340"/>
      <c r="AA48" s="340"/>
      <c r="AB48" s="300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  <c r="CL48" s="59"/>
      <c r="CM48" s="59"/>
    </row>
    <row r="49" spans="1:91" s="61" customFormat="1" ht="14.1" customHeight="1" x14ac:dyDescent="0.2">
      <c r="A49" s="310"/>
      <c r="B49" s="71"/>
      <c r="C49" s="592"/>
      <c r="D49" s="592"/>
      <c r="E49" s="69" t="s">
        <v>11</v>
      </c>
      <c r="F49" s="258"/>
      <c r="G49" s="323">
        <f>'detailed fund u'!$G$32</f>
        <v>0</v>
      </c>
      <c r="H49" s="323"/>
      <c r="I49" s="329">
        <f t="shared" ref="I49:I51" si="69">G49+H49</f>
        <v>0</v>
      </c>
      <c r="J49" s="329">
        <f t="shared" ref="J49:J51" si="70">I49</f>
        <v>0</v>
      </c>
      <c r="K49" s="274">
        <f>'detailed fund u'!$K$32</f>
        <v>0</v>
      </c>
      <c r="L49" s="274"/>
      <c r="M49" s="274">
        <f>'detailed fund u'!$S$32</f>
        <v>0</v>
      </c>
      <c r="N49" s="275">
        <f>J49+K49-L49+M49</f>
        <v>0</v>
      </c>
      <c r="O49" s="274">
        <f>'detailed fund u'!$AA$32</f>
        <v>0</v>
      </c>
      <c r="P49" s="274">
        <f>'detailed fund u'!$AE$32</f>
        <v>0</v>
      </c>
      <c r="Q49" s="274">
        <f>'detailed fund u'!$AI$32</f>
        <v>0</v>
      </c>
      <c r="R49" s="274">
        <f>'detailed fund u'!$AM$32</f>
        <v>0</v>
      </c>
      <c r="S49" s="274">
        <f t="shared" ref="S49:S51" si="71">SUM(O49:R49)</f>
        <v>0</v>
      </c>
      <c r="T49" s="274">
        <f>'detailed fund u'!$AU$32</f>
        <v>0</v>
      </c>
      <c r="U49" s="274">
        <f>'detailed fund u'!$AY$32</f>
        <v>0</v>
      </c>
      <c r="V49" s="274">
        <f>'detailed fund u'!$BC$32</f>
        <v>0</v>
      </c>
      <c r="W49" s="274">
        <f>'detailed fund u'!$BG$32</f>
        <v>0</v>
      </c>
      <c r="X49" s="274">
        <f t="shared" ref="X49:X51" si="72">SUM(T49:W49)</f>
        <v>0</v>
      </c>
      <c r="Y49" s="274">
        <f t="shared" ref="Y49:Y51" si="73">I49-N49</f>
        <v>0</v>
      </c>
      <c r="Z49" s="274">
        <f t="shared" ref="Z49:Z51" si="74">N49-S49</f>
        <v>0</v>
      </c>
      <c r="AA49" s="274">
        <f>'detailed fund u'!$BT$32</f>
        <v>0</v>
      </c>
      <c r="AB49" s="306">
        <f t="shared" ref="AB49:AB51" si="75">+S49-X49-AA49</f>
        <v>0</v>
      </c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59"/>
      <c r="CL49" s="59"/>
      <c r="CM49" s="59"/>
    </row>
    <row r="50" spans="1:91" s="61" customFormat="1" ht="14.1" customHeight="1" x14ac:dyDescent="0.2">
      <c r="A50" s="310"/>
      <c r="B50" s="71"/>
      <c r="C50" s="592"/>
      <c r="D50" s="592"/>
      <c r="E50" s="69" t="s">
        <v>12</v>
      </c>
      <c r="F50" s="258"/>
      <c r="G50" s="323">
        <f>'detailed fund u'!$H$32</f>
        <v>543000</v>
      </c>
      <c r="H50" s="323"/>
      <c r="I50" s="329">
        <f t="shared" si="69"/>
        <v>543000</v>
      </c>
      <c r="J50" s="329">
        <f t="shared" si="70"/>
        <v>543000</v>
      </c>
      <c r="K50" s="274">
        <f>'detailed fund u'!$L$32</f>
        <v>0</v>
      </c>
      <c r="L50" s="274"/>
      <c r="M50" s="274">
        <f>'detailed fund u'!$T$32</f>
        <v>0</v>
      </c>
      <c r="N50" s="275">
        <f>J50+K50-L50+M50</f>
        <v>543000</v>
      </c>
      <c r="O50" s="274">
        <f>'detailed fund u'!$AB$32</f>
        <v>128269</v>
      </c>
      <c r="P50" s="274">
        <f>'detailed fund u'!$AF$32</f>
        <v>19379.2</v>
      </c>
      <c r="Q50" s="274">
        <f>'detailed fund u'!$AJ$32</f>
        <v>88631.8</v>
      </c>
      <c r="R50" s="274">
        <f>'detailed fund u'!$AN$32</f>
        <v>125520</v>
      </c>
      <c r="S50" s="274">
        <f t="shared" si="71"/>
        <v>361800</v>
      </c>
      <c r="T50" s="274">
        <f>'detailed fund u'!$AV$32</f>
        <v>128269</v>
      </c>
      <c r="U50" s="274">
        <f>'detailed fund u'!$AZ$32</f>
        <v>19379.2</v>
      </c>
      <c r="V50" s="274">
        <f>'detailed fund u'!$BD$32</f>
        <v>88631.799999999988</v>
      </c>
      <c r="W50" s="274">
        <f>'detailed fund u'!$BH$32</f>
        <v>125520</v>
      </c>
      <c r="X50" s="274">
        <f t="shared" si="72"/>
        <v>361800</v>
      </c>
      <c r="Y50" s="274">
        <f t="shared" si="73"/>
        <v>0</v>
      </c>
      <c r="Z50" s="274">
        <f t="shared" si="74"/>
        <v>181200</v>
      </c>
      <c r="AA50" s="274">
        <f>'detailed fund u'!$BU$32</f>
        <v>0</v>
      </c>
      <c r="AB50" s="306">
        <f t="shared" si="75"/>
        <v>0</v>
      </c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  <c r="CL50" s="59"/>
      <c r="CM50" s="59"/>
    </row>
    <row r="51" spans="1:91" s="61" customFormat="1" ht="14.1" customHeight="1" x14ac:dyDescent="0.2">
      <c r="A51" s="310"/>
      <c r="B51" s="71"/>
      <c r="C51" s="592"/>
      <c r="D51" s="592"/>
      <c r="E51" s="69" t="s">
        <v>13</v>
      </c>
      <c r="F51" s="258"/>
      <c r="G51" s="323">
        <f>'detailed fund u'!$I$32</f>
        <v>0</v>
      </c>
      <c r="H51" s="323"/>
      <c r="I51" s="329">
        <f t="shared" si="69"/>
        <v>0</v>
      </c>
      <c r="J51" s="329">
        <f t="shared" si="70"/>
        <v>0</v>
      </c>
      <c r="K51" s="274">
        <f>'detailed fund u'!$M$32</f>
        <v>0</v>
      </c>
      <c r="L51" s="274"/>
      <c r="M51" s="274">
        <f>'detailed fund u'!$U$32</f>
        <v>0</v>
      </c>
      <c r="N51" s="275">
        <f>J51+K51-L51+M51</f>
        <v>0</v>
      </c>
      <c r="O51" s="274">
        <f>'detailed fund u'!$AC$32</f>
        <v>0</v>
      </c>
      <c r="P51" s="274">
        <f>'detailed fund u'!$AG$32</f>
        <v>0</v>
      </c>
      <c r="Q51" s="274">
        <f>'detailed fund u'!$AK$32</f>
        <v>0</v>
      </c>
      <c r="R51" s="274">
        <f>'detailed fund u'!$AO$32</f>
        <v>0</v>
      </c>
      <c r="S51" s="274">
        <f t="shared" si="71"/>
        <v>0</v>
      </c>
      <c r="T51" s="274">
        <f>'detailed fund u'!$AW$32</f>
        <v>0</v>
      </c>
      <c r="U51" s="274">
        <f>'detailed fund u'!$BA$32</f>
        <v>0</v>
      </c>
      <c r="V51" s="274">
        <f>'detailed fund u'!$BE$32</f>
        <v>0</v>
      </c>
      <c r="W51" s="274">
        <f>'detailed fund u'!$BI$32</f>
        <v>0</v>
      </c>
      <c r="X51" s="274">
        <f t="shared" si="72"/>
        <v>0</v>
      </c>
      <c r="Y51" s="274">
        <f t="shared" si="73"/>
        <v>0</v>
      </c>
      <c r="Z51" s="274">
        <f t="shared" si="74"/>
        <v>0</v>
      </c>
      <c r="AA51" s="274">
        <f>'detailed fund u'!$BV$32</f>
        <v>0</v>
      </c>
      <c r="AB51" s="306">
        <f t="shared" si="75"/>
        <v>0</v>
      </c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</row>
    <row r="52" spans="1:91" s="61" customFormat="1" ht="14.1" customHeight="1" x14ac:dyDescent="0.2">
      <c r="A52" s="310" t="s">
        <v>553</v>
      </c>
      <c r="B52" s="78">
        <v>2</v>
      </c>
      <c r="C52" s="592" t="s">
        <v>145</v>
      </c>
      <c r="D52" s="69"/>
      <c r="E52" s="592"/>
      <c r="F52" s="258" t="s">
        <v>260</v>
      </c>
      <c r="G52" s="148"/>
      <c r="H52" s="148"/>
      <c r="I52" s="148"/>
      <c r="J52" s="148"/>
      <c r="K52" s="152"/>
      <c r="L52" s="152"/>
      <c r="M52" s="152"/>
      <c r="N52" s="152"/>
      <c r="O52" s="152"/>
      <c r="P52" s="152"/>
      <c r="Q52" s="152"/>
      <c r="R52" s="340"/>
      <c r="S52" s="340"/>
      <c r="T52" s="340"/>
      <c r="U52" s="340"/>
      <c r="V52" s="340"/>
      <c r="W52" s="340"/>
      <c r="X52" s="340"/>
      <c r="Y52" s="340"/>
      <c r="Z52" s="340"/>
      <c r="AA52" s="340"/>
      <c r="AB52" s="300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/>
      <c r="CM52" s="59"/>
    </row>
    <row r="53" spans="1:91" s="61" customFormat="1" ht="14.1" customHeight="1" x14ac:dyDescent="0.2">
      <c r="A53" s="310"/>
      <c r="B53" s="78"/>
      <c r="C53" s="592"/>
      <c r="D53" s="69"/>
      <c r="E53" s="69" t="s">
        <v>11</v>
      </c>
      <c r="F53" s="258"/>
      <c r="G53" s="323">
        <f>'detailed fund u'!$G$52</f>
        <v>0</v>
      </c>
      <c r="H53" s="323"/>
      <c r="I53" s="329">
        <f t="shared" ref="I53:I55" si="76">G53+H53</f>
        <v>0</v>
      </c>
      <c r="J53" s="329">
        <f t="shared" ref="J53:J55" si="77">I53</f>
        <v>0</v>
      </c>
      <c r="K53" s="274">
        <f>'detailed fund u'!$K$52</f>
        <v>0</v>
      </c>
      <c r="L53" s="274"/>
      <c r="M53" s="274">
        <f>'detailed fund u'!$S$52</f>
        <v>0</v>
      </c>
      <c r="N53" s="275">
        <f>J53+K53-L53+M53</f>
        <v>0</v>
      </c>
      <c r="O53" s="274">
        <f>'detailed fund u'!$AA$52</f>
        <v>0</v>
      </c>
      <c r="P53" s="274">
        <f>'detailed fund u'!$AE$52</f>
        <v>0</v>
      </c>
      <c r="Q53" s="274">
        <f>'detailed fund u'!$AI$52</f>
        <v>0</v>
      </c>
      <c r="R53" s="274">
        <f>'detailed fund u'!$AM$52</f>
        <v>0</v>
      </c>
      <c r="S53" s="274">
        <f t="shared" ref="S53:S55" si="78">SUM(O53:R53)</f>
        <v>0</v>
      </c>
      <c r="T53" s="274">
        <f>'detailed fund u'!$AU$52</f>
        <v>0</v>
      </c>
      <c r="U53" s="274">
        <f>'detailed fund u'!$AY$52</f>
        <v>0</v>
      </c>
      <c r="V53" s="274">
        <f>'detailed fund u'!$BC$52</f>
        <v>0</v>
      </c>
      <c r="W53" s="274">
        <f>'detailed fund u'!$BG$52</f>
        <v>0</v>
      </c>
      <c r="X53" s="274">
        <f t="shared" ref="X53:X55" si="79">SUM(T53:W53)</f>
        <v>0</v>
      </c>
      <c r="Y53" s="274">
        <f t="shared" ref="Y53:Y55" si="80">I53-N53</f>
        <v>0</v>
      </c>
      <c r="Z53" s="274">
        <f t="shared" ref="Z53:Z55" si="81">N53-S53</f>
        <v>0</v>
      </c>
      <c r="AA53" s="274">
        <f>'detailed fund u'!$BT$52</f>
        <v>0</v>
      </c>
      <c r="AB53" s="306">
        <f t="shared" ref="AB53:AB55" si="82">+S53-X53-AA53</f>
        <v>0</v>
      </c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</row>
    <row r="54" spans="1:91" s="61" customFormat="1" ht="14.1" customHeight="1" x14ac:dyDescent="0.2">
      <c r="A54" s="310"/>
      <c r="B54" s="78"/>
      <c r="C54" s="592"/>
      <c r="D54" s="69"/>
      <c r="E54" s="69" t="s">
        <v>12</v>
      </c>
      <c r="F54" s="258"/>
      <c r="G54" s="323">
        <f>'detailed fund u'!$H$52</f>
        <v>0</v>
      </c>
      <c r="H54" s="323"/>
      <c r="I54" s="329">
        <f t="shared" si="76"/>
        <v>0</v>
      </c>
      <c r="J54" s="329">
        <f t="shared" si="77"/>
        <v>0</v>
      </c>
      <c r="K54" s="274">
        <f>'detailed fund u'!$L$52</f>
        <v>0</v>
      </c>
      <c r="L54" s="274"/>
      <c r="M54" s="274">
        <f>'detailed fund u'!$T$52</f>
        <v>0</v>
      </c>
      <c r="N54" s="275">
        <f>J54+K54-L54+M54</f>
        <v>0</v>
      </c>
      <c r="O54" s="274">
        <f>'detailed fund u'!$AB$52</f>
        <v>0</v>
      </c>
      <c r="P54" s="274">
        <f>'detailed fund u'!$AF$52</f>
        <v>0</v>
      </c>
      <c r="Q54" s="274">
        <f>'detailed fund u'!$AJ$52</f>
        <v>0</v>
      </c>
      <c r="R54" s="274">
        <f>'detailed fund u'!$AN$52</f>
        <v>0</v>
      </c>
      <c r="S54" s="274">
        <f t="shared" si="78"/>
        <v>0</v>
      </c>
      <c r="T54" s="274">
        <f>'detailed fund u'!$AV$52</f>
        <v>0</v>
      </c>
      <c r="U54" s="274">
        <f>'detailed fund u'!$AZ$52</f>
        <v>0</v>
      </c>
      <c r="V54" s="274">
        <f>'detailed fund u'!$BD$52</f>
        <v>0</v>
      </c>
      <c r="W54" s="274">
        <f>'detailed fund u'!$BH$52</f>
        <v>0</v>
      </c>
      <c r="X54" s="274">
        <f t="shared" si="79"/>
        <v>0</v>
      </c>
      <c r="Y54" s="274">
        <f t="shared" si="80"/>
        <v>0</v>
      </c>
      <c r="Z54" s="274">
        <f t="shared" si="81"/>
        <v>0</v>
      </c>
      <c r="AA54" s="274">
        <f>'detailed fund u'!$BU$52</f>
        <v>0</v>
      </c>
      <c r="AB54" s="306">
        <f t="shared" si="82"/>
        <v>0</v>
      </c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</row>
    <row r="55" spans="1:91" s="61" customFormat="1" ht="14.1" customHeight="1" x14ac:dyDescent="0.2">
      <c r="A55" s="310"/>
      <c r="B55" s="78"/>
      <c r="C55" s="592"/>
      <c r="D55" s="69"/>
      <c r="E55" s="69" t="s">
        <v>13</v>
      </c>
      <c r="F55" s="258"/>
      <c r="G55" s="323">
        <f>'detailed fund u'!$I$52</f>
        <v>0</v>
      </c>
      <c r="H55" s="323"/>
      <c r="I55" s="329">
        <f t="shared" si="76"/>
        <v>0</v>
      </c>
      <c r="J55" s="329">
        <f t="shared" si="77"/>
        <v>0</v>
      </c>
      <c r="K55" s="274">
        <f>'detailed fund u'!$M$52</f>
        <v>0</v>
      </c>
      <c r="L55" s="274"/>
      <c r="M55" s="274">
        <f>'detailed fund u'!$U$52</f>
        <v>0</v>
      </c>
      <c r="N55" s="275">
        <f>J55+K55-L55+M55</f>
        <v>0</v>
      </c>
      <c r="O55" s="274">
        <f>'detailed fund u'!$AC$52</f>
        <v>0</v>
      </c>
      <c r="P55" s="274">
        <f>'detailed fund u'!$AG$52</f>
        <v>0</v>
      </c>
      <c r="Q55" s="274">
        <f>'detailed fund u'!$AK$52</f>
        <v>0</v>
      </c>
      <c r="R55" s="274">
        <f>'detailed fund u'!$AO$52</f>
        <v>0</v>
      </c>
      <c r="S55" s="274">
        <f t="shared" si="78"/>
        <v>0</v>
      </c>
      <c r="T55" s="274">
        <f>'detailed fund u'!$AW$52</f>
        <v>0</v>
      </c>
      <c r="U55" s="274">
        <f>'detailed fund u'!$BA$52</f>
        <v>0</v>
      </c>
      <c r="V55" s="274">
        <f>'detailed fund u'!$BE$52</f>
        <v>0</v>
      </c>
      <c r="W55" s="274">
        <f>'detailed fund u'!$BI$52</f>
        <v>0</v>
      </c>
      <c r="X55" s="274">
        <f t="shared" si="79"/>
        <v>0</v>
      </c>
      <c r="Y55" s="274">
        <f t="shared" si="80"/>
        <v>0</v>
      </c>
      <c r="Z55" s="274">
        <f t="shared" si="81"/>
        <v>0</v>
      </c>
      <c r="AA55" s="274">
        <f>'detailed fund u'!$BV$52</f>
        <v>0</v>
      </c>
      <c r="AB55" s="306">
        <f t="shared" si="82"/>
        <v>0</v>
      </c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</row>
    <row r="56" spans="1:91" s="61" customFormat="1" ht="14.1" customHeight="1" x14ac:dyDescent="0.2">
      <c r="A56" s="303" t="s">
        <v>151</v>
      </c>
      <c r="B56" s="592" t="s">
        <v>152</v>
      </c>
      <c r="C56" s="592"/>
      <c r="D56" s="592"/>
      <c r="E56" s="69"/>
      <c r="F56" s="258" t="s">
        <v>261</v>
      </c>
      <c r="G56" s="148"/>
      <c r="H56" s="148"/>
      <c r="I56" s="148"/>
      <c r="J56" s="148"/>
      <c r="K56" s="152"/>
      <c r="L56" s="152"/>
      <c r="M56" s="152"/>
      <c r="N56" s="152"/>
      <c r="O56" s="152"/>
      <c r="P56" s="152"/>
      <c r="Q56" s="152"/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00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</row>
    <row r="57" spans="1:91" s="61" customFormat="1" ht="14.1" customHeight="1" x14ac:dyDescent="0.2">
      <c r="A57" s="303"/>
      <c r="B57" s="592"/>
      <c r="C57" s="592"/>
      <c r="D57" s="592"/>
      <c r="E57" s="69" t="s">
        <v>11</v>
      </c>
      <c r="G57" s="323">
        <f>'detailed fund u'!$G$57</f>
        <v>1585000</v>
      </c>
      <c r="H57" s="323">
        <f>+'detailed fund u'!K57</f>
        <v>975000</v>
      </c>
      <c r="I57" s="329">
        <f t="shared" ref="I57:I59" si="83">G57+H57</f>
        <v>2560000</v>
      </c>
      <c r="J57" s="329">
        <f t="shared" ref="J57:J59" si="84">I57</f>
        <v>2560000</v>
      </c>
      <c r="K57" s="274">
        <f>'detailed fund u'!$K$57</f>
        <v>975000</v>
      </c>
      <c r="L57" s="274"/>
      <c r="M57" s="274">
        <f>'detailed fund u'!$S$57</f>
        <v>0</v>
      </c>
      <c r="N57" s="275">
        <f>J57+K57-L57+M57</f>
        <v>3535000</v>
      </c>
      <c r="O57" s="274">
        <f>'detailed fund u'!$AA$57</f>
        <v>1130703</v>
      </c>
      <c r="P57" s="274">
        <f>'detailed fund u'!$AE$57</f>
        <v>1090023</v>
      </c>
      <c r="Q57" s="274">
        <f>'detailed fund u'!$AI$57</f>
        <v>590199</v>
      </c>
      <c r="R57" s="274">
        <f>'detailed fund u'!$AM$57</f>
        <v>-253925</v>
      </c>
      <c r="S57" s="274">
        <f t="shared" ref="S57:S59" si="85">SUM(O57:R57)</f>
        <v>2557000</v>
      </c>
      <c r="T57" s="274">
        <f>'detailed fund u'!$AU$57</f>
        <v>860491</v>
      </c>
      <c r="U57" s="274">
        <f>'detailed fund u'!$AY$57</f>
        <v>1172921</v>
      </c>
      <c r="V57" s="274">
        <f>'detailed fund u'!$BC$57</f>
        <v>774188</v>
      </c>
      <c r="W57" s="274">
        <f>'detailed fund u'!$BG$57</f>
        <v>-250600</v>
      </c>
      <c r="X57" s="274">
        <f t="shared" ref="X57:X59" si="86">SUM(T57:W57)</f>
        <v>2557000</v>
      </c>
      <c r="Y57" s="274">
        <f t="shared" ref="Y57:Y59" si="87">I57-N57</f>
        <v>-975000</v>
      </c>
      <c r="Z57" s="274">
        <f t="shared" ref="Z57:Z59" si="88">N57-S57</f>
        <v>978000</v>
      </c>
      <c r="AA57" s="274">
        <f>'detailed fund u'!$BT$57</f>
        <v>0</v>
      </c>
      <c r="AB57" s="306">
        <f t="shared" ref="AB57:AB59" si="89">+S57-X57-AA57</f>
        <v>0</v>
      </c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  <c r="CL57" s="59"/>
      <c r="CM57" s="59"/>
    </row>
    <row r="58" spans="1:91" s="61" customFormat="1" ht="14.1" customHeight="1" x14ac:dyDescent="0.2">
      <c r="A58" s="303"/>
      <c r="B58" s="592"/>
      <c r="C58" s="592"/>
      <c r="D58" s="592"/>
      <c r="E58" s="69" t="s">
        <v>12</v>
      </c>
      <c r="G58" s="323">
        <f>'detailed fund u'!$H$57</f>
        <v>20816000</v>
      </c>
      <c r="H58" s="323">
        <f>+'detailed fund u'!L57</f>
        <v>-975000</v>
      </c>
      <c r="I58" s="329">
        <f t="shared" si="83"/>
        <v>19841000</v>
      </c>
      <c r="J58" s="329">
        <f t="shared" si="84"/>
        <v>19841000</v>
      </c>
      <c r="K58" s="274">
        <f>'detailed fund u'!$L$57</f>
        <v>-975000</v>
      </c>
      <c r="L58" s="274"/>
      <c r="M58" s="274">
        <f>'detailed fund u'!$T$57</f>
        <v>263600</v>
      </c>
      <c r="N58" s="275">
        <f>J58+K58-L58+M58</f>
        <v>19129600</v>
      </c>
      <c r="O58" s="274">
        <f>'detailed fund u'!$AB$57</f>
        <v>1035731.81</v>
      </c>
      <c r="P58" s="274">
        <f>'detailed fund u'!$AF$57</f>
        <v>1242745.28</v>
      </c>
      <c r="Q58" s="274">
        <f>'detailed fund u'!$AJ$57</f>
        <v>3454014.8</v>
      </c>
      <c r="R58" s="274">
        <f>'detailed fund u'!$AN$57</f>
        <v>11746334.33</v>
      </c>
      <c r="S58" s="274">
        <f t="shared" si="85"/>
        <v>17478826.219999999</v>
      </c>
      <c r="T58" s="274">
        <f>'detailed fund u'!$AV$57</f>
        <v>835871.8899999999</v>
      </c>
      <c r="U58" s="274">
        <f>'detailed fund u'!$AZ$57</f>
        <v>1442105.2</v>
      </c>
      <c r="V58" s="274">
        <f>'detailed fund u'!$BD$57</f>
        <v>3280714.8</v>
      </c>
      <c r="W58" s="274">
        <f>'detailed fund u'!$BH$57</f>
        <v>10167030.74</v>
      </c>
      <c r="X58" s="274">
        <f t="shared" si="86"/>
        <v>15725722.629999999</v>
      </c>
      <c r="Y58" s="274">
        <f t="shared" si="87"/>
        <v>711400</v>
      </c>
      <c r="Z58" s="274">
        <f t="shared" si="88"/>
        <v>1650773.7800000012</v>
      </c>
      <c r="AA58" s="274">
        <f>'detailed fund u'!$BU$57</f>
        <v>0</v>
      </c>
      <c r="AB58" s="306">
        <f t="shared" si="89"/>
        <v>1753103.5899999999</v>
      </c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  <c r="CL58" s="59"/>
      <c r="CM58" s="59"/>
    </row>
    <row r="59" spans="1:91" s="61" customFormat="1" ht="14.1" customHeight="1" x14ac:dyDescent="0.2">
      <c r="A59" s="303"/>
      <c r="B59" s="592"/>
      <c r="C59" s="592"/>
      <c r="D59" s="592"/>
      <c r="E59" s="69" t="s">
        <v>13</v>
      </c>
      <c r="G59" s="323">
        <f>'detailed fund u'!$I$57</f>
        <v>1400000</v>
      </c>
      <c r="H59" s="323"/>
      <c r="I59" s="329">
        <f t="shared" si="83"/>
        <v>1400000</v>
      </c>
      <c r="J59" s="329">
        <f t="shared" si="84"/>
        <v>1400000</v>
      </c>
      <c r="K59" s="274">
        <f>'detailed fund u'!$M$57</f>
        <v>0</v>
      </c>
      <c r="L59" s="274"/>
      <c r="M59" s="274">
        <f>'detailed fund u'!$U$57</f>
        <v>0</v>
      </c>
      <c r="N59" s="275">
        <f>J59+K59-L59+M59</f>
        <v>1400000</v>
      </c>
      <c r="O59" s="274">
        <f>'detailed fund u'!$AC$57</f>
        <v>0</v>
      </c>
      <c r="P59" s="274">
        <f>'detailed fund u'!$AG$57</f>
        <v>0</v>
      </c>
      <c r="Q59" s="274">
        <f>'detailed fund u'!$AK$57</f>
        <v>1400000</v>
      </c>
      <c r="R59" s="274">
        <f>'detailed fund u'!$AO$57</f>
        <v>0</v>
      </c>
      <c r="S59" s="274">
        <f t="shared" si="85"/>
        <v>1400000</v>
      </c>
      <c r="T59" s="274">
        <f>'detailed fund u'!$AW$57</f>
        <v>0</v>
      </c>
      <c r="U59" s="274">
        <f>'detailed fund u'!$BA$57</f>
        <v>0</v>
      </c>
      <c r="V59" s="274">
        <f>'detailed fund u'!$BE$57</f>
        <v>1400000</v>
      </c>
      <c r="W59" s="274">
        <f>'detailed fund u'!$BI$57</f>
        <v>0</v>
      </c>
      <c r="X59" s="274">
        <f t="shared" si="86"/>
        <v>1400000</v>
      </c>
      <c r="Y59" s="274">
        <f t="shared" si="87"/>
        <v>0</v>
      </c>
      <c r="Z59" s="274">
        <f t="shared" si="88"/>
        <v>0</v>
      </c>
      <c r="AA59" s="274">
        <f>'detailed fund u'!$BV$57</f>
        <v>0</v>
      </c>
      <c r="AB59" s="306">
        <f t="shared" si="89"/>
        <v>0</v>
      </c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  <c r="CL59" s="59"/>
      <c r="CM59" s="59"/>
    </row>
    <row r="60" spans="1:91" s="61" customFormat="1" ht="14.1" customHeight="1" x14ac:dyDescent="0.2">
      <c r="A60" s="593" t="s">
        <v>262</v>
      </c>
      <c r="B60" s="592"/>
      <c r="C60" s="592"/>
      <c r="D60" s="592"/>
      <c r="E60" s="69"/>
      <c r="F60" s="258" t="s">
        <v>263</v>
      </c>
      <c r="G60" s="325">
        <f>SUM(G62:G64)</f>
        <v>13398000</v>
      </c>
      <c r="H60" s="325">
        <f t="shared" ref="H60:AB60" si="90">SUM(H62:H64)</f>
        <v>0</v>
      </c>
      <c r="I60" s="325">
        <f t="shared" si="90"/>
        <v>13398000</v>
      </c>
      <c r="J60" s="325">
        <f t="shared" si="90"/>
        <v>13398000</v>
      </c>
      <c r="K60" s="335">
        <f t="shared" si="90"/>
        <v>0</v>
      </c>
      <c r="L60" s="335">
        <f t="shared" si="90"/>
        <v>0</v>
      </c>
      <c r="M60" s="335">
        <f t="shared" si="90"/>
        <v>0</v>
      </c>
      <c r="N60" s="335">
        <f t="shared" si="90"/>
        <v>13398000</v>
      </c>
      <c r="O60" s="335">
        <f t="shared" si="90"/>
        <v>3100741.38</v>
      </c>
      <c r="P60" s="335">
        <f t="shared" si="90"/>
        <v>3208290.1799999997</v>
      </c>
      <c r="Q60" s="335">
        <f t="shared" si="90"/>
        <v>2122051.65</v>
      </c>
      <c r="R60" s="335">
        <f t="shared" si="90"/>
        <v>3972134.5</v>
      </c>
      <c r="S60" s="335">
        <f t="shared" si="90"/>
        <v>12403217.710000001</v>
      </c>
      <c r="T60" s="335">
        <f t="shared" si="90"/>
        <v>2410301.38</v>
      </c>
      <c r="U60" s="335">
        <f t="shared" si="90"/>
        <v>3391179.9</v>
      </c>
      <c r="V60" s="335">
        <f t="shared" si="90"/>
        <v>2571815.8099999996</v>
      </c>
      <c r="W60" s="335">
        <f t="shared" si="90"/>
        <v>3225458.7600000002</v>
      </c>
      <c r="X60" s="335">
        <f t="shared" si="90"/>
        <v>11598755.85</v>
      </c>
      <c r="Y60" s="335">
        <f t="shared" si="90"/>
        <v>0</v>
      </c>
      <c r="Z60" s="335">
        <f t="shared" si="90"/>
        <v>994782.29</v>
      </c>
      <c r="AA60" s="335">
        <f t="shared" si="90"/>
        <v>0</v>
      </c>
      <c r="AB60" s="309">
        <f t="shared" si="90"/>
        <v>804461.85999999987</v>
      </c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</row>
    <row r="61" spans="1:91" ht="14.1" customHeight="1" x14ac:dyDescent="0.2">
      <c r="A61" s="303" t="s">
        <v>193</v>
      </c>
      <c r="B61" s="69" t="s">
        <v>194</v>
      </c>
      <c r="C61" s="69"/>
      <c r="D61" s="69"/>
      <c r="E61" s="69"/>
      <c r="F61" s="258" t="s">
        <v>264</v>
      </c>
      <c r="G61" s="148"/>
      <c r="H61" s="148"/>
      <c r="I61" s="148"/>
      <c r="J61" s="148"/>
      <c r="K61" s="152"/>
      <c r="L61" s="152"/>
      <c r="M61" s="152"/>
      <c r="N61" s="152"/>
      <c r="O61" s="152"/>
      <c r="P61" s="152"/>
      <c r="Q61" s="152"/>
      <c r="R61" s="340"/>
      <c r="S61" s="340"/>
      <c r="T61" s="340"/>
      <c r="U61" s="340"/>
      <c r="V61" s="340"/>
      <c r="W61" s="340"/>
      <c r="X61" s="340"/>
      <c r="Y61" s="340"/>
      <c r="Z61" s="340"/>
      <c r="AA61" s="340"/>
      <c r="AB61" s="300"/>
    </row>
    <row r="62" spans="1:91" s="90" customFormat="1" ht="14.1" customHeight="1" x14ac:dyDescent="0.2">
      <c r="A62" s="301"/>
      <c r="B62" s="73"/>
      <c r="C62" s="73"/>
      <c r="D62" s="73"/>
      <c r="E62" s="69" t="s">
        <v>11</v>
      </c>
      <c r="F62" s="91"/>
      <c r="G62" s="323">
        <f>'detailed fund u'!$G$91</f>
        <v>8378000</v>
      </c>
      <c r="H62" s="323"/>
      <c r="I62" s="329">
        <f t="shared" ref="I62:I64" si="91">G62+H62</f>
        <v>8378000</v>
      </c>
      <c r="J62" s="329">
        <f t="shared" ref="J62:J64" si="92">I62</f>
        <v>8378000</v>
      </c>
      <c r="K62" s="274">
        <f>'detailed fund u'!$K$91</f>
        <v>0</v>
      </c>
      <c r="L62" s="274"/>
      <c r="M62" s="274">
        <f>'detailed fund u'!$S$91</f>
        <v>0</v>
      </c>
      <c r="N62" s="275">
        <f>J62+K62-L62+M62</f>
        <v>8378000</v>
      </c>
      <c r="O62" s="274">
        <f>'detailed fund u'!$AA$91</f>
        <v>2823932</v>
      </c>
      <c r="P62" s="274">
        <f>'detailed fund u'!$AE$91</f>
        <v>2697655.8</v>
      </c>
      <c r="Q62" s="274">
        <f>'detailed fund u'!$AI$91</f>
        <v>1444260</v>
      </c>
      <c r="R62" s="274">
        <f>'detailed fund u'!$AM$91</f>
        <v>1394152.2</v>
      </c>
      <c r="S62" s="274">
        <f t="shared" ref="S62:S64" si="93">SUM(O62:R62)</f>
        <v>8360000</v>
      </c>
      <c r="T62" s="274">
        <f>'detailed fund u'!$AU$91</f>
        <v>2146199</v>
      </c>
      <c r="U62" s="274">
        <f>'detailed fund u'!$AY$91</f>
        <v>2867838.52</v>
      </c>
      <c r="V62" s="274">
        <f>'detailed fund u'!$BC$91</f>
        <v>1940199.16</v>
      </c>
      <c r="W62" s="274">
        <f>'detailed fund u'!$BG$91</f>
        <v>1405763.32</v>
      </c>
      <c r="X62" s="274">
        <f t="shared" ref="X62:X64" si="94">SUM(T62:W62)</f>
        <v>8360000</v>
      </c>
      <c r="Y62" s="274">
        <f t="shared" ref="Y62:Y64" si="95">I62-N62</f>
        <v>0</v>
      </c>
      <c r="Z62" s="274">
        <f t="shared" ref="Z62:Z64" si="96">N62-S62</f>
        <v>18000</v>
      </c>
      <c r="AA62" s="274">
        <f>'detailed fund u'!$BT$91</f>
        <v>0</v>
      </c>
      <c r="AB62" s="306">
        <f t="shared" ref="AB62:AB64" si="97">+S62-X62-AA62</f>
        <v>0</v>
      </c>
    </row>
    <row r="63" spans="1:91" s="90" customFormat="1" ht="14.1" customHeight="1" x14ac:dyDescent="0.2">
      <c r="A63" s="301"/>
      <c r="B63" s="73"/>
      <c r="C63" s="73"/>
      <c r="D63" s="73"/>
      <c r="E63" s="69" t="s">
        <v>12</v>
      </c>
      <c r="F63" s="91"/>
      <c r="G63" s="323">
        <f>'detailed fund u'!$H$91</f>
        <v>5020000</v>
      </c>
      <c r="H63" s="323"/>
      <c r="I63" s="329">
        <f t="shared" si="91"/>
        <v>5020000</v>
      </c>
      <c r="J63" s="329">
        <f t="shared" si="92"/>
        <v>5020000</v>
      </c>
      <c r="K63" s="274">
        <f>'detailed fund u'!$L$91</f>
        <v>0</v>
      </c>
      <c r="L63" s="274"/>
      <c r="M63" s="274">
        <f>'detailed fund u'!$T$91</f>
        <v>0</v>
      </c>
      <c r="N63" s="275">
        <f>J63+K63-L63+M63</f>
        <v>5020000</v>
      </c>
      <c r="O63" s="274">
        <f>'detailed fund u'!$AB$91</f>
        <v>276809.38</v>
      </c>
      <c r="P63" s="274">
        <f>'detailed fund u'!$AF$91</f>
        <v>510634.38</v>
      </c>
      <c r="Q63" s="274">
        <f>'detailed fund u'!$AJ$91</f>
        <v>677791.65</v>
      </c>
      <c r="R63" s="274">
        <f>'detailed fund u'!$AN$91</f>
        <v>2577982.2999999998</v>
      </c>
      <c r="S63" s="274">
        <f t="shared" si="93"/>
        <v>4043217.71</v>
      </c>
      <c r="T63" s="274">
        <f>'detailed fund u'!$AV$91</f>
        <v>264102.38</v>
      </c>
      <c r="U63" s="274">
        <f>'detailed fund u'!$AZ$91</f>
        <v>523341.38</v>
      </c>
      <c r="V63" s="274">
        <f>'detailed fund u'!$BD$91</f>
        <v>631616.64999999991</v>
      </c>
      <c r="W63" s="274">
        <f>'detailed fund u'!$BH$91</f>
        <v>1819695.4400000002</v>
      </c>
      <c r="X63" s="274">
        <f t="shared" si="94"/>
        <v>3238755.85</v>
      </c>
      <c r="Y63" s="274">
        <f t="shared" si="95"/>
        <v>0</v>
      </c>
      <c r="Z63" s="274">
        <f t="shared" si="96"/>
        <v>976782.29</v>
      </c>
      <c r="AA63" s="274">
        <f>'detailed fund u'!$BU$91</f>
        <v>0</v>
      </c>
      <c r="AB63" s="306">
        <f t="shared" si="97"/>
        <v>804461.85999999987</v>
      </c>
    </row>
    <row r="64" spans="1:91" s="90" customFormat="1" ht="14.1" customHeight="1" x14ac:dyDescent="0.2">
      <c r="A64" s="301"/>
      <c r="B64" s="73"/>
      <c r="C64" s="73"/>
      <c r="D64" s="73"/>
      <c r="E64" s="69" t="s">
        <v>13</v>
      </c>
      <c r="F64" s="91"/>
      <c r="G64" s="323">
        <f>'detailed fund u'!$I$91</f>
        <v>0</v>
      </c>
      <c r="H64" s="323"/>
      <c r="I64" s="329">
        <f t="shared" si="91"/>
        <v>0</v>
      </c>
      <c r="J64" s="329">
        <f t="shared" si="92"/>
        <v>0</v>
      </c>
      <c r="K64" s="274">
        <f>'detailed fund u'!$M$91</f>
        <v>0</v>
      </c>
      <c r="L64" s="274"/>
      <c r="M64" s="274">
        <f>'detailed fund u'!$U$91</f>
        <v>0</v>
      </c>
      <c r="N64" s="275">
        <f>J64+K64-L64+M64</f>
        <v>0</v>
      </c>
      <c r="O64" s="274">
        <f>'detailed fund u'!$AC$91</f>
        <v>0</v>
      </c>
      <c r="P64" s="274">
        <f>'detailed fund u'!$AG$91</f>
        <v>0</v>
      </c>
      <c r="Q64" s="274">
        <f>'detailed fund u'!$AK$91</f>
        <v>0</v>
      </c>
      <c r="R64" s="274">
        <f>'detailed fund u'!$AO$91</f>
        <v>0</v>
      </c>
      <c r="S64" s="274">
        <f t="shared" si="93"/>
        <v>0</v>
      </c>
      <c r="T64" s="274">
        <f>'detailed fund u'!$AW$91</f>
        <v>0</v>
      </c>
      <c r="U64" s="274">
        <f>'detailed fund u'!$BA$91</f>
        <v>0</v>
      </c>
      <c r="V64" s="274">
        <f>'detailed fund u'!$BE$91</f>
        <v>0</v>
      </c>
      <c r="W64" s="274">
        <f>'detailed fund u'!$BI$91</f>
        <v>0</v>
      </c>
      <c r="X64" s="274">
        <f t="shared" si="94"/>
        <v>0</v>
      </c>
      <c r="Y64" s="274">
        <f t="shared" si="95"/>
        <v>0</v>
      </c>
      <c r="Z64" s="274">
        <f t="shared" si="96"/>
        <v>0</v>
      </c>
      <c r="AA64" s="274">
        <f>'detailed fund u'!$BV$91</f>
        <v>0</v>
      </c>
      <c r="AB64" s="306">
        <f t="shared" si="97"/>
        <v>0</v>
      </c>
    </row>
    <row r="65" spans="1:28" s="90" customFormat="1" ht="14.1" customHeight="1" x14ac:dyDescent="0.2">
      <c r="A65" s="301"/>
      <c r="B65" s="73"/>
      <c r="C65" s="73"/>
      <c r="D65" s="73"/>
      <c r="E65" s="73"/>
      <c r="F65" s="91"/>
      <c r="G65" s="149"/>
      <c r="H65" s="149"/>
      <c r="I65" s="149"/>
      <c r="J65" s="149"/>
      <c r="K65" s="159"/>
      <c r="L65" s="159"/>
      <c r="M65" s="159"/>
      <c r="N65" s="159"/>
      <c r="O65" s="159"/>
      <c r="P65" s="159"/>
      <c r="Q65" s="159"/>
      <c r="R65" s="341"/>
      <c r="S65" s="341"/>
      <c r="T65" s="341"/>
      <c r="U65" s="341"/>
      <c r="V65" s="341"/>
      <c r="W65" s="341"/>
      <c r="X65" s="341"/>
      <c r="Y65" s="341"/>
      <c r="Z65" s="341"/>
      <c r="AA65" s="341"/>
      <c r="AB65" s="304"/>
    </row>
    <row r="66" spans="1:28" s="90" customFormat="1" ht="14.1" customHeight="1" x14ac:dyDescent="0.2">
      <c r="A66" s="942" t="s">
        <v>265</v>
      </c>
      <c r="B66" s="943"/>
      <c r="C66" s="943"/>
      <c r="D66" s="943"/>
      <c r="E66" s="943"/>
      <c r="F66" s="91"/>
      <c r="G66" s="326">
        <f>SUM(G67:G69)</f>
        <v>47588000</v>
      </c>
      <c r="H66" s="326">
        <f t="shared" ref="H66:AB66" si="98">SUM(H67:H69)</f>
        <v>0</v>
      </c>
      <c r="I66" s="326">
        <f t="shared" si="98"/>
        <v>47588000</v>
      </c>
      <c r="J66" s="326">
        <f t="shared" si="98"/>
        <v>47588000</v>
      </c>
      <c r="K66" s="336">
        <f t="shared" si="98"/>
        <v>0</v>
      </c>
      <c r="L66" s="336">
        <f t="shared" si="98"/>
        <v>0</v>
      </c>
      <c r="M66" s="336">
        <f t="shared" si="98"/>
        <v>777581.06</v>
      </c>
      <c r="N66" s="336">
        <f t="shared" si="98"/>
        <v>48365581.060000002</v>
      </c>
      <c r="O66" s="336">
        <f t="shared" si="98"/>
        <v>7618499.2400000002</v>
      </c>
      <c r="P66" s="336">
        <f t="shared" si="98"/>
        <v>7038174</v>
      </c>
      <c r="Q66" s="336">
        <f t="shared" si="98"/>
        <v>9593042.2899999991</v>
      </c>
      <c r="R66" s="336">
        <f t="shared" si="98"/>
        <v>19597007.73</v>
      </c>
      <c r="S66" s="336">
        <f t="shared" si="98"/>
        <v>43846723.260000005</v>
      </c>
      <c r="T66" s="336">
        <f t="shared" si="98"/>
        <v>6173506.3200000003</v>
      </c>
      <c r="U66" s="336">
        <f t="shared" si="98"/>
        <v>7585715.1000000006</v>
      </c>
      <c r="V66" s="336">
        <f t="shared" si="98"/>
        <v>10249954.449999999</v>
      </c>
      <c r="W66" s="336">
        <f t="shared" si="98"/>
        <v>17279981.940000001</v>
      </c>
      <c r="X66" s="336">
        <f t="shared" si="98"/>
        <v>41289157.810000002</v>
      </c>
      <c r="Y66" s="336">
        <f t="shared" si="98"/>
        <v>-777581.05999999866</v>
      </c>
      <c r="Z66" s="336">
        <f t="shared" si="98"/>
        <v>4518857.799999997</v>
      </c>
      <c r="AA66" s="336">
        <f t="shared" si="98"/>
        <v>0</v>
      </c>
      <c r="AB66" s="312">
        <f t="shared" si="98"/>
        <v>2557565.450000003</v>
      </c>
    </row>
    <row r="67" spans="1:28" s="90" customFormat="1" ht="14.1" customHeight="1" x14ac:dyDescent="0.2">
      <c r="A67" s="301"/>
      <c r="B67" s="73"/>
      <c r="C67" s="73"/>
      <c r="D67" s="73"/>
      <c r="E67" s="73" t="s">
        <v>11</v>
      </c>
      <c r="F67" s="91"/>
      <c r="G67" s="149">
        <f>G20+G25+G33+G37+G41+G49+G53+G57+G62+G29</f>
        <v>16976000</v>
      </c>
      <c r="H67" s="149">
        <f>H20+H25+H33+H37+H41+H49+H53+H57+H62+H29</f>
        <v>975000</v>
      </c>
      <c r="I67" s="329">
        <f>G67+H67</f>
        <v>17951000</v>
      </c>
      <c r="J67" s="329">
        <f t="shared" ref="J67:J69" si="99">I67</f>
        <v>17951000</v>
      </c>
      <c r="K67" s="149">
        <f t="shared" ref="K67:M67" si="100">K20+K25+K33+K37+K41+K49+K53+K57+K62+K29</f>
        <v>975000</v>
      </c>
      <c r="L67" s="149">
        <f t="shared" si="100"/>
        <v>0</v>
      </c>
      <c r="M67" s="149">
        <f t="shared" si="100"/>
        <v>218365.06</v>
      </c>
      <c r="N67" s="275">
        <f>J67-L67+M67</f>
        <v>18169365.059999999</v>
      </c>
      <c r="O67" s="149">
        <f t="shared" ref="O67:R67" si="101">O20+O25+O33+O37+O41+O49+O53+O57+O62+O29</f>
        <v>5113836</v>
      </c>
      <c r="P67" s="149">
        <f t="shared" si="101"/>
        <v>4862404.8</v>
      </c>
      <c r="Q67" s="149">
        <f t="shared" si="101"/>
        <v>3447069.15</v>
      </c>
      <c r="R67" s="149">
        <f t="shared" si="101"/>
        <v>4624104.95</v>
      </c>
      <c r="S67" s="274">
        <f t="shared" ref="S67:S69" si="102">SUM(O67:R67)</f>
        <v>18047414.900000002</v>
      </c>
      <c r="T67" s="149">
        <f t="shared" ref="T67:W67" si="103">T20+T25+T33+T37+T41+T49+T53+T57+T62+T29</f>
        <v>3895747</v>
      </c>
      <c r="U67" s="149">
        <f t="shared" si="103"/>
        <v>5183941.9800000004</v>
      </c>
      <c r="V67" s="149">
        <f t="shared" si="103"/>
        <v>4323056.3099999996</v>
      </c>
      <c r="W67" s="149">
        <f t="shared" si="103"/>
        <v>4644669.6100000003</v>
      </c>
      <c r="X67" s="274">
        <f t="shared" ref="X67:X69" si="104">SUM(T67:W67)</f>
        <v>18047414.899999999</v>
      </c>
      <c r="Y67" s="274">
        <f t="shared" ref="Y67:Y69" si="105">I67-N67</f>
        <v>-218365.05999999866</v>
      </c>
      <c r="Z67" s="274">
        <f t="shared" ref="Z67:Z69" si="106">N67-S67</f>
        <v>121950.15999999642</v>
      </c>
      <c r="AA67" s="730">
        <f>AA20+AA25+AA33+AA37+AA41+AA49+AA53+AA57+AA62+AA29</f>
        <v>0</v>
      </c>
      <c r="AB67" s="306">
        <f t="shared" ref="AB67:AB69" si="107">+S67-X67-AA67</f>
        <v>3.7252902984619141E-9</v>
      </c>
    </row>
    <row r="68" spans="1:28" s="90" customFormat="1" ht="14.1" customHeight="1" x14ac:dyDescent="0.2">
      <c r="A68" s="301"/>
      <c r="B68" s="73"/>
      <c r="C68" s="73"/>
      <c r="D68" s="73"/>
      <c r="E68" s="73" t="s">
        <v>12</v>
      </c>
      <c r="F68" s="91"/>
      <c r="G68" s="149">
        <f>G21+G26+G34+G38+G42+G50+G54+G58+G63</f>
        <v>29212000</v>
      </c>
      <c r="H68" s="149">
        <f>H21+H26+H34+H38+H42+H50+H54+H58+H63</f>
        <v>-975000</v>
      </c>
      <c r="I68" s="329">
        <f>G68+H68</f>
        <v>28237000</v>
      </c>
      <c r="J68" s="329">
        <f t="shared" si="99"/>
        <v>28237000</v>
      </c>
      <c r="K68" s="149">
        <f t="shared" ref="K68:M68" si="108">K21+K26+K34+K38+K42+K50+K54+K58+K63</f>
        <v>-975000</v>
      </c>
      <c r="L68" s="149">
        <f t="shared" si="108"/>
        <v>0</v>
      </c>
      <c r="M68" s="149">
        <f t="shared" si="108"/>
        <v>369216</v>
      </c>
      <c r="N68" s="275">
        <f t="shared" ref="N68:N69" si="109">J68-L68+M68</f>
        <v>28606216</v>
      </c>
      <c r="O68" s="149">
        <f t="shared" ref="O68:R68" si="110">O21+O26+O34+O38+O42+O50+O54+O58+O63</f>
        <v>2504663.2399999998</v>
      </c>
      <c r="P68" s="149">
        <f t="shared" si="110"/>
        <v>2175769.2000000002</v>
      </c>
      <c r="Q68" s="149">
        <f t="shared" si="110"/>
        <v>4613923.3</v>
      </c>
      <c r="R68" s="149">
        <f t="shared" si="110"/>
        <v>14972902.780000001</v>
      </c>
      <c r="S68" s="274">
        <f t="shared" si="102"/>
        <v>24267258.52</v>
      </c>
      <c r="T68" s="149">
        <f t="shared" ref="T68:W68" si="111">T21+T26+T34+T38+T42+T50+T54+T58+T63</f>
        <v>2277759.3199999998</v>
      </c>
      <c r="U68" s="149">
        <f t="shared" si="111"/>
        <v>2401773.12</v>
      </c>
      <c r="V68" s="149">
        <f t="shared" si="111"/>
        <v>4394848.3</v>
      </c>
      <c r="W68" s="149">
        <f t="shared" si="111"/>
        <v>12635312.33</v>
      </c>
      <c r="X68" s="274">
        <f t="shared" si="104"/>
        <v>21709693.07</v>
      </c>
      <c r="Y68" s="274">
        <f t="shared" si="105"/>
        <v>-369216</v>
      </c>
      <c r="Z68" s="274">
        <f t="shared" si="106"/>
        <v>4338957.4800000004</v>
      </c>
      <c r="AA68" s="159">
        <f>AA21+AA26+AA34+AA38+AA42+AA50+AA54+AA58+AA63</f>
        <v>0</v>
      </c>
      <c r="AB68" s="306">
        <f t="shared" si="107"/>
        <v>2557565.4499999993</v>
      </c>
    </row>
    <row r="69" spans="1:28" s="90" customFormat="1" ht="14.1" customHeight="1" x14ac:dyDescent="0.2">
      <c r="A69" s="301"/>
      <c r="B69" s="73"/>
      <c r="C69" s="73"/>
      <c r="D69" s="73"/>
      <c r="E69" s="73" t="s">
        <v>13</v>
      </c>
      <c r="F69" s="91"/>
      <c r="G69" s="149">
        <f>G22+G27+G35+G39+G43+G51+G55+G59+G64</f>
        <v>1400000</v>
      </c>
      <c r="H69" s="149">
        <f>H22+H27+H35+H39+H43+H51+H55+H59+H64</f>
        <v>0</v>
      </c>
      <c r="I69" s="329">
        <f t="shared" ref="I69" si="112">G69+H69</f>
        <v>1400000</v>
      </c>
      <c r="J69" s="329">
        <f t="shared" si="99"/>
        <v>1400000</v>
      </c>
      <c r="K69" s="149">
        <f t="shared" ref="K69:M69" si="113">K22+K27+K35+K39+K43+K51+K55+K59+K64</f>
        <v>0</v>
      </c>
      <c r="L69" s="149">
        <f t="shared" si="113"/>
        <v>0</v>
      </c>
      <c r="M69" s="149">
        <f t="shared" si="113"/>
        <v>190000</v>
      </c>
      <c r="N69" s="275">
        <f t="shared" si="109"/>
        <v>1590000</v>
      </c>
      <c r="O69" s="149">
        <f t="shared" ref="O69:R69" si="114">O22+O27+O35+O39+O43+O51+O55+O59+O64</f>
        <v>0</v>
      </c>
      <c r="P69" s="149">
        <f t="shared" si="114"/>
        <v>0</v>
      </c>
      <c r="Q69" s="149">
        <f t="shared" si="114"/>
        <v>1532049.84</v>
      </c>
      <c r="R69" s="149">
        <f t="shared" si="114"/>
        <v>0</v>
      </c>
      <c r="S69" s="274">
        <f t="shared" si="102"/>
        <v>1532049.84</v>
      </c>
      <c r="T69" s="149">
        <f t="shared" ref="T69:W69" si="115">T22+T27+T35+T39+T43+T51+T55+T59+T64</f>
        <v>0</v>
      </c>
      <c r="U69" s="149">
        <f t="shared" si="115"/>
        <v>0</v>
      </c>
      <c r="V69" s="149">
        <f t="shared" si="115"/>
        <v>1532049.84</v>
      </c>
      <c r="W69" s="149">
        <f t="shared" si="115"/>
        <v>0</v>
      </c>
      <c r="X69" s="274">
        <f t="shared" si="104"/>
        <v>1532049.84</v>
      </c>
      <c r="Y69" s="274">
        <f t="shared" si="105"/>
        <v>-190000</v>
      </c>
      <c r="Z69" s="274">
        <f t="shared" si="106"/>
        <v>57950.159999999916</v>
      </c>
      <c r="AA69" s="159">
        <f>AA22+AA27+AA35+AA39+AA43+AA51+AA55+AA59+AA64</f>
        <v>0</v>
      </c>
      <c r="AB69" s="306">
        <f t="shared" si="107"/>
        <v>0</v>
      </c>
    </row>
    <row r="70" spans="1:28" s="90" customFormat="1" ht="14.1" customHeight="1" x14ac:dyDescent="0.2">
      <c r="A70" s="301"/>
      <c r="B70" s="73"/>
      <c r="C70" s="73"/>
      <c r="D70" s="73"/>
      <c r="E70" s="73"/>
      <c r="F70" s="91"/>
      <c r="G70" s="149"/>
      <c r="H70" s="149"/>
      <c r="I70" s="149"/>
      <c r="J70" s="149"/>
      <c r="K70" s="159"/>
      <c r="L70" s="159"/>
      <c r="M70" s="159"/>
      <c r="N70" s="159"/>
      <c r="O70" s="159"/>
      <c r="P70" s="159"/>
      <c r="Q70" s="159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04"/>
    </row>
    <row r="71" spans="1:28" ht="14.1" customHeight="1" x14ac:dyDescent="0.2">
      <c r="A71" s="279" t="s">
        <v>682</v>
      </c>
      <c r="B71" s="102"/>
      <c r="C71" s="103"/>
      <c r="D71" s="104"/>
      <c r="E71" s="103"/>
      <c r="G71" s="324"/>
      <c r="H71" s="324"/>
      <c r="I71" s="324"/>
      <c r="J71" s="324"/>
      <c r="K71" s="334"/>
      <c r="L71" s="334"/>
      <c r="M71" s="334"/>
      <c r="N71" s="334"/>
      <c r="O71" s="334"/>
      <c r="P71" s="334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08"/>
    </row>
    <row r="72" spans="1:28" s="87" customFormat="1" ht="14.1" customHeight="1" x14ac:dyDescent="0.2">
      <c r="A72" s="313"/>
      <c r="B72" s="286" t="s">
        <v>266</v>
      </c>
      <c r="C72" s="287"/>
      <c r="D72" s="286"/>
      <c r="E72" s="287"/>
      <c r="F72" s="258" t="s">
        <v>267</v>
      </c>
      <c r="G72" s="324">
        <f>SUM(G73:G83)</f>
        <v>1659000</v>
      </c>
      <c r="H72" s="324">
        <f t="shared" ref="H72:AB72" si="116">SUM(H73:H83)</f>
        <v>0</v>
      </c>
      <c r="I72" s="324">
        <f t="shared" si="116"/>
        <v>1659000</v>
      </c>
      <c r="J72" s="324">
        <f t="shared" si="116"/>
        <v>1659000</v>
      </c>
      <c r="K72" s="334">
        <f t="shared" si="116"/>
        <v>0</v>
      </c>
      <c r="L72" s="334">
        <f t="shared" si="116"/>
        <v>0</v>
      </c>
      <c r="M72" s="334">
        <f t="shared" si="116"/>
        <v>119000</v>
      </c>
      <c r="N72" s="334">
        <f t="shared" si="116"/>
        <v>1778000</v>
      </c>
      <c r="O72" s="334">
        <f t="shared" si="116"/>
        <v>537358.32000000007</v>
      </c>
      <c r="P72" s="334">
        <f t="shared" si="116"/>
        <v>404773.9</v>
      </c>
      <c r="Q72" s="334">
        <f t="shared" si="116"/>
        <v>404706.95999999996</v>
      </c>
      <c r="R72" s="334">
        <f t="shared" si="116"/>
        <v>269994.68</v>
      </c>
      <c r="S72" s="334">
        <f t="shared" si="116"/>
        <v>1616833.86</v>
      </c>
      <c r="T72" s="334">
        <f t="shared" si="116"/>
        <v>402512.64000000001</v>
      </c>
      <c r="U72" s="334">
        <f t="shared" si="116"/>
        <v>539439.35999999999</v>
      </c>
      <c r="V72" s="334">
        <f t="shared" si="116"/>
        <v>404887.18</v>
      </c>
      <c r="W72" s="334">
        <f t="shared" si="116"/>
        <v>269993.68000000005</v>
      </c>
      <c r="X72" s="334">
        <f t="shared" si="116"/>
        <v>1616832.8599999999</v>
      </c>
      <c r="Y72" s="334">
        <f t="shared" si="116"/>
        <v>-119000</v>
      </c>
      <c r="Z72" s="334">
        <f t="shared" si="116"/>
        <v>161166.14000000001</v>
      </c>
      <c r="AA72" s="334">
        <f t="shared" si="116"/>
        <v>1</v>
      </c>
      <c r="AB72" s="308">
        <f t="shared" si="116"/>
        <v>1.1641532182693481E-10</v>
      </c>
    </row>
    <row r="73" spans="1:28" ht="14.1" customHeight="1" x14ac:dyDescent="0.2">
      <c r="A73" s="140"/>
      <c r="B73" s="592"/>
      <c r="C73" s="69" t="s">
        <v>101</v>
      </c>
      <c r="D73" s="109" t="s">
        <v>102</v>
      </c>
      <c r="E73" s="109"/>
      <c r="G73" s="148"/>
      <c r="H73" s="148"/>
      <c r="I73" s="148"/>
      <c r="J73" s="148"/>
      <c r="K73" s="152"/>
      <c r="L73" s="152"/>
      <c r="M73" s="152"/>
      <c r="N73" s="152"/>
      <c r="O73" s="152"/>
      <c r="P73" s="152"/>
      <c r="Q73" s="152"/>
      <c r="R73" s="340"/>
      <c r="S73" s="340"/>
      <c r="T73" s="340"/>
      <c r="U73" s="340"/>
      <c r="V73" s="340"/>
      <c r="W73" s="340"/>
      <c r="X73" s="340"/>
      <c r="Y73" s="340"/>
      <c r="Z73" s="340"/>
      <c r="AA73" s="340"/>
      <c r="AB73" s="300"/>
    </row>
    <row r="74" spans="1:28" ht="14.1" customHeight="1" x14ac:dyDescent="0.2">
      <c r="A74" s="140"/>
      <c r="B74" s="78"/>
      <c r="C74" s="69"/>
      <c r="D74" s="109" t="s">
        <v>103</v>
      </c>
      <c r="E74" s="109" t="s">
        <v>104</v>
      </c>
      <c r="G74" s="323">
        <f>'detailed fund u'!$G$156</f>
        <v>658000</v>
      </c>
      <c r="H74" s="323"/>
      <c r="I74" s="329">
        <f t="shared" ref="I74:I75" si="117">G74+H74</f>
        <v>658000</v>
      </c>
      <c r="J74" s="329">
        <f t="shared" ref="J74:J75" si="118">I74</f>
        <v>658000</v>
      </c>
      <c r="K74" s="274">
        <f>'detailed fund u'!$K$156</f>
        <v>0</v>
      </c>
      <c r="L74" s="274"/>
      <c r="M74" s="274">
        <f>'detailed fund u'!$S$156</f>
        <v>119000</v>
      </c>
      <c r="N74" s="275">
        <f>J74+K74-L74+M74</f>
        <v>777000</v>
      </c>
      <c r="O74" s="274">
        <f>'detailed fund u'!$AA$156</f>
        <v>117657.12</v>
      </c>
      <c r="P74" s="274">
        <f>'detailed fund u'!$AE$156</f>
        <v>88242.84</v>
      </c>
      <c r="Q74" s="274">
        <f>'detailed fund u'!$AI$156</f>
        <v>88242.84</v>
      </c>
      <c r="R74" s="274">
        <f>'detailed fund u'!$AM$156</f>
        <v>321691.06</v>
      </c>
      <c r="S74" s="274">
        <f t="shared" ref="S74:S75" si="119">SUM(O74:R74)</f>
        <v>615833.86</v>
      </c>
      <c r="T74" s="274">
        <f>'detailed fund u'!$AU$156</f>
        <v>88242.84</v>
      </c>
      <c r="U74" s="274">
        <f>'detailed fund u'!$AY$156</f>
        <v>117657.12</v>
      </c>
      <c r="V74" s="274">
        <f>'detailed fund u'!$BC$156</f>
        <v>88242.84</v>
      </c>
      <c r="W74" s="274">
        <f>'detailed fund u'!$BG$156</f>
        <v>321690.06</v>
      </c>
      <c r="X74" s="274">
        <f t="shared" ref="X74:X75" si="120">SUM(T74:W74)</f>
        <v>615832.86</v>
      </c>
      <c r="Y74" s="274">
        <f t="shared" ref="Y74:Y75" si="121">I74-N74</f>
        <v>-119000</v>
      </c>
      <c r="Z74" s="274">
        <f t="shared" ref="Z74:Z75" si="122">N74-S74</f>
        <v>161166.14000000001</v>
      </c>
      <c r="AA74" s="274">
        <f>'detailed fund u'!$BT$156</f>
        <v>1</v>
      </c>
      <c r="AB74" s="306">
        <f>+S74-X74-AA74</f>
        <v>0</v>
      </c>
    </row>
    <row r="75" spans="1:28" ht="14.1" customHeight="1" x14ac:dyDescent="0.2">
      <c r="A75" s="140"/>
      <c r="B75" s="78"/>
      <c r="C75" s="69"/>
      <c r="D75" s="109" t="s">
        <v>110</v>
      </c>
      <c r="E75" s="109" t="s">
        <v>531</v>
      </c>
      <c r="G75" s="323">
        <f>'detailed fund u'!$G$157</f>
        <v>0</v>
      </c>
      <c r="H75" s="323"/>
      <c r="I75" s="329">
        <f t="shared" si="117"/>
        <v>0</v>
      </c>
      <c r="J75" s="329">
        <f t="shared" si="118"/>
        <v>0</v>
      </c>
      <c r="K75" s="274">
        <f>'detailed fund u'!$K$157</f>
        <v>0</v>
      </c>
      <c r="L75" s="274"/>
      <c r="M75" s="274">
        <f>'detailed fund u'!$S$157</f>
        <v>0</v>
      </c>
      <c r="N75" s="275">
        <f>J75+K75-L75+M75</f>
        <v>0</v>
      </c>
      <c r="O75" s="274">
        <f>'detailed fund u'!$AA$157</f>
        <v>0</v>
      </c>
      <c r="P75" s="274">
        <f>'detailed fund u'!$AE$157</f>
        <v>0</v>
      </c>
      <c r="Q75" s="274">
        <f>'detailed fund u'!$AI$157</f>
        <v>0</v>
      </c>
      <c r="R75" s="274">
        <f>'detailed fund u'!$AM$157</f>
        <v>0</v>
      </c>
      <c r="S75" s="274">
        <f t="shared" si="119"/>
        <v>0</v>
      </c>
      <c r="T75" s="274">
        <f>'detailed fund u'!$AU$157</f>
        <v>0</v>
      </c>
      <c r="U75" s="274">
        <f>'detailed fund u'!$AY$157</f>
        <v>0</v>
      </c>
      <c r="V75" s="274">
        <f>'detailed fund u'!$BC$157</f>
        <v>0</v>
      </c>
      <c r="W75" s="274">
        <f>'detailed fund u'!$BG$157</f>
        <v>0</v>
      </c>
      <c r="X75" s="274">
        <f t="shared" si="120"/>
        <v>0</v>
      </c>
      <c r="Y75" s="274">
        <f t="shared" si="121"/>
        <v>0</v>
      </c>
      <c r="Z75" s="274">
        <f t="shared" si="122"/>
        <v>0</v>
      </c>
      <c r="AA75" s="274">
        <f>'detailed fund u'!$BT$157</f>
        <v>0</v>
      </c>
      <c r="AB75" s="306">
        <f t="shared" ref="AB75" si="123">+S75-X75-AA75</f>
        <v>0</v>
      </c>
    </row>
    <row r="76" spans="1:28" ht="14.1" customHeight="1" x14ac:dyDescent="0.2">
      <c r="A76" s="140"/>
      <c r="B76" s="78"/>
      <c r="C76" s="69" t="s">
        <v>112</v>
      </c>
      <c r="D76" s="109" t="s">
        <v>532</v>
      </c>
      <c r="E76" s="109"/>
      <c r="G76" s="148"/>
      <c r="H76" s="148"/>
      <c r="I76" s="148"/>
      <c r="J76" s="148"/>
      <c r="K76" s="152"/>
      <c r="L76" s="152"/>
      <c r="M76" s="152"/>
      <c r="N76" s="152"/>
      <c r="O76" s="152"/>
      <c r="P76" s="152"/>
      <c r="Q76" s="152"/>
      <c r="R76" s="340"/>
      <c r="S76" s="340"/>
      <c r="T76" s="340"/>
      <c r="U76" s="340"/>
      <c r="V76" s="340"/>
      <c r="W76" s="340"/>
      <c r="X76" s="340"/>
      <c r="Y76" s="340"/>
      <c r="Z76" s="340"/>
      <c r="AA76" s="340"/>
      <c r="AB76" s="300"/>
    </row>
    <row r="77" spans="1:28" ht="14.1" customHeight="1" x14ac:dyDescent="0.2">
      <c r="A77" s="140"/>
      <c r="B77" s="78"/>
      <c r="C77" s="69"/>
      <c r="D77" s="109" t="s">
        <v>114</v>
      </c>
      <c r="E77" s="109" t="s">
        <v>115</v>
      </c>
      <c r="G77" s="323">
        <f>'detailed fund u'!$G$159</f>
        <v>0</v>
      </c>
      <c r="H77" s="323"/>
      <c r="I77" s="329">
        <f t="shared" ref="I77:I79" si="124">G77+H77</f>
        <v>0</v>
      </c>
      <c r="J77" s="329">
        <f t="shared" ref="J77:J79" si="125">I77</f>
        <v>0</v>
      </c>
      <c r="K77" s="274">
        <f>'detailed fund u'!$K$159</f>
        <v>0</v>
      </c>
      <c r="L77" s="274"/>
      <c r="M77" s="274">
        <f>'detailed fund u'!$S$159</f>
        <v>0</v>
      </c>
      <c r="N77" s="275">
        <f t="shared" ref="N77:N79" si="126">J77+K77-L77+M77</f>
        <v>0</v>
      </c>
      <c r="O77" s="274">
        <f>'detailed fund u'!$AA$159</f>
        <v>0</v>
      </c>
      <c r="P77" s="274">
        <f>'detailed fund u'!$AE$159</f>
        <v>0</v>
      </c>
      <c r="Q77" s="274">
        <f>'detailed fund u'!$AI$159</f>
        <v>0</v>
      </c>
      <c r="R77" s="274">
        <f>'detailed fund u'!$AM$159</f>
        <v>0</v>
      </c>
      <c r="S77" s="274">
        <f t="shared" ref="S77:S79" si="127">SUM(O77:R77)</f>
        <v>0</v>
      </c>
      <c r="T77" s="274">
        <f>'detailed fund u'!$AU$159</f>
        <v>0</v>
      </c>
      <c r="U77" s="274">
        <f>'detailed fund u'!$AY$159</f>
        <v>0</v>
      </c>
      <c r="V77" s="274">
        <f>'detailed fund u'!$BC$159</f>
        <v>0</v>
      </c>
      <c r="W77" s="274">
        <f>'detailed fund u'!$BG$159</f>
        <v>0</v>
      </c>
      <c r="X77" s="274">
        <f t="shared" ref="X77:X79" si="128">SUM(T77:W77)</f>
        <v>0</v>
      </c>
      <c r="Y77" s="274">
        <f t="shared" ref="Y77:Y79" si="129">I77-N77</f>
        <v>0</v>
      </c>
      <c r="Z77" s="274">
        <f t="shared" ref="Z77:Z79" si="130">N77-S77</f>
        <v>0</v>
      </c>
      <c r="AA77" s="274">
        <f>'detailed fund u'!$BT$159</f>
        <v>0</v>
      </c>
      <c r="AB77" s="306">
        <f t="shared" ref="AB77:AB79" si="131">+S77-X77-AA77</f>
        <v>0</v>
      </c>
    </row>
    <row r="78" spans="1:28" ht="14.1" customHeight="1" x14ac:dyDescent="0.2">
      <c r="A78" s="140"/>
      <c r="B78" s="78"/>
      <c r="C78" s="69"/>
      <c r="D78" s="109" t="s">
        <v>116</v>
      </c>
      <c r="E78" s="109" t="s">
        <v>252</v>
      </c>
      <c r="G78" s="323">
        <f>'detailed fund u'!$G$160</f>
        <v>0</v>
      </c>
      <c r="H78" s="323"/>
      <c r="I78" s="329">
        <f t="shared" si="124"/>
        <v>0</v>
      </c>
      <c r="J78" s="329">
        <f t="shared" si="125"/>
        <v>0</v>
      </c>
      <c r="K78" s="274">
        <f>'detailed fund u'!$K$160</f>
        <v>0</v>
      </c>
      <c r="L78" s="274"/>
      <c r="M78" s="274">
        <f>'detailed fund u'!$S$160</f>
        <v>0</v>
      </c>
      <c r="N78" s="275">
        <f t="shared" si="126"/>
        <v>0</v>
      </c>
      <c r="O78" s="274">
        <f>'detailed fund u'!$AA$160</f>
        <v>0</v>
      </c>
      <c r="P78" s="274">
        <f>'detailed fund u'!$AE$160</f>
        <v>0</v>
      </c>
      <c r="Q78" s="274">
        <f>'detailed fund u'!$AI$160</f>
        <v>0</v>
      </c>
      <c r="R78" s="274">
        <f>'detailed fund u'!$AM$160</f>
        <v>0</v>
      </c>
      <c r="S78" s="274">
        <f t="shared" si="127"/>
        <v>0</v>
      </c>
      <c r="T78" s="274">
        <f>'detailed fund u'!$AU$160</f>
        <v>0</v>
      </c>
      <c r="U78" s="274">
        <f>'detailed fund u'!$AY$160</f>
        <v>0</v>
      </c>
      <c r="V78" s="274">
        <f>'detailed fund u'!$BC$160</f>
        <v>0</v>
      </c>
      <c r="W78" s="274">
        <f>'detailed fund u'!$BG$160</f>
        <v>0</v>
      </c>
      <c r="X78" s="274">
        <f t="shared" si="128"/>
        <v>0</v>
      </c>
      <c r="Y78" s="274">
        <f t="shared" si="129"/>
        <v>0</v>
      </c>
      <c r="Z78" s="274">
        <f t="shared" si="130"/>
        <v>0</v>
      </c>
      <c r="AA78" s="274">
        <f>'detailed fund u'!$BT$160</f>
        <v>0</v>
      </c>
      <c r="AB78" s="306">
        <f t="shared" si="131"/>
        <v>0</v>
      </c>
    </row>
    <row r="79" spans="1:28" ht="14.1" customHeight="1" x14ac:dyDescent="0.2">
      <c r="A79" s="140"/>
      <c r="B79" s="78"/>
      <c r="C79" s="69"/>
      <c r="D79" s="109" t="s">
        <v>117</v>
      </c>
      <c r="E79" s="109" t="s">
        <v>118</v>
      </c>
      <c r="G79" s="323">
        <f>'detailed fund u'!$G$161</f>
        <v>0</v>
      </c>
      <c r="H79" s="323"/>
      <c r="I79" s="329">
        <f t="shared" si="124"/>
        <v>0</v>
      </c>
      <c r="J79" s="329">
        <f t="shared" si="125"/>
        <v>0</v>
      </c>
      <c r="K79" s="274">
        <f>'detailed fund u'!$K$161</f>
        <v>0</v>
      </c>
      <c r="L79" s="274"/>
      <c r="M79" s="274">
        <f>'detailed fund u'!$S$161</f>
        <v>0</v>
      </c>
      <c r="N79" s="275">
        <f t="shared" si="126"/>
        <v>0</v>
      </c>
      <c r="O79" s="274">
        <f>'detailed fund u'!$AA$161</f>
        <v>0</v>
      </c>
      <c r="P79" s="274">
        <f>'detailed fund u'!$AE$161</f>
        <v>0</v>
      </c>
      <c r="Q79" s="274">
        <f>'detailed fund u'!$AI$161</f>
        <v>0</v>
      </c>
      <c r="R79" s="274">
        <f>'detailed fund u'!$AM$161</f>
        <v>0</v>
      </c>
      <c r="S79" s="274">
        <f t="shared" si="127"/>
        <v>0</v>
      </c>
      <c r="T79" s="274">
        <f>'detailed fund u'!$AU$161</f>
        <v>0</v>
      </c>
      <c r="U79" s="274">
        <f>'detailed fund u'!$AY$161</f>
        <v>0</v>
      </c>
      <c r="V79" s="274">
        <f>'detailed fund u'!$BC$161</f>
        <v>0</v>
      </c>
      <c r="W79" s="274">
        <f>'detailed fund u'!$BG$161</f>
        <v>0</v>
      </c>
      <c r="X79" s="274">
        <f t="shared" si="128"/>
        <v>0</v>
      </c>
      <c r="Y79" s="274">
        <f t="shared" si="129"/>
        <v>0</v>
      </c>
      <c r="Z79" s="274">
        <f t="shared" si="130"/>
        <v>0</v>
      </c>
      <c r="AA79" s="274">
        <f>'detailed fund u'!$BT$161</f>
        <v>0</v>
      </c>
      <c r="AB79" s="306">
        <f t="shared" si="131"/>
        <v>0</v>
      </c>
    </row>
    <row r="80" spans="1:28" ht="14.1" customHeight="1" x14ac:dyDescent="0.2">
      <c r="A80" s="140"/>
      <c r="B80" s="78"/>
      <c r="C80" s="69" t="s">
        <v>119</v>
      </c>
      <c r="D80" s="109" t="s">
        <v>120</v>
      </c>
      <c r="E80" s="109"/>
      <c r="G80" s="148"/>
      <c r="H80" s="148"/>
      <c r="I80" s="148"/>
      <c r="J80" s="148"/>
      <c r="K80" s="152"/>
      <c r="L80" s="152"/>
      <c r="M80" s="152"/>
      <c r="N80" s="152"/>
      <c r="O80" s="152"/>
      <c r="P80" s="152"/>
      <c r="Q80" s="152"/>
      <c r="R80" s="340"/>
      <c r="S80" s="340"/>
      <c r="T80" s="340"/>
      <c r="U80" s="340"/>
      <c r="V80" s="340"/>
      <c r="W80" s="340"/>
      <c r="X80" s="340"/>
      <c r="Y80" s="340"/>
      <c r="Z80" s="340"/>
      <c r="AA80" s="340"/>
      <c r="AB80" s="300"/>
    </row>
    <row r="81" spans="1:91" ht="14.1" customHeight="1" x14ac:dyDescent="0.2">
      <c r="A81" s="140"/>
      <c r="B81" s="78"/>
      <c r="C81" s="69"/>
      <c r="D81" s="109" t="s">
        <v>121</v>
      </c>
      <c r="E81" s="109" t="s">
        <v>122</v>
      </c>
      <c r="G81" s="323">
        <f>'detailed fund u'!$G$163</f>
        <v>0</v>
      </c>
      <c r="H81" s="323"/>
      <c r="I81" s="329">
        <f t="shared" ref="I81:I83" si="132">G81+H81</f>
        <v>0</v>
      </c>
      <c r="J81" s="329">
        <f t="shared" ref="J81:J83" si="133">I81</f>
        <v>0</v>
      </c>
      <c r="K81" s="274">
        <f>'detailed fund u'!$K$163</f>
        <v>0</v>
      </c>
      <c r="L81" s="274"/>
      <c r="M81" s="274">
        <f>'detailed fund u'!$S$163</f>
        <v>0</v>
      </c>
      <c r="N81" s="275">
        <f t="shared" ref="N81:N83" si="134">J81+K81-L81+M81</f>
        <v>0</v>
      </c>
      <c r="O81" s="274">
        <f>'detailed fund u'!$AA$163</f>
        <v>0</v>
      </c>
      <c r="P81" s="274">
        <f>'detailed fund u'!$AE$163</f>
        <v>0</v>
      </c>
      <c r="Q81" s="274">
        <f>'detailed fund u'!$AI$163</f>
        <v>0</v>
      </c>
      <c r="R81" s="274">
        <f>'detailed fund u'!$AM$163</f>
        <v>0</v>
      </c>
      <c r="S81" s="274">
        <f t="shared" ref="S81:S83" si="135">SUM(O81:R81)</f>
        <v>0</v>
      </c>
      <c r="T81" s="274">
        <f>'detailed fund u'!$AU$163</f>
        <v>0</v>
      </c>
      <c r="U81" s="274">
        <f>'detailed fund u'!$AY$163</f>
        <v>0</v>
      </c>
      <c r="V81" s="274">
        <f>'detailed fund u'!$BC$163</f>
        <v>0</v>
      </c>
      <c r="W81" s="274">
        <f>'detailed fund u'!$BG$163</f>
        <v>0</v>
      </c>
      <c r="X81" s="274">
        <f t="shared" ref="X81:X83" si="136">SUM(T81:W81)</f>
        <v>0</v>
      </c>
      <c r="Y81" s="274">
        <f t="shared" ref="Y81:Y83" si="137">I81-N81</f>
        <v>0</v>
      </c>
      <c r="Z81" s="274">
        <f t="shared" ref="Z81:Z83" si="138">N81-S81</f>
        <v>0</v>
      </c>
      <c r="AA81" s="274">
        <f>'detailed fund u'!$BT$163</f>
        <v>0</v>
      </c>
      <c r="AB81" s="306">
        <f t="shared" ref="AB81:AB83" si="139">+S81-X81-AA81</f>
        <v>0</v>
      </c>
    </row>
    <row r="82" spans="1:91" ht="14.1" customHeight="1" x14ac:dyDescent="0.2">
      <c r="A82" s="140"/>
      <c r="B82" s="78"/>
      <c r="C82" s="69"/>
      <c r="D82" s="109" t="s">
        <v>151</v>
      </c>
      <c r="E82" s="109" t="s">
        <v>152</v>
      </c>
      <c r="G82" s="323">
        <f>'detailed fund u'!$G$164</f>
        <v>160000</v>
      </c>
      <c r="H82" s="323"/>
      <c r="I82" s="329">
        <f t="shared" si="132"/>
        <v>160000</v>
      </c>
      <c r="J82" s="329">
        <f t="shared" si="133"/>
        <v>160000</v>
      </c>
      <c r="K82" s="274">
        <f>'detailed fund u'!$K$164</f>
        <v>0</v>
      </c>
      <c r="L82" s="274"/>
      <c r="M82" s="274">
        <f>'detailed fund u'!$S$164</f>
        <v>0</v>
      </c>
      <c r="N82" s="275">
        <f t="shared" si="134"/>
        <v>160000</v>
      </c>
      <c r="O82" s="274">
        <f>'detailed fund u'!$AA$164</f>
        <v>117933.36</v>
      </c>
      <c r="P82" s="274">
        <f>+'detailed fund u'!AE164</f>
        <v>89968.319999999992</v>
      </c>
      <c r="Q82" s="274">
        <f>'detailed fund u'!$AI$164</f>
        <v>89968.319999999992</v>
      </c>
      <c r="R82" s="274">
        <f>'detailed fund u'!$AM$164</f>
        <v>-137870</v>
      </c>
      <c r="S82" s="274">
        <f t="shared" si="135"/>
        <v>160000</v>
      </c>
      <c r="T82" s="274">
        <f>'detailed fund u'!$AU$164</f>
        <v>87943.92</v>
      </c>
      <c r="U82" s="274">
        <f>'detailed fund u'!$AY$164</f>
        <v>119957.75999999999</v>
      </c>
      <c r="V82" s="274">
        <f>'detailed fund u'!$BC$164</f>
        <v>89968.319999999992</v>
      </c>
      <c r="W82" s="274">
        <f>'detailed fund u'!$BG$164</f>
        <v>-137870</v>
      </c>
      <c r="X82" s="274">
        <f t="shared" si="136"/>
        <v>160000</v>
      </c>
      <c r="Y82" s="274">
        <f t="shared" si="137"/>
        <v>0</v>
      </c>
      <c r="Z82" s="274">
        <f t="shared" si="138"/>
        <v>0</v>
      </c>
      <c r="AA82" s="274">
        <f>'detailed fund u'!$BT$164</f>
        <v>0</v>
      </c>
      <c r="AB82" s="306">
        <f t="shared" si="139"/>
        <v>0</v>
      </c>
    </row>
    <row r="83" spans="1:91" ht="14.1" customHeight="1" x14ac:dyDescent="0.2">
      <c r="A83" s="140"/>
      <c r="B83" s="78"/>
      <c r="C83" s="69"/>
      <c r="D83" s="109" t="s">
        <v>193</v>
      </c>
      <c r="E83" s="109" t="s">
        <v>194</v>
      </c>
      <c r="G83" s="323">
        <f>'detailed fund u'!$G$165</f>
        <v>841000</v>
      </c>
      <c r="H83" s="323"/>
      <c r="I83" s="329">
        <f t="shared" si="132"/>
        <v>841000</v>
      </c>
      <c r="J83" s="329">
        <f t="shared" si="133"/>
        <v>841000</v>
      </c>
      <c r="K83" s="274">
        <f>'detailed fund u'!$K$165</f>
        <v>0</v>
      </c>
      <c r="L83" s="274"/>
      <c r="M83" s="274">
        <f>'detailed fund u'!$S$165</f>
        <v>0</v>
      </c>
      <c r="N83" s="275">
        <f t="shared" si="134"/>
        <v>841000</v>
      </c>
      <c r="O83" s="274">
        <f>'detailed fund u'!$AA$165</f>
        <v>301767.84000000003</v>
      </c>
      <c r="P83" s="274">
        <f>'detailed fund u'!$AE$165</f>
        <v>226562.74000000002</v>
      </c>
      <c r="Q83" s="274">
        <f>'detailed fund u'!$AI$165</f>
        <v>226495.80000000002</v>
      </c>
      <c r="R83" s="274">
        <f>'detailed fund u'!$AM$165</f>
        <v>86173.62</v>
      </c>
      <c r="S83" s="274">
        <f t="shared" si="135"/>
        <v>841000.00000000012</v>
      </c>
      <c r="T83" s="274">
        <f>'detailed fund u'!$AU$165</f>
        <v>226325.88</v>
      </c>
      <c r="U83" s="274">
        <f>'detailed fund u'!$AY$165</f>
        <v>301824.48</v>
      </c>
      <c r="V83" s="274">
        <f>'detailed fund u'!$BC$165</f>
        <v>226676.02000000002</v>
      </c>
      <c r="W83" s="274">
        <f>'detailed fund u'!$BG$165</f>
        <v>86173.620000000024</v>
      </c>
      <c r="X83" s="274">
        <f t="shared" si="136"/>
        <v>841000</v>
      </c>
      <c r="Y83" s="274">
        <f t="shared" si="137"/>
        <v>0</v>
      </c>
      <c r="Z83" s="274">
        <f t="shared" si="138"/>
        <v>0</v>
      </c>
      <c r="AA83" s="274">
        <f>'detailed fund u'!$BT$165</f>
        <v>0</v>
      </c>
      <c r="AB83" s="306">
        <f t="shared" si="139"/>
        <v>1.1641532182693481E-10</v>
      </c>
    </row>
    <row r="84" spans="1:91" ht="14.1" customHeight="1" x14ac:dyDescent="0.35">
      <c r="A84" s="314"/>
      <c r="B84" s="594" t="s">
        <v>145</v>
      </c>
      <c r="C84" s="73"/>
      <c r="D84" s="288"/>
      <c r="E84" s="288"/>
      <c r="F84" s="258" t="s">
        <v>280</v>
      </c>
      <c r="G84" s="507">
        <f>SUM(G85:G86)</f>
        <v>0</v>
      </c>
      <c r="H84" s="507">
        <f t="shared" ref="H84:AB84" si="140">SUM(H85:H86)</f>
        <v>0</v>
      </c>
      <c r="I84" s="507">
        <f t="shared" si="140"/>
        <v>0</v>
      </c>
      <c r="J84" s="507">
        <f t="shared" si="140"/>
        <v>0</v>
      </c>
      <c r="K84" s="507">
        <f t="shared" si="140"/>
        <v>0</v>
      </c>
      <c r="L84" s="507">
        <f t="shared" si="140"/>
        <v>0</v>
      </c>
      <c r="M84" s="507">
        <f t="shared" si="140"/>
        <v>248000</v>
      </c>
      <c r="N84" s="507">
        <f t="shared" si="140"/>
        <v>248000</v>
      </c>
      <c r="O84" s="507">
        <f t="shared" si="140"/>
        <v>0</v>
      </c>
      <c r="P84" s="507">
        <f t="shared" si="140"/>
        <v>0</v>
      </c>
      <c r="Q84" s="507">
        <f t="shared" si="140"/>
        <v>51000</v>
      </c>
      <c r="R84" s="507">
        <f t="shared" si="140"/>
        <v>28393.47</v>
      </c>
      <c r="S84" s="507">
        <f t="shared" si="140"/>
        <v>79393.47</v>
      </c>
      <c r="T84" s="507">
        <f t="shared" si="140"/>
        <v>0</v>
      </c>
      <c r="U84" s="507">
        <f t="shared" si="140"/>
        <v>0</v>
      </c>
      <c r="V84" s="507">
        <f t="shared" si="140"/>
        <v>51000</v>
      </c>
      <c r="W84" s="507">
        <f t="shared" si="140"/>
        <v>28393.47</v>
      </c>
      <c r="X84" s="507">
        <f t="shared" si="140"/>
        <v>79393.47</v>
      </c>
      <c r="Y84" s="507">
        <f t="shared" si="140"/>
        <v>-248000</v>
      </c>
      <c r="Z84" s="507">
        <f t="shared" si="140"/>
        <v>168606.53</v>
      </c>
      <c r="AA84" s="507">
        <f t="shared" si="140"/>
        <v>0</v>
      </c>
      <c r="AB84" s="609">
        <f t="shared" si="140"/>
        <v>0</v>
      </c>
    </row>
    <row r="85" spans="1:91" ht="14.1" customHeight="1" x14ac:dyDescent="0.2">
      <c r="A85" s="315"/>
      <c r="E85" s="69" t="s">
        <v>12</v>
      </c>
      <c r="G85" s="323">
        <f>'detailed fund u'!$H167</f>
        <v>0</v>
      </c>
      <c r="H85" s="323"/>
      <c r="I85" s="329">
        <f t="shared" ref="I85:I86" si="141">G85+H85</f>
        <v>0</v>
      </c>
      <c r="J85" s="329">
        <f t="shared" ref="J85:J86" si="142">I85</f>
        <v>0</v>
      </c>
      <c r="K85" s="274">
        <f>'detailed fund u'!$L$167</f>
        <v>0</v>
      </c>
      <c r="L85" s="274"/>
      <c r="M85" s="274">
        <f>+'detailed fund u'!T167</f>
        <v>248000</v>
      </c>
      <c r="N85" s="275">
        <f>J85+K85-L85+M85</f>
        <v>248000</v>
      </c>
      <c r="O85" s="274">
        <f>'detailed fund u'!$AB$167</f>
        <v>0</v>
      </c>
      <c r="P85" s="274">
        <f>'detailed fund u'!$AF$167</f>
        <v>0</v>
      </c>
      <c r="Q85" s="274">
        <f>'detailed fund u'!$AJ$167</f>
        <v>51000</v>
      </c>
      <c r="R85" s="274">
        <f>'detailed fund u'!$AN$167</f>
        <v>28393.47</v>
      </c>
      <c r="S85" s="274">
        <f t="shared" ref="S85:S86" si="143">SUM(O85:R85)</f>
        <v>79393.47</v>
      </c>
      <c r="T85" s="274">
        <f>'detailed fund u'!$AV$167</f>
        <v>0</v>
      </c>
      <c r="U85" s="274">
        <f>'detailed fund u'!$AZ$167</f>
        <v>0</v>
      </c>
      <c r="V85" s="274">
        <f>'detailed fund u'!$BD$167</f>
        <v>51000</v>
      </c>
      <c r="W85" s="274">
        <f>'detailed fund u'!$BH$167</f>
        <v>28393.47</v>
      </c>
      <c r="X85" s="274">
        <f t="shared" ref="X85:X86" si="144">SUM(T85:W85)</f>
        <v>79393.47</v>
      </c>
      <c r="Y85" s="274">
        <f t="shared" ref="Y85:Y86" si="145">I85-N85</f>
        <v>-248000</v>
      </c>
      <c r="Z85" s="274">
        <f t="shared" ref="Z85:Z86" si="146">N85-S85</f>
        <v>168606.53</v>
      </c>
      <c r="AA85" s="274">
        <f>'detailed fund u'!$BU$167</f>
        <v>0</v>
      </c>
      <c r="AB85" s="306">
        <f t="shared" ref="AB85:AB86" si="147">+S85-X85-AA85</f>
        <v>0</v>
      </c>
    </row>
    <row r="86" spans="1:91" ht="14.1" customHeight="1" x14ac:dyDescent="0.2">
      <c r="A86" s="315"/>
      <c r="E86" s="69" t="s">
        <v>13</v>
      </c>
      <c r="G86" s="323">
        <f>'detailed fund u'!$I$167</f>
        <v>0</v>
      </c>
      <c r="H86" s="323"/>
      <c r="I86" s="329">
        <f t="shared" si="141"/>
        <v>0</v>
      </c>
      <c r="J86" s="329">
        <f t="shared" si="142"/>
        <v>0</v>
      </c>
      <c r="K86" s="274">
        <f>'detailed fund u'!$M$167</f>
        <v>0</v>
      </c>
      <c r="L86" s="274"/>
      <c r="M86" s="274"/>
      <c r="N86" s="275">
        <f>J86+K86-L86+M86</f>
        <v>0</v>
      </c>
      <c r="O86" s="274">
        <f>'detailed fund u'!$AC$167</f>
        <v>0</v>
      </c>
      <c r="P86" s="274">
        <f>'detailed fund u'!$AG$167</f>
        <v>0</v>
      </c>
      <c r="Q86" s="274">
        <f>'detailed fund u'!$AK$167</f>
        <v>0</v>
      </c>
      <c r="R86" s="274">
        <f>'detailed fund u'!$AO$167</f>
        <v>0</v>
      </c>
      <c r="S86" s="274">
        <f t="shared" si="143"/>
        <v>0</v>
      </c>
      <c r="T86" s="274">
        <f>'detailed fund u'!$AW$167</f>
        <v>0</v>
      </c>
      <c r="U86" s="274">
        <f>'detailed fund u'!$BA$167</f>
        <v>0</v>
      </c>
      <c r="V86" s="274">
        <f>'detailed fund u'!$BE$167</f>
        <v>0</v>
      </c>
      <c r="W86" s="274">
        <f>'detailed fund u'!$BI$167</f>
        <v>0</v>
      </c>
      <c r="X86" s="274">
        <f t="shared" si="144"/>
        <v>0</v>
      </c>
      <c r="Y86" s="274">
        <f t="shared" si="145"/>
        <v>0</v>
      </c>
      <c r="Z86" s="274">
        <f t="shared" si="146"/>
        <v>0</v>
      </c>
      <c r="AA86" s="274">
        <f>'detailed fund u'!$BV$167</f>
        <v>0</v>
      </c>
      <c r="AB86" s="306">
        <f t="shared" si="147"/>
        <v>0</v>
      </c>
    </row>
    <row r="87" spans="1:91" ht="14.1" customHeight="1" x14ac:dyDescent="0.2">
      <c r="A87" s="942" t="s">
        <v>268</v>
      </c>
      <c r="B87" s="943"/>
      <c r="C87" s="943"/>
      <c r="D87" s="943"/>
      <c r="E87" s="943"/>
      <c r="G87" s="327">
        <f>SUM(G88:G90)</f>
        <v>1659000</v>
      </c>
      <c r="H87" s="327">
        <f t="shared" ref="H87:AB87" si="148">SUM(H88:H90)</f>
        <v>0</v>
      </c>
      <c r="I87" s="327">
        <f t="shared" si="148"/>
        <v>1659000</v>
      </c>
      <c r="J87" s="327">
        <f t="shared" si="148"/>
        <v>1659000</v>
      </c>
      <c r="K87" s="327">
        <f t="shared" si="148"/>
        <v>0</v>
      </c>
      <c r="L87" s="327">
        <f t="shared" si="148"/>
        <v>0</v>
      </c>
      <c r="M87" s="327">
        <f t="shared" si="148"/>
        <v>367000</v>
      </c>
      <c r="N87" s="327">
        <f t="shared" si="148"/>
        <v>2026000</v>
      </c>
      <c r="O87" s="327">
        <f t="shared" si="148"/>
        <v>537358.32000000007</v>
      </c>
      <c r="P87" s="327">
        <f t="shared" si="148"/>
        <v>404773.9</v>
      </c>
      <c r="Q87" s="327">
        <f t="shared" si="148"/>
        <v>455706.95999999996</v>
      </c>
      <c r="R87" s="327">
        <f t="shared" si="148"/>
        <v>298388.15000000002</v>
      </c>
      <c r="S87" s="327">
        <f t="shared" si="148"/>
        <v>1696227.33</v>
      </c>
      <c r="T87" s="327">
        <f t="shared" si="148"/>
        <v>402512.64000000001</v>
      </c>
      <c r="U87" s="327">
        <f t="shared" si="148"/>
        <v>539439.35999999999</v>
      </c>
      <c r="V87" s="327">
        <f t="shared" si="148"/>
        <v>455887.18</v>
      </c>
      <c r="W87" s="327">
        <f t="shared" si="148"/>
        <v>298387.15000000002</v>
      </c>
      <c r="X87" s="327">
        <f t="shared" si="148"/>
        <v>1696226.3299999998</v>
      </c>
      <c r="Y87" s="327">
        <f t="shared" si="148"/>
        <v>-367000</v>
      </c>
      <c r="Z87" s="327">
        <f t="shared" si="148"/>
        <v>329772.67000000004</v>
      </c>
      <c r="AA87" s="327">
        <f t="shared" si="148"/>
        <v>1</v>
      </c>
      <c r="AB87" s="610">
        <f t="shared" si="148"/>
        <v>1.1641532182693481E-10</v>
      </c>
    </row>
    <row r="88" spans="1:91" ht="14.1" customHeight="1" x14ac:dyDescent="0.2">
      <c r="A88" s="315"/>
      <c r="E88" s="73" t="s">
        <v>11</v>
      </c>
      <c r="G88" s="148">
        <f>G72</f>
        <v>1659000</v>
      </c>
      <c r="H88" s="148">
        <f t="shared" ref="H88:AB88" si="149">H72</f>
        <v>0</v>
      </c>
      <c r="I88" s="148">
        <f t="shared" si="149"/>
        <v>1659000</v>
      </c>
      <c r="J88" s="148">
        <f t="shared" si="149"/>
        <v>1659000</v>
      </c>
      <c r="K88" s="148">
        <f t="shared" si="149"/>
        <v>0</v>
      </c>
      <c r="L88" s="148">
        <f t="shared" si="149"/>
        <v>0</v>
      </c>
      <c r="M88" s="148">
        <f t="shared" si="149"/>
        <v>119000</v>
      </c>
      <c r="N88" s="148">
        <f t="shared" si="149"/>
        <v>1778000</v>
      </c>
      <c r="O88" s="148">
        <f t="shared" si="149"/>
        <v>537358.32000000007</v>
      </c>
      <c r="P88" s="148">
        <f t="shared" si="149"/>
        <v>404773.9</v>
      </c>
      <c r="Q88" s="148">
        <f t="shared" si="149"/>
        <v>404706.95999999996</v>
      </c>
      <c r="R88" s="148">
        <f t="shared" si="149"/>
        <v>269994.68</v>
      </c>
      <c r="S88" s="148">
        <f t="shared" si="149"/>
        <v>1616833.86</v>
      </c>
      <c r="T88" s="148">
        <f t="shared" si="149"/>
        <v>402512.64000000001</v>
      </c>
      <c r="U88" s="148">
        <f t="shared" si="149"/>
        <v>539439.35999999999</v>
      </c>
      <c r="V88" s="148">
        <f t="shared" si="149"/>
        <v>404887.18</v>
      </c>
      <c r="W88" s="148">
        <f t="shared" si="149"/>
        <v>269993.68000000005</v>
      </c>
      <c r="X88" s="148">
        <f t="shared" si="149"/>
        <v>1616832.8599999999</v>
      </c>
      <c r="Y88" s="148">
        <f t="shared" si="149"/>
        <v>-119000</v>
      </c>
      <c r="Z88" s="148">
        <f t="shared" si="149"/>
        <v>161166.14000000001</v>
      </c>
      <c r="AA88" s="148">
        <f t="shared" si="149"/>
        <v>1</v>
      </c>
      <c r="AB88" s="611">
        <f t="shared" si="149"/>
        <v>1.1641532182693481E-10</v>
      </c>
    </row>
    <row r="89" spans="1:91" ht="14.1" customHeight="1" x14ac:dyDescent="0.2">
      <c r="A89" s="315"/>
      <c r="E89" s="73" t="s">
        <v>12</v>
      </c>
      <c r="G89" s="148">
        <f>G85</f>
        <v>0</v>
      </c>
      <c r="H89" s="148">
        <f t="shared" ref="H89:AB89" si="150">H85</f>
        <v>0</v>
      </c>
      <c r="I89" s="148">
        <f t="shared" si="150"/>
        <v>0</v>
      </c>
      <c r="J89" s="148">
        <f t="shared" si="150"/>
        <v>0</v>
      </c>
      <c r="K89" s="148">
        <f t="shared" si="150"/>
        <v>0</v>
      </c>
      <c r="L89" s="148">
        <f t="shared" si="150"/>
        <v>0</v>
      </c>
      <c r="M89" s="148">
        <f t="shared" si="150"/>
        <v>248000</v>
      </c>
      <c r="N89" s="148">
        <f t="shared" si="150"/>
        <v>248000</v>
      </c>
      <c r="O89" s="148">
        <f t="shared" si="150"/>
        <v>0</v>
      </c>
      <c r="P89" s="148">
        <f t="shared" si="150"/>
        <v>0</v>
      </c>
      <c r="Q89" s="148">
        <f t="shared" si="150"/>
        <v>51000</v>
      </c>
      <c r="R89" s="148">
        <f t="shared" si="150"/>
        <v>28393.47</v>
      </c>
      <c r="S89" s="148">
        <f t="shared" si="150"/>
        <v>79393.47</v>
      </c>
      <c r="T89" s="148">
        <f t="shared" si="150"/>
        <v>0</v>
      </c>
      <c r="U89" s="148">
        <f t="shared" si="150"/>
        <v>0</v>
      </c>
      <c r="V89" s="148">
        <f t="shared" si="150"/>
        <v>51000</v>
      </c>
      <c r="W89" s="148">
        <f t="shared" si="150"/>
        <v>28393.47</v>
      </c>
      <c r="X89" s="148">
        <f t="shared" si="150"/>
        <v>79393.47</v>
      </c>
      <c r="Y89" s="148">
        <f t="shared" si="150"/>
        <v>-248000</v>
      </c>
      <c r="Z89" s="148">
        <f t="shared" si="150"/>
        <v>168606.53</v>
      </c>
      <c r="AA89" s="148">
        <f t="shared" si="150"/>
        <v>0</v>
      </c>
      <c r="AB89" s="611">
        <f t="shared" si="150"/>
        <v>0</v>
      </c>
    </row>
    <row r="90" spans="1:91" ht="14.1" customHeight="1" x14ac:dyDescent="0.2">
      <c r="A90" s="315"/>
      <c r="E90" s="73" t="s">
        <v>13</v>
      </c>
      <c r="G90" s="148">
        <f>G86</f>
        <v>0</v>
      </c>
      <c r="H90" s="148">
        <f t="shared" ref="H90:AB90" si="151">H86</f>
        <v>0</v>
      </c>
      <c r="I90" s="148">
        <f t="shared" si="151"/>
        <v>0</v>
      </c>
      <c r="J90" s="148">
        <f t="shared" si="151"/>
        <v>0</v>
      </c>
      <c r="K90" s="148">
        <f t="shared" si="151"/>
        <v>0</v>
      </c>
      <c r="L90" s="148">
        <f t="shared" si="151"/>
        <v>0</v>
      </c>
      <c r="M90" s="148">
        <f t="shared" si="151"/>
        <v>0</v>
      </c>
      <c r="N90" s="148">
        <f t="shared" si="151"/>
        <v>0</v>
      </c>
      <c r="O90" s="148">
        <f t="shared" si="151"/>
        <v>0</v>
      </c>
      <c r="P90" s="148">
        <f t="shared" si="151"/>
        <v>0</v>
      </c>
      <c r="Q90" s="148">
        <f t="shared" si="151"/>
        <v>0</v>
      </c>
      <c r="R90" s="148">
        <f t="shared" si="151"/>
        <v>0</v>
      </c>
      <c r="S90" s="148">
        <f t="shared" si="151"/>
        <v>0</v>
      </c>
      <c r="T90" s="148">
        <f t="shared" si="151"/>
        <v>0</v>
      </c>
      <c r="U90" s="148">
        <f t="shared" si="151"/>
        <v>0</v>
      </c>
      <c r="V90" s="148">
        <f t="shared" si="151"/>
        <v>0</v>
      </c>
      <c r="W90" s="148">
        <f t="shared" si="151"/>
        <v>0</v>
      </c>
      <c r="X90" s="148">
        <f t="shared" si="151"/>
        <v>0</v>
      </c>
      <c r="Y90" s="148">
        <f t="shared" si="151"/>
        <v>0</v>
      </c>
      <c r="Z90" s="148">
        <f t="shared" si="151"/>
        <v>0</v>
      </c>
      <c r="AA90" s="148">
        <f t="shared" si="151"/>
        <v>0</v>
      </c>
      <c r="AB90" s="611">
        <f t="shared" si="151"/>
        <v>0</v>
      </c>
    </row>
    <row r="91" spans="1:91" ht="14.1" customHeight="1" x14ac:dyDescent="0.2">
      <c r="A91" s="315"/>
      <c r="G91" s="148"/>
      <c r="H91" s="148"/>
      <c r="I91" s="148"/>
      <c r="J91" s="148"/>
      <c r="K91" s="152"/>
      <c r="L91" s="152"/>
      <c r="M91" s="152"/>
      <c r="N91" s="152"/>
      <c r="O91" s="152"/>
      <c r="P91" s="152"/>
      <c r="Q91" s="152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00"/>
    </row>
    <row r="92" spans="1:91" s="61" customFormat="1" ht="14.1" customHeight="1" x14ac:dyDescent="0.2">
      <c r="A92" s="279" t="s">
        <v>690</v>
      </c>
      <c r="B92" s="102"/>
      <c r="C92" s="103"/>
      <c r="D92" s="104"/>
      <c r="E92" s="103"/>
      <c r="G92" s="325"/>
      <c r="H92" s="325"/>
      <c r="I92" s="325"/>
      <c r="J92" s="32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  <c r="AA92" s="335"/>
      <c r="AB92" s="30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</row>
    <row r="93" spans="1:91" s="61" customFormat="1" ht="14.1" customHeight="1" x14ac:dyDescent="0.2">
      <c r="A93" s="140"/>
      <c r="B93" s="277" t="s">
        <v>269</v>
      </c>
      <c r="C93" s="69"/>
      <c r="D93" s="109"/>
      <c r="E93" s="109"/>
      <c r="F93" s="258" t="s">
        <v>270</v>
      </c>
      <c r="G93" s="148"/>
      <c r="H93" s="148"/>
      <c r="I93" s="148"/>
      <c r="J93" s="148"/>
      <c r="K93" s="152"/>
      <c r="L93" s="152"/>
      <c r="M93" s="152"/>
      <c r="N93" s="152"/>
      <c r="O93" s="152"/>
      <c r="P93" s="152"/>
      <c r="Q93" s="152"/>
      <c r="R93" s="340"/>
      <c r="S93" s="340"/>
      <c r="T93" s="340"/>
      <c r="U93" s="340"/>
      <c r="V93" s="340"/>
      <c r="W93" s="340"/>
      <c r="X93" s="340"/>
      <c r="Y93" s="340"/>
      <c r="Z93" s="340"/>
      <c r="AA93" s="340"/>
      <c r="AB93" s="300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</row>
    <row r="94" spans="1:91" ht="14.1" customHeight="1" x14ac:dyDescent="0.2">
      <c r="A94" s="140"/>
      <c r="B94" s="278" t="s">
        <v>705</v>
      </c>
      <c r="D94" s="109"/>
      <c r="E94" s="109"/>
      <c r="G94" s="323">
        <f>'detailed fund u'!$G$147</f>
        <v>0</v>
      </c>
      <c r="H94" s="323"/>
      <c r="I94" s="329">
        <f t="shared" ref="I94:I96" si="152">G94+H94</f>
        <v>0</v>
      </c>
      <c r="J94" s="329">
        <f t="shared" ref="J94:J96" si="153">I94</f>
        <v>0</v>
      </c>
      <c r="K94" s="274">
        <f>'detailed fund u'!$K$147</f>
        <v>0</v>
      </c>
      <c r="L94" s="274"/>
      <c r="M94" s="274">
        <f>'detailed fund u'!$S$147</f>
        <v>2244428</v>
      </c>
      <c r="N94" s="275">
        <f t="shared" ref="N94:N96" si="154">J94+K94-L94+M94</f>
        <v>2244428</v>
      </c>
      <c r="O94" s="274">
        <f>'detailed fund u'!$AA$147</f>
        <v>0</v>
      </c>
      <c r="P94" s="274">
        <f>'detailed fund u'!$AE$147</f>
        <v>0</v>
      </c>
      <c r="Q94" s="274">
        <f>'detailed fund u'!$AI$147</f>
        <v>993000</v>
      </c>
      <c r="R94" s="274">
        <f>'detailed fund u'!$AM$147</f>
        <v>1228881.3</v>
      </c>
      <c r="S94" s="274">
        <f t="shared" ref="S94:S96" si="155">SUM(O94:R94)</f>
        <v>2221881.2999999998</v>
      </c>
      <c r="T94" s="274">
        <f>'detailed fund u'!$AU$147</f>
        <v>0</v>
      </c>
      <c r="U94" s="274">
        <f>'detailed fund u'!$AY$147</f>
        <v>0</v>
      </c>
      <c r="V94" s="274">
        <f>'detailed fund u'!$BC$147</f>
        <v>222262.14</v>
      </c>
      <c r="W94" s="274">
        <f>'detailed fund u'!$BG$147</f>
        <v>1999619.1600000001</v>
      </c>
      <c r="X94" s="274">
        <f t="shared" ref="X94:X96" si="156">SUM(T94:W94)</f>
        <v>2221881.3000000003</v>
      </c>
      <c r="Y94" s="274">
        <f t="shared" ref="Y94:Y96" si="157">I94-N94</f>
        <v>-2244428</v>
      </c>
      <c r="Z94" s="274">
        <f t="shared" ref="Z94:Z96" si="158">N94-S94</f>
        <v>22546.700000000186</v>
      </c>
      <c r="AA94" s="274">
        <f>'detailed fund u'!$BT$147</f>
        <v>0</v>
      </c>
      <c r="AB94" s="306">
        <f t="shared" ref="AB94:AB96" si="159">+S94-X94-AA94</f>
        <v>-4.6566128730773926E-10</v>
      </c>
    </row>
    <row r="95" spans="1:91" ht="14.1" customHeight="1" x14ac:dyDescent="0.2">
      <c r="A95" s="315"/>
      <c r="B95" s="278" t="s">
        <v>271</v>
      </c>
      <c r="C95" s="59" t="s">
        <v>706</v>
      </c>
      <c r="F95" s="258"/>
      <c r="G95" s="323">
        <f>'detailed fund u'!$G$148</f>
        <v>0</v>
      </c>
      <c r="H95" s="323"/>
      <c r="I95" s="329">
        <f t="shared" si="152"/>
        <v>0</v>
      </c>
      <c r="J95" s="329">
        <f t="shared" si="153"/>
        <v>0</v>
      </c>
      <c r="K95" s="274">
        <f>'detailed fund u'!$K$148</f>
        <v>0</v>
      </c>
      <c r="L95" s="274"/>
      <c r="M95" s="274">
        <f>'detailed fund u'!$S$148</f>
        <v>0</v>
      </c>
      <c r="N95" s="275">
        <f t="shared" si="154"/>
        <v>0</v>
      </c>
      <c r="O95" s="274">
        <f>'detailed fund u'!$AA$148</f>
        <v>0</v>
      </c>
      <c r="P95" s="274">
        <f>'detailed fund u'!$AE$148</f>
        <v>0</v>
      </c>
      <c r="Q95" s="274">
        <f>'detailed fund u'!$AI$148</f>
        <v>0</v>
      </c>
      <c r="R95" s="274">
        <f>'detailed fund u'!$AM$148</f>
        <v>0</v>
      </c>
      <c r="S95" s="274">
        <f t="shared" si="155"/>
        <v>0</v>
      </c>
      <c r="T95" s="274">
        <f>'detailed fund u'!$AU$148</f>
        <v>0</v>
      </c>
      <c r="U95" s="274">
        <f>'detailed fund u'!$AY$148</f>
        <v>0</v>
      </c>
      <c r="V95" s="274">
        <f>'detailed fund u'!$BC$148</f>
        <v>0</v>
      </c>
      <c r="W95" s="274">
        <f>'detailed fund u'!$BG$148</f>
        <v>0</v>
      </c>
      <c r="X95" s="274">
        <f t="shared" si="156"/>
        <v>0</v>
      </c>
      <c r="Y95" s="274">
        <f t="shared" si="157"/>
        <v>0</v>
      </c>
      <c r="Z95" s="274">
        <f t="shared" si="158"/>
        <v>0</v>
      </c>
      <c r="AA95" s="274">
        <f>'detailed fund u'!$BT$148</f>
        <v>0</v>
      </c>
      <c r="AB95" s="306">
        <f t="shared" si="159"/>
        <v>0</v>
      </c>
    </row>
    <row r="96" spans="1:91" ht="14.1" customHeight="1" x14ac:dyDescent="0.2">
      <c r="A96" s="315"/>
      <c r="B96" s="278" t="s">
        <v>271</v>
      </c>
      <c r="C96" s="59" t="s">
        <v>707</v>
      </c>
      <c r="F96" s="258"/>
      <c r="G96" s="323">
        <f>'detailed fund u'!$G$149</f>
        <v>458300</v>
      </c>
      <c r="H96" s="323"/>
      <c r="I96" s="329">
        <f t="shared" si="152"/>
        <v>458300</v>
      </c>
      <c r="J96" s="329">
        <f t="shared" si="153"/>
        <v>458300</v>
      </c>
      <c r="K96" s="274">
        <f>'detailed fund u'!$K$149</f>
        <v>0</v>
      </c>
      <c r="L96" s="274"/>
      <c r="M96" s="274">
        <f>'detailed fund u'!$S$149</f>
        <v>0</v>
      </c>
      <c r="N96" s="275">
        <f t="shared" si="154"/>
        <v>458300</v>
      </c>
      <c r="O96" s="274">
        <f>'detailed fund u'!$AA$149</f>
        <v>0</v>
      </c>
      <c r="P96" s="274">
        <f>'detailed fund u'!$AE$149</f>
        <v>0</v>
      </c>
      <c r="Q96" s="274">
        <f>'detailed fund u'!$AI$149</f>
        <v>0</v>
      </c>
      <c r="R96" s="274">
        <f>'detailed fund u'!$AM$149</f>
        <v>457600</v>
      </c>
      <c r="S96" s="274">
        <f t="shared" si="155"/>
        <v>457600</v>
      </c>
      <c r="T96" s="274">
        <f>'detailed fund u'!$AU$149</f>
        <v>0</v>
      </c>
      <c r="U96" s="274">
        <f>'detailed fund u'!$AY$149</f>
        <v>0</v>
      </c>
      <c r="V96" s="274">
        <f>'detailed fund u'!$BC$149</f>
        <v>0</v>
      </c>
      <c r="W96" s="274">
        <f>'detailed fund u'!$BG$149</f>
        <v>457600</v>
      </c>
      <c r="X96" s="274">
        <f t="shared" si="156"/>
        <v>457600</v>
      </c>
      <c r="Y96" s="274">
        <f t="shared" si="157"/>
        <v>0</v>
      </c>
      <c r="Z96" s="274">
        <f t="shared" si="158"/>
        <v>700</v>
      </c>
      <c r="AA96" s="274">
        <f>'detailed fund u'!$BT$149</f>
        <v>0</v>
      </c>
      <c r="AB96" s="306">
        <f t="shared" si="159"/>
        <v>0</v>
      </c>
    </row>
    <row r="97" spans="1:91" ht="14.1" customHeight="1" x14ac:dyDescent="0.2">
      <c r="A97" s="315"/>
      <c r="B97" s="277" t="s">
        <v>272</v>
      </c>
      <c r="F97" s="258" t="s">
        <v>274</v>
      </c>
      <c r="G97" s="148"/>
      <c r="H97" s="148"/>
      <c r="I97" s="148"/>
      <c r="J97" s="148"/>
      <c r="K97" s="152"/>
      <c r="L97" s="152"/>
      <c r="M97" s="152"/>
      <c r="N97" s="152"/>
      <c r="O97" s="152"/>
      <c r="P97" s="152"/>
      <c r="Q97" s="152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00"/>
    </row>
    <row r="98" spans="1:91" ht="14.1" customHeight="1" x14ac:dyDescent="0.2">
      <c r="A98" s="315"/>
      <c r="B98" s="278" t="s">
        <v>273</v>
      </c>
      <c r="C98" s="59" t="s">
        <v>273</v>
      </c>
      <c r="F98" s="258"/>
      <c r="G98" s="323">
        <f>'detailed fund u'!$G$151</f>
        <v>0</v>
      </c>
      <c r="H98" s="323"/>
      <c r="I98" s="329">
        <f t="shared" ref="I98:I99" si="160">G98+H98</f>
        <v>0</v>
      </c>
      <c r="J98" s="329">
        <f t="shared" ref="J98:J99" si="161">I98</f>
        <v>0</v>
      </c>
      <c r="K98" s="274">
        <f>'detailed fund u'!$K$151</f>
        <v>0</v>
      </c>
      <c r="L98" s="274"/>
      <c r="M98" s="274">
        <f>'detailed fund u'!$S$151</f>
        <v>0</v>
      </c>
      <c r="N98" s="275">
        <f t="shared" ref="N98:N99" si="162">J98+K98-L98+M98</f>
        <v>0</v>
      </c>
      <c r="O98" s="274">
        <f>'detailed fund u'!$AA$151</f>
        <v>0</v>
      </c>
      <c r="P98" s="274">
        <f>'detailed fund u'!$AE$151</f>
        <v>0</v>
      </c>
      <c r="Q98" s="274">
        <f>'detailed fund u'!$AI$151</f>
        <v>0</v>
      </c>
      <c r="R98" s="274">
        <f>'detailed fund u'!$AM$151</f>
        <v>0</v>
      </c>
      <c r="S98" s="274">
        <f t="shared" ref="S98:S99" si="163">SUM(O98:R98)</f>
        <v>0</v>
      </c>
      <c r="T98" s="274">
        <f>'detailed fund u'!$AU$151</f>
        <v>0</v>
      </c>
      <c r="U98" s="274">
        <f>'detailed fund u'!$AY$151</f>
        <v>0</v>
      </c>
      <c r="V98" s="274">
        <f>'detailed fund u'!$BC$151</f>
        <v>0</v>
      </c>
      <c r="W98" s="274">
        <f>'detailed fund u'!$BG$151</f>
        <v>0</v>
      </c>
      <c r="X98" s="274">
        <f t="shared" ref="X98:X99" si="164">SUM(T98:W98)</f>
        <v>0</v>
      </c>
      <c r="Y98" s="274">
        <f t="shared" ref="Y98:Y99" si="165">I98-N98</f>
        <v>0</v>
      </c>
      <c r="Z98" s="274">
        <f t="shared" ref="Z98:Z99" si="166">N98-S98</f>
        <v>0</v>
      </c>
      <c r="AA98" s="274">
        <f>'detailed fund u'!$BT$151</f>
        <v>0</v>
      </c>
      <c r="AB98" s="306">
        <f t="shared" ref="AB98:AB99" si="167">+S98-X98-AA98</f>
        <v>0</v>
      </c>
    </row>
    <row r="99" spans="1:91" ht="14.1" customHeight="1" x14ac:dyDescent="0.2">
      <c r="A99" s="315"/>
      <c r="B99" s="278"/>
      <c r="C99" s="59" t="s">
        <v>688</v>
      </c>
      <c r="F99" s="258"/>
      <c r="G99" s="323">
        <f>'detailed fund u'!$G$152</f>
        <v>0</v>
      </c>
      <c r="H99" s="323"/>
      <c r="I99" s="329">
        <f t="shared" si="160"/>
        <v>0</v>
      </c>
      <c r="J99" s="329">
        <f t="shared" si="161"/>
        <v>0</v>
      </c>
      <c r="K99" s="274">
        <f>'detailed fund u'!$K$152</f>
        <v>0</v>
      </c>
      <c r="L99" s="274"/>
      <c r="M99" s="274">
        <f>'detailed fund u'!$S$152</f>
        <v>0</v>
      </c>
      <c r="N99" s="275">
        <f t="shared" si="162"/>
        <v>0</v>
      </c>
      <c r="O99" s="274">
        <f>'detailed fund u'!$AA$152</f>
        <v>0</v>
      </c>
      <c r="P99" s="274">
        <f>'detailed fund u'!$AE$152</f>
        <v>0</v>
      </c>
      <c r="Q99" s="274">
        <f>'detailed fund u'!$AI$152</f>
        <v>0</v>
      </c>
      <c r="R99" s="274">
        <f>'detailed fund u'!$AM$152</f>
        <v>0</v>
      </c>
      <c r="S99" s="274">
        <f t="shared" si="163"/>
        <v>0</v>
      </c>
      <c r="T99" s="274">
        <f>'detailed fund u'!$AU$152</f>
        <v>0</v>
      </c>
      <c r="U99" s="274">
        <f>'detailed fund u'!$AY$152</f>
        <v>0</v>
      </c>
      <c r="V99" s="274">
        <f>'detailed fund u'!$BC$152</f>
        <v>0</v>
      </c>
      <c r="W99" s="274">
        <f>'detailed fund u'!$BG$152</f>
        <v>0</v>
      </c>
      <c r="X99" s="274">
        <f t="shared" si="164"/>
        <v>0</v>
      </c>
      <c r="Y99" s="274">
        <f t="shared" si="165"/>
        <v>0</v>
      </c>
      <c r="Z99" s="274">
        <f t="shared" si="166"/>
        <v>0</v>
      </c>
      <c r="AA99" s="274">
        <f>'detailed fund u'!$BT$152</f>
        <v>0</v>
      </c>
      <c r="AB99" s="306">
        <f t="shared" si="167"/>
        <v>0</v>
      </c>
    </row>
    <row r="100" spans="1:91" ht="14.1" customHeight="1" x14ac:dyDescent="0.2">
      <c r="A100" s="315"/>
      <c r="G100" s="148"/>
      <c r="H100" s="148"/>
      <c r="I100" s="148"/>
      <c r="J100" s="148"/>
      <c r="K100" s="152"/>
      <c r="L100" s="152"/>
      <c r="M100" s="152"/>
      <c r="N100" s="152"/>
      <c r="O100" s="152"/>
      <c r="P100" s="152"/>
      <c r="Q100" s="152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00"/>
    </row>
    <row r="101" spans="1:91" ht="14.1" customHeight="1" x14ac:dyDescent="0.2">
      <c r="A101" s="942" t="s">
        <v>713</v>
      </c>
      <c r="B101" s="943"/>
      <c r="C101" s="943"/>
      <c r="D101" s="943"/>
      <c r="E101" s="943"/>
      <c r="G101" s="327">
        <f>G102</f>
        <v>458300</v>
      </c>
      <c r="H101" s="327">
        <f t="shared" ref="H101" si="168">H102</f>
        <v>0</v>
      </c>
      <c r="I101" s="327">
        <f t="shared" ref="I101" si="169">I102</f>
        <v>458300</v>
      </c>
      <c r="J101" s="327">
        <f t="shared" ref="J101" si="170">J102</f>
        <v>458300</v>
      </c>
      <c r="K101" s="337">
        <f t="shared" ref="K101" si="171">K102</f>
        <v>0</v>
      </c>
      <c r="L101" s="337">
        <f t="shared" ref="L101" si="172">L102</f>
        <v>0</v>
      </c>
      <c r="M101" s="337">
        <f t="shared" ref="M101" si="173">M102</f>
        <v>2244428</v>
      </c>
      <c r="N101" s="337">
        <f t="shared" ref="N101" si="174">N102</f>
        <v>2702728</v>
      </c>
      <c r="O101" s="337">
        <f t="shared" ref="O101" si="175">O102</f>
        <v>0</v>
      </c>
      <c r="P101" s="337">
        <f t="shared" ref="P101" si="176">P102</f>
        <v>0</v>
      </c>
      <c r="Q101" s="337">
        <f t="shared" ref="Q101" si="177">Q102</f>
        <v>993000</v>
      </c>
      <c r="R101" s="337">
        <f t="shared" ref="R101" si="178">R102</f>
        <v>1686481.3</v>
      </c>
      <c r="S101" s="337">
        <f t="shared" ref="S101" si="179">S102</f>
        <v>2679481.2999999998</v>
      </c>
      <c r="T101" s="337">
        <f t="shared" ref="T101" si="180">T102</f>
        <v>0</v>
      </c>
      <c r="U101" s="337">
        <f t="shared" ref="U101" si="181">U102</f>
        <v>0</v>
      </c>
      <c r="V101" s="337">
        <f t="shared" ref="V101" si="182">V102</f>
        <v>222262.14</v>
      </c>
      <c r="W101" s="337">
        <f t="shared" ref="W101" si="183">W102</f>
        <v>2457219.16</v>
      </c>
      <c r="X101" s="337">
        <f t="shared" ref="X101" si="184">X102</f>
        <v>2679481.3000000003</v>
      </c>
      <c r="Y101" s="337">
        <f t="shared" ref="Y101" si="185">Y102</f>
        <v>-2244428</v>
      </c>
      <c r="Z101" s="337">
        <f t="shared" ref="Z101" si="186">Z102</f>
        <v>23246.700000000186</v>
      </c>
      <c r="AA101" s="337">
        <f t="shared" ref="AA101" si="187">AA102</f>
        <v>0</v>
      </c>
      <c r="AB101" s="316">
        <f t="shared" ref="AB101" si="188">AB102</f>
        <v>-4.6566128730773926E-10</v>
      </c>
    </row>
    <row r="102" spans="1:91" s="87" customFormat="1" ht="14.1" customHeight="1" x14ac:dyDescent="0.2">
      <c r="A102" s="315"/>
      <c r="B102" s="290"/>
      <c r="D102" s="57"/>
      <c r="E102" s="73" t="s">
        <v>11</v>
      </c>
      <c r="F102" s="95"/>
      <c r="G102" s="328">
        <f>SUM(G94:G99)</f>
        <v>458300</v>
      </c>
      <c r="H102" s="328">
        <f t="shared" ref="H102:AB102" si="189">SUM(H94:H99)</f>
        <v>0</v>
      </c>
      <c r="I102" s="328">
        <f t="shared" si="189"/>
        <v>458300</v>
      </c>
      <c r="J102" s="328">
        <f t="shared" si="189"/>
        <v>458300</v>
      </c>
      <c r="K102" s="328">
        <f t="shared" si="189"/>
        <v>0</v>
      </c>
      <c r="L102" s="328">
        <f t="shared" si="189"/>
        <v>0</v>
      </c>
      <c r="M102" s="328">
        <f t="shared" si="189"/>
        <v>2244428</v>
      </c>
      <c r="N102" s="328">
        <f t="shared" si="189"/>
        <v>2702728</v>
      </c>
      <c r="O102" s="328">
        <f t="shared" si="189"/>
        <v>0</v>
      </c>
      <c r="P102" s="328">
        <f t="shared" si="189"/>
        <v>0</v>
      </c>
      <c r="Q102" s="328">
        <f t="shared" si="189"/>
        <v>993000</v>
      </c>
      <c r="R102" s="328">
        <f t="shared" si="189"/>
        <v>1686481.3</v>
      </c>
      <c r="S102" s="328">
        <f t="shared" si="189"/>
        <v>2679481.2999999998</v>
      </c>
      <c r="T102" s="328">
        <f t="shared" si="189"/>
        <v>0</v>
      </c>
      <c r="U102" s="328">
        <f t="shared" si="189"/>
        <v>0</v>
      </c>
      <c r="V102" s="328">
        <f t="shared" si="189"/>
        <v>222262.14</v>
      </c>
      <c r="W102" s="328">
        <f t="shared" si="189"/>
        <v>2457219.16</v>
      </c>
      <c r="X102" s="328">
        <f t="shared" si="189"/>
        <v>2679481.3000000003</v>
      </c>
      <c r="Y102" s="328">
        <f t="shared" si="189"/>
        <v>-2244428</v>
      </c>
      <c r="Z102" s="328">
        <f t="shared" si="189"/>
        <v>23246.700000000186</v>
      </c>
      <c r="AA102" s="328">
        <f t="shared" si="189"/>
        <v>0</v>
      </c>
      <c r="AB102" s="612">
        <f t="shared" si="189"/>
        <v>-4.6566128730773926E-10</v>
      </c>
    </row>
    <row r="103" spans="1:91" ht="14.1" customHeight="1" x14ac:dyDescent="0.2">
      <c r="A103" s="315"/>
      <c r="G103" s="148"/>
      <c r="H103" s="148"/>
      <c r="I103" s="148"/>
      <c r="J103" s="148"/>
      <c r="K103" s="152"/>
      <c r="L103" s="152"/>
      <c r="M103" s="152"/>
      <c r="N103" s="152"/>
      <c r="O103" s="152"/>
      <c r="P103" s="152"/>
      <c r="Q103" s="152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00"/>
    </row>
    <row r="104" spans="1:91" s="87" customFormat="1" ht="14.1" customHeight="1" x14ac:dyDescent="0.2">
      <c r="A104" s="942" t="s">
        <v>674</v>
      </c>
      <c r="B104" s="943"/>
      <c r="C104" s="943"/>
      <c r="D104" s="943"/>
      <c r="E104" s="943"/>
      <c r="F104" s="95"/>
      <c r="G104" s="326">
        <f>SUM(G105:G107)</f>
        <v>49705300</v>
      </c>
      <c r="H104" s="326">
        <f t="shared" ref="H104" si="190">SUM(H105:H107)</f>
        <v>0</v>
      </c>
      <c r="I104" s="326">
        <f t="shared" ref="I104" si="191">SUM(I105:I107)</f>
        <v>49705300</v>
      </c>
      <c r="J104" s="326">
        <f t="shared" ref="J104" si="192">SUM(J105:J107)</f>
        <v>49705300</v>
      </c>
      <c r="K104" s="336">
        <f t="shared" ref="K104" si="193">SUM(K105:K107)</f>
        <v>0</v>
      </c>
      <c r="L104" s="336">
        <f t="shared" ref="L104" si="194">SUM(L105:L107)</f>
        <v>0</v>
      </c>
      <c r="M104" s="336">
        <f t="shared" ref="M104" si="195">SUM(M105:M107)</f>
        <v>3389009.06</v>
      </c>
      <c r="N104" s="336">
        <f t="shared" ref="N104" si="196">SUM(N105:N107)</f>
        <v>53094309.060000002</v>
      </c>
      <c r="O104" s="336">
        <f t="shared" ref="O104" si="197">SUM(O105:O107)</f>
        <v>8155857.5600000005</v>
      </c>
      <c r="P104" s="336">
        <f t="shared" ref="P104" si="198">SUM(P105:P107)</f>
        <v>7442947.9000000004</v>
      </c>
      <c r="Q104" s="336">
        <f t="shared" ref="Q104" si="199">SUM(Q105:Q107)</f>
        <v>11041749.25</v>
      </c>
      <c r="R104" s="336">
        <f t="shared" ref="R104" si="200">SUM(R105:R107)</f>
        <v>21581877.18</v>
      </c>
      <c r="S104" s="336">
        <f t="shared" ref="S104" si="201">SUM(S105:S107)</f>
        <v>48222431.890000001</v>
      </c>
      <c r="T104" s="336">
        <f t="shared" ref="T104" si="202">SUM(T105:T107)</f>
        <v>6576018.959999999</v>
      </c>
      <c r="U104" s="336">
        <f t="shared" ref="U104" si="203">SUM(U105:U107)</f>
        <v>8125154.4600000009</v>
      </c>
      <c r="V104" s="336">
        <f t="shared" ref="V104" si="204">SUM(V105:V107)</f>
        <v>10928103.77</v>
      </c>
      <c r="W104" s="336">
        <f t="shared" ref="W104" si="205">SUM(W105:W107)</f>
        <v>20035588.25</v>
      </c>
      <c r="X104" s="336">
        <f t="shared" ref="X104" si="206">SUM(X105:X107)</f>
        <v>45664865.439999998</v>
      </c>
      <c r="Y104" s="336">
        <f t="shared" ref="Y104" si="207">SUM(Y105:Y107)</f>
        <v>-3389009.0599999987</v>
      </c>
      <c r="Z104" s="336">
        <f t="shared" ref="Z104" si="208">SUM(Z105:Z107)</f>
        <v>4871877.1699999971</v>
      </c>
      <c r="AA104" s="336">
        <f t="shared" ref="AA104" si="209">SUM(AA105:AA107)</f>
        <v>1</v>
      </c>
      <c r="AB104" s="312">
        <f t="shared" ref="AB104" si="210">SUM(AB105:AB107)</f>
        <v>2557565.4500000025</v>
      </c>
    </row>
    <row r="105" spans="1:91" s="87" customFormat="1" ht="14.1" customHeight="1" x14ac:dyDescent="0.2">
      <c r="A105" s="315"/>
      <c r="B105" s="290"/>
      <c r="D105" s="57"/>
      <c r="E105" s="73" t="s">
        <v>11</v>
      </c>
      <c r="F105" s="95"/>
      <c r="G105" s="328">
        <f>G102+G88+G67</f>
        <v>19093300</v>
      </c>
      <c r="H105" s="328">
        <f t="shared" ref="H105:AB105" si="211">H102+H88+H67</f>
        <v>975000</v>
      </c>
      <c r="I105" s="328">
        <f t="shared" si="211"/>
        <v>20068300</v>
      </c>
      <c r="J105" s="328">
        <f t="shared" si="211"/>
        <v>20068300</v>
      </c>
      <c r="K105" s="328">
        <f t="shared" si="211"/>
        <v>975000</v>
      </c>
      <c r="L105" s="328">
        <f t="shared" si="211"/>
        <v>0</v>
      </c>
      <c r="M105" s="328">
        <f t="shared" si="211"/>
        <v>2581793.06</v>
      </c>
      <c r="N105" s="328">
        <f t="shared" si="211"/>
        <v>22650093.059999999</v>
      </c>
      <c r="O105" s="328">
        <f t="shared" si="211"/>
        <v>5651194.3200000003</v>
      </c>
      <c r="P105" s="328">
        <f t="shared" si="211"/>
        <v>5267178.7</v>
      </c>
      <c r="Q105" s="328">
        <f t="shared" si="211"/>
        <v>4844776.1099999994</v>
      </c>
      <c r="R105" s="328">
        <f t="shared" si="211"/>
        <v>6580580.9299999997</v>
      </c>
      <c r="S105" s="328">
        <f t="shared" si="211"/>
        <v>22343730.060000002</v>
      </c>
      <c r="T105" s="328">
        <f t="shared" si="211"/>
        <v>4298259.6399999997</v>
      </c>
      <c r="U105" s="328">
        <f t="shared" si="211"/>
        <v>5723381.3400000008</v>
      </c>
      <c r="V105" s="328">
        <f t="shared" si="211"/>
        <v>4950205.63</v>
      </c>
      <c r="W105" s="328">
        <f t="shared" si="211"/>
        <v>7371882.4500000011</v>
      </c>
      <c r="X105" s="328">
        <f t="shared" si="211"/>
        <v>22343729.059999999</v>
      </c>
      <c r="Y105" s="328">
        <f t="shared" si="211"/>
        <v>-2581793.0599999987</v>
      </c>
      <c r="Z105" s="328">
        <f t="shared" si="211"/>
        <v>306362.99999999662</v>
      </c>
      <c r="AA105" s="328">
        <f t="shared" si="211"/>
        <v>1</v>
      </c>
      <c r="AB105" s="612">
        <f t="shared" si="211"/>
        <v>3.3760443329811096E-9</v>
      </c>
    </row>
    <row r="106" spans="1:91" s="87" customFormat="1" ht="14.1" customHeight="1" x14ac:dyDescent="0.2">
      <c r="A106" s="315"/>
      <c r="B106" s="290"/>
      <c r="D106" s="57"/>
      <c r="E106" s="73" t="s">
        <v>12</v>
      </c>
      <c r="F106" s="95"/>
      <c r="G106" s="328">
        <f>G68+G89</f>
        <v>29212000</v>
      </c>
      <c r="H106" s="328">
        <f t="shared" ref="H106:AB106" si="212">H68+H89</f>
        <v>-975000</v>
      </c>
      <c r="I106" s="328">
        <f t="shared" si="212"/>
        <v>28237000</v>
      </c>
      <c r="J106" s="328">
        <f t="shared" si="212"/>
        <v>28237000</v>
      </c>
      <c r="K106" s="328">
        <f t="shared" si="212"/>
        <v>-975000</v>
      </c>
      <c r="L106" s="328">
        <f t="shared" si="212"/>
        <v>0</v>
      </c>
      <c r="M106" s="328">
        <f t="shared" si="212"/>
        <v>617216</v>
      </c>
      <c r="N106" s="328">
        <f t="shared" si="212"/>
        <v>28854216</v>
      </c>
      <c r="O106" s="328">
        <f t="shared" si="212"/>
        <v>2504663.2399999998</v>
      </c>
      <c r="P106" s="328">
        <f t="shared" si="212"/>
        <v>2175769.2000000002</v>
      </c>
      <c r="Q106" s="328">
        <f t="shared" si="212"/>
        <v>4664923.3</v>
      </c>
      <c r="R106" s="328">
        <f t="shared" si="212"/>
        <v>15001296.250000002</v>
      </c>
      <c r="S106" s="328">
        <f t="shared" si="212"/>
        <v>24346651.989999998</v>
      </c>
      <c r="T106" s="328">
        <f t="shared" si="212"/>
        <v>2277759.3199999998</v>
      </c>
      <c r="U106" s="328">
        <f t="shared" si="212"/>
        <v>2401773.12</v>
      </c>
      <c r="V106" s="328">
        <f t="shared" si="212"/>
        <v>4445848.3</v>
      </c>
      <c r="W106" s="328">
        <f t="shared" si="212"/>
        <v>12663705.800000001</v>
      </c>
      <c r="X106" s="328">
        <f t="shared" si="212"/>
        <v>21789086.539999999</v>
      </c>
      <c r="Y106" s="328">
        <f t="shared" si="212"/>
        <v>-617216</v>
      </c>
      <c r="Z106" s="328">
        <f t="shared" si="212"/>
        <v>4507564.0100000007</v>
      </c>
      <c r="AA106" s="328">
        <f t="shared" si="212"/>
        <v>0</v>
      </c>
      <c r="AB106" s="612">
        <f t="shared" si="212"/>
        <v>2557565.4499999993</v>
      </c>
    </row>
    <row r="107" spans="1:91" s="87" customFormat="1" ht="14.1" customHeight="1" x14ac:dyDescent="0.2">
      <c r="A107" s="315"/>
      <c r="B107" s="290"/>
      <c r="D107" s="57"/>
      <c r="E107" s="73" t="s">
        <v>13</v>
      </c>
      <c r="F107" s="95"/>
      <c r="G107" s="328">
        <f t="shared" ref="G107:AB107" si="213">G69+G90</f>
        <v>1400000</v>
      </c>
      <c r="H107" s="328">
        <f t="shared" si="213"/>
        <v>0</v>
      </c>
      <c r="I107" s="328">
        <f t="shared" si="213"/>
        <v>1400000</v>
      </c>
      <c r="J107" s="328">
        <f t="shared" si="213"/>
        <v>1400000</v>
      </c>
      <c r="K107" s="328">
        <f t="shared" si="213"/>
        <v>0</v>
      </c>
      <c r="L107" s="328">
        <f t="shared" si="213"/>
        <v>0</v>
      </c>
      <c r="M107" s="328">
        <f t="shared" si="213"/>
        <v>190000</v>
      </c>
      <c r="N107" s="328">
        <f t="shared" si="213"/>
        <v>1590000</v>
      </c>
      <c r="O107" s="328">
        <f t="shared" si="213"/>
        <v>0</v>
      </c>
      <c r="P107" s="328">
        <f t="shared" si="213"/>
        <v>0</v>
      </c>
      <c r="Q107" s="328">
        <f t="shared" si="213"/>
        <v>1532049.84</v>
      </c>
      <c r="R107" s="328">
        <f t="shared" si="213"/>
        <v>0</v>
      </c>
      <c r="S107" s="328">
        <f t="shared" si="213"/>
        <v>1532049.84</v>
      </c>
      <c r="T107" s="328">
        <f t="shared" si="213"/>
        <v>0</v>
      </c>
      <c r="U107" s="328">
        <f t="shared" si="213"/>
        <v>0</v>
      </c>
      <c r="V107" s="328">
        <f t="shared" si="213"/>
        <v>1532049.84</v>
      </c>
      <c r="W107" s="328">
        <f t="shared" si="213"/>
        <v>0</v>
      </c>
      <c r="X107" s="328">
        <f t="shared" si="213"/>
        <v>1532049.84</v>
      </c>
      <c r="Y107" s="328">
        <f t="shared" si="213"/>
        <v>-190000</v>
      </c>
      <c r="Z107" s="328">
        <f t="shared" si="213"/>
        <v>57950.159999999916</v>
      </c>
      <c r="AA107" s="328">
        <f t="shared" si="213"/>
        <v>0</v>
      </c>
      <c r="AB107" s="612">
        <f t="shared" si="213"/>
        <v>0</v>
      </c>
    </row>
    <row r="108" spans="1:91" ht="12" customHeight="1" x14ac:dyDescent="0.2">
      <c r="A108" s="315"/>
      <c r="G108" s="148"/>
      <c r="H108" s="148"/>
      <c r="I108" s="148"/>
      <c r="J108" s="148"/>
      <c r="K108" s="152"/>
      <c r="L108" s="152"/>
      <c r="M108" s="152"/>
      <c r="N108" s="152"/>
      <c r="O108" s="152"/>
      <c r="P108" s="152"/>
      <c r="Q108" s="152"/>
      <c r="R108" s="340"/>
      <c r="S108" s="340"/>
      <c r="T108" s="340"/>
      <c r="U108" s="340"/>
      <c r="V108" s="340"/>
      <c r="W108" s="340"/>
      <c r="X108" s="340"/>
      <c r="Y108" s="340"/>
      <c r="Z108" s="340"/>
      <c r="AA108" s="340"/>
      <c r="AB108" s="300"/>
    </row>
    <row r="109" spans="1:91" s="56" customFormat="1" ht="18.75" customHeight="1" x14ac:dyDescent="0.2">
      <c r="A109" s="904" t="s">
        <v>671</v>
      </c>
      <c r="B109" s="905"/>
      <c r="C109" s="905"/>
      <c r="D109" s="905"/>
      <c r="E109" s="905"/>
      <c r="F109" s="298"/>
      <c r="G109" s="320"/>
      <c r="H109" s="320"/>
      <c r="I109" s="320"/>
      <c r="J109" s="320"/>
      <c r="K109" s="331"/>
      <c r="L109" s="331"/>
      <c r="M109" s="331"/>
      <c r="N109" s="331"/>
      <c r="O109" s="331"/>
      <c r="P109" s="331"/>
      <c r="Q109" s="331"/>
      <c r="R109" s="339"/>
      <c r="S109" s="339"/>
      <c r="T109" s="339"/>
      <c r="U109" s="339"/>
      <c r="V109" s="339"/>
      <c r="W109" s="339"/>
      <c r="X109" s="339"/>
      <c r="Y109" s="339"/>
      <c r="Z109" s="339"/>
      <c r="AA109" s="339"/>
      <c r="AB109" s="299"/>
    </row>
    <row r="110" spans="1:91" ht="14.1" customHeight="1" x14ac:dyDescent="0.2">
      <c r="A110" s="279" t="s">
        <v>741</v>
      </c>
      <c r="B110" s="102"/>
      <c r="C110" s="103"/>
      <c r="D110" s="104"/>
      <c r="E110" s="103"/>
      <c r="F110" s="289" t="s">
        <v>676</v>
      </c>
      <c r="G110" s="148"/>
      <c r="H110" s="148"/>
      <c r="I110" s="148"/>
      <c r="J110" s="148"/>
      <c r="K110" s="152"/>
      <c r="L110" s="152"/>
      <c r="M110" s="152"/>
      <c r="N110" s="152"/>
      <c r="O110" s="152"/>
      <c r="P110" s="152"/>
      <c r="Q110" s="152"/>
      <c r="R110" s="340"/>
      <c r="S110" s="340"/>
      <c r="T110" s="340"/>
      <c r="U110" s="340"/>
      <c r="V110" s="340"/>
      <c r="W110" s="340"/>
      <c r="X110" s="340"/>
      <c r="Y110" s="340"/>
      <c r="Z110" s="340"/>
      <c r="AA110" s="340"/>
      <c r="AB110" s="300"/>
    </row>
    <row r="111" spans="1:91" s="90" customFormat="1" ht="14.1" customHeight="1" x14ac:dyDescent="0.2">
      <c r="A111" s="301" t="s">
        <v>101</v>
      </c>
      <c r="B111" s="594" t="s">
        <v>102</v>
      </c>
      <c r="C111" s="594"/>
      <c r="D111" s="594"/>
      <c r="E111" s="594"/>
      <c r="F111" s="291" t="s">
        <v>673</v>
      </c>
      <c r="G111" s="321">
        <f t="shared" ref="G111:AB111" si="214">G113+G117</f>
        <v>175745.85</v>
      </c>
      <c r="H111" s="321">
        <f t="shared" si="214"/>
        <v>0</v>
      </c>
      <c r="I111" s="321">
        <f t="shared" si="214"/>
        <v>175745.85</v>
      </c>
      <c r="J111" s="321">
        <f t="shared" si="214"/>
        <v>175745.85</v>
      </c>
      <c r="K111" s="332">
        <f t="shared" si="214"/>
        <v>0</v>
      </c>
      <c r="L111" s="332">
        <f t="shared" si="214"/>
        <v>0</v>
      </c>
      <c r="M111" s="332">
        <f t="shared" si="214"/>
        <v>0</v>
      </c>
      <c r="N111" s="332">
        <f t="shared" si="214"/>
        <v>175745.85</v>
      </c>
      <c r="O111" s="332">
        <f t="shared" si="214"/>
        <v>9800</v>
      </c>
      <c r="P111" s="332">
        <f t="shared" si="214"/>
        <v>22256.37</v>
      </c>
      <c r="Q111" s="332">
        <f t="shared" si="214"/>
        <v>89881.66</v>
      </c>
      <c r="R111" s="332">
        <f t="shared" si="214"/>
        <v>31807.82</v>
      </c>
      <c r="S111" s="332">
        <f t="shared" si="214"/>
        <v>153745.85</v>
      </c>
      <c r="T111" s="332">
        <f t="shared" si="214"/>
        <v>9800</v>
      </c>
      <c r="U111" s="332">
        <f t="shared" si="214"/>
        <v>22256.37</v>
      </c>
      <c r="V111" s="332">
        <f t="shared" si="214"/>
        <v>89881.66</v>
      </c>
      <c r="W111" s="332">
        <f t="shared" si="214"/>
        <v>31807.82</v>
      </c>
      <c r="X111" s="332">
        <f t="shared" si="214"/>
        <v>153745.85</v>
      </c>
      <c r="Y111" s="332">
        <f t="shared" si="214"/>
        <v>0</v>
      </c>
      <c r="Z111" s="332">
        <f t="shared" si="214"/>
        <v>22000</v>
      </c>
      <c r="AA111" s="332">
        <f t="shared" si="214"/>
        <v>0</v>
      </c>
      <c r="AB111" s="302">
        <f t="shared" si="214"/>
        <v>0</v>
      </c>
    </row>
    <row r="112" spans="1:91" s="91" customFormat="1" ht="14.1" customHeight="1" x14ac:dyDescent="0.2">
      <c r="A112" s="303" t="s">
        <v>103</v>
      </c>
      <c r="B112" s="592" t="s">
        <v>104</v>
      </c>
      <c r="C112" s="592"/>
      <c r="D112" s="592"/>
      <c r="E112" s="69"/>
      <c r="F112" s="91" t="s">
        <v>246</v>
      </c>
      <c r="G112" s="149"/>
      <c r="H112" s="149"/>
      <c r="I112" s="149"/>
      <c r="J112" s="149"/>
      <c r="K112" s="159"/>
      <c r="L112" s="159"/>
      <c r="M112" s="159"/>
      <c r="N112" s="159"/>
      <c r="O112" s="159"/>
      <c r="P112" s="159"/>
      <c r="Q112" s="159"/>
      <c r="R112" s="341"/>
      <c r="S112" s="341"/>
      <c r="T112" s="341"/>
      <c r="U112" s="341"/>
      <c r="V112" s="341"/>
      <c r="W112" s="341"/>
      <c r="X112" s="341"/>
      <c r="Y112" s="341"/>
      <c r="Z112" s="341"/>
      <c r="AA112" s="341"/>
      <c r="AB112" s="304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</row>
    <row r="113" spans="1:91" s="91" customFormat="1" ht="14.1" customHeight="1" x14ac:dyDescent="0.2">
      <c r="A113" s="303"/>
      <c r="B113" s="592"/>
      <c r="C113" s="592"/>
      <c r="D113" s="592" t="s">
        <v>245</v>
      </c>
      <c r="E113" s="69"/>
      <c r="F113" s="91" t="s">
        <v>246</v>
      </c>
      <c r="G113" s="322">
        <f t="shared" ref="G113:AB113" si="215">SUM(G114:G115)</f>
        <v>175745.85</v>
      </c>
      <c r="H113" s="322">
        <f t="shared" si="215"/>
        <v>0</v>
      </c>
      <c r="I113" s="322">
        <f t="shared" si="215"/>
        <v>175745.85</v>
      </c>
      <c r="J113" s="322">
        <f t="shared" si="215"/>
        <v>175745.85</v>
      </c>
      <c r="K113" s="333">
        <f t="shared" si="215"/>
        <v>0</v>
      </c>
      <c r="L113" s="333">
        <f t="shared" si="215"/>
        <v>0</v>
      </c>
      <c r="M113" s="333">
        <f t="shared" si="215"/>
        <v>0</v>
      </c>
      <c r="N113" s="333">
        <f t="shared" si="215"/>
        <v>175745.85</v>
      </c>
      <c r="O113" s="333">
        <f t="shared" si="215"/>
        <v>9800</v>
      </c>
      <c r="P113" s="333">
        <f t="shared" si="215"/>
        <v>22256.37</v>
      </c>
      <c r="Q113" s="333">
        <f t="shared" si="215"/>
        <v>89881.66</v>
      </c>
      <c r="R113" s="333">
        <f t="shared" si="215"/>
        <v>31807.82</v>
      </c>
      <c r="S113" s="333">
        <f t="shared" si="215"/>
        <v>153745.85</v>
      </c>
      <c r="T113" s="333">
        <f t="shared" si="215"/>
        <v>9800</v>
      </c>
      <c r="U113" s="333">
        <f t="shared" si="215"/>
        <v>22256.37</v>
      </c>
      <c r="V113" s="333">
        <f t="shared" si="215"/>
        <v>89881.66</v>
      </c>
      <c r="W113" s="333">
        <f t="shared" si="215"/>
        <v>31807.82</v>
      </c>
      <c r="X113" s="333">
        <f t="shared" si="215"/>
        <v>153745.85</v>
      </c>
      <c r="Y113" s="333">
        <f t="shared" si="215"/>
        <v>0</v>
      </c>
      <c r="Z113" s="333">
        <f t="shared" si="215"/>
        <v>22000</v>
      </c>
      <c r="AA113" s="333">
        <f t="shared" si="215"/>
        <v>0</v>
      </c>
      <c r="AB113" s="305">
        <f t="shared" si="215"/>
        <v>0</v>
      </c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</row>
    <row r="114" spans="1:91" s="91" customFormat="1" ht="14.1" customHeight="1" x14ac:dyDescent="0.2">
      <c r="A114" s="303"/>
      <c r="B114" s="592"/>
      <c r="C114" s="592"/>
      <c r="D114" s="592"/>
      <c r="E114" s="69" t="s">
        <v>12</v>
      </c>
      <c r="G114" s="323">
        <f>'detailed fund u'!$H$170</f>
        <v>175745.85</v>
      </c>
      <c r="H114" s="323"/>
      <c r="I114" s="329">
        <f t="shared" ref="I114:I115" si="216">G114+H114</f>
        <v>175745.85</v>
      </c>
      <c r="J114" s="329">
        <f t="shared" ref="J114:J115" si="217">I114</f>
        <v>175745.85</v>
      </c>
      <c r="K114" s="274">
        <f>'detailed fund u'!$L$170</f>
        <v>0</v>
      </c>
      <c r="L114" s="274"/>
      <c r="M114" s="274">
        <f>'detailed fund u'!$T$170</f>
        <v>0</v>
      </c>
      <c r="N114" s="275">
        <f>J114+K114-L114+M114</f>
        <v>175745.85</v>
      </c>
      <c r="O114" s="274">
        <f>'detailed fund u'!$AB$170</f>
        <v>9800</v>
      </c>
      <c r="P114" s="274">
        <f>'detailed fund u'!$AF$170</f>
        <v>22256.37</v>
      </c>
      <c r="Q114" s="274">
        <f>'detailed fund u'!$AJ$170</f>
        <v>89881.66</v>
      </c>
      <c r="R114" s="274">
        <f>'detailed fund u'!$AN$170</f>
        <v>31807.82</v>
      </c>
      <c r="S114" s="274">
        <f t="shared" ref="S114:S115" si="218">SUM(O114:R114)</f>
        <v>153745.85</v>
      </c>
      <c r="T114" s="274">
        <f>'detailed fund u'!$AV$170</f>
        <v>9800</v>
      </c>
      <c r="U114" s="274">
        <f>'detailed fund u'!$AZ$170</f>
        <v>22256.37</v>
      </c>
      <c r="V114" s="274">
        <f>'detailed fund u'!$BD$170</f>
        <v>89881.66</v>
      </c>
      <c r="W114" s="274">
        <f>'detailed fund u'!$BH$170</f>
        <v>31807.82</v>
      </c>
      <c r="X114" s="274">
        <f t="shared" ref="X114:X115" si="219">SUM(T114:W114)</f>
        <v>153745.85</v>
      </c>
      <c r="Y114" s="274">
        <f t="shared" ref="Y114:Y115" si="220">I114-N114</f>
        <v>0</v>
      </c>
      <c r="Z114" s="274">
        <f t="shared" ref="Z114:Z115" si="221">N114-S114</f>
        <v>22000</v>
      </c>
      <c r="AA114" s="274">
        <f>'detailed fund u'!$BU$170</f>
        <v>0</v>
      </c>
      <c r="AB114" s="306">
        <f t="shared" ref="AB114:AB115" si="222">+S114-X114-AA114</f>
        <v>0</v>
      </c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</row>
    <row r="115" spans="1:91" s="91" customFormat="1" ht="14.1" customHeight="1" x14ac:dyDescent="0.2">
      <c r="A115" s="303"/>
      <c r="B115" s="592"/>
      <c r="C115" s="592"/>
      <c r="D115" s="592"/>
      <c r="E115" s="69" t="s">
        <v>13</v>
      </c>
      <c r="G115" s="323">
        <f>'detailed fund u'!$I$170</f>
        <v>0</v>
      </c>
      <c r="H115" s="323"/>
      <c r="I115" s="329">
        <f t="shared" si="216"/>
        <v>0</v>
      </c>
      <c r="J115" s="329">
        <f t="shared" si="217"/>
        <v>0</v>
      </c>
      <c r="K115" s="274">
        <f>'detailed fund u'!$M$170</f>
        <v>0</v>
      </c>
      <c r="L115" s="274"/>
      <c r="M115" s="274">
        <f>'detailed fund u'!$U$170</f>
        <v>0</v>
      </c>
      <c r="N115" s="275">
        <f>J115+K115-L115+M115</f>
        <v>0</v>
      </c>
      <c r="O115" s="274">
        <f>'detailed fund u'!$AC$170</f>
        <v>0</v>
      </c>
      <c r="P115" s="274">
        <f>'detailed fund u'!$AG$91</f>
        <v>0</v>
      </c>
      <c r="Q115" s="274">
        <f>'detailed fund u'!$AK$170</f>
        <v>0</v>
      </c>
      <c r="R115" s="274">
        <f>'detailed fund u'!$AO$170</f>
        <v>0</v>
      </c>
      <c r="S115" s="274">
        <f t="shared" si="218"/>
        <v>0</v>
      </c>
      <c r="T115" s="274">
        <f>'detailed fund u'!$AW$170</f>
        <v>0</v>
      </c>
      <c r="U115" s="274">
        <f>'detailed fund u'!$BA$170</f>
        <v>0</v>
      </c>
      <c r="V115" s="274">
        <f>'detailed fund u'!$BE$170</f>
        <v>0</v>
      </c>
      <c r="W115" s="274">
        <f>'detailed fund u'!$BI$170</f>
        <v>0</v>
      </c>
      <c r="X115" s="274">
        <f t="shared" si="219"/>
        <v>0</v>
      </c>
      <c r="Y115" s="274">
        <f t="shared" si="220"/>
        <v>0</v>
      </c>
      <c r="Z115" s="274">
        <f t="shared" si="221"/>
        <v>0</v>
      </c>
      <c r="AA115" s="274">
        <f>'detailed fund u'!$BV$170</f>
        <v>0</v>
      </c>
      <c r="AB115" s="306">
        <f t="shared" si="222"/>
        <v>0</v>
      </c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</row>
    <row r="116" spans="1:91" s="91" customFormat="1" ht="14.1" customHeight="1" x14ac:dyDescent="0.2">
      <c r="A116" s="303" t="s">
        <v>110</v>
      </c>
      <c r="B116" s="592" t="s">
        <v>111</v>
      </c>
      <c r="C116" s="592"/>
      <c r="D116" s="592"/>
      <c r="E116" s="69"/>
      <c r="F116" s="91" t="s">
        <v>247</v>
      </c>
      <c r="G116" s="149"/>
      <c r="H116" s="149"/>
      <c r="I116" s="149"/>
      <c r="J116" s="149"/>
      <c r="K116" s="159"/>
      <c r="L116" s="159"/>
      <c r="M116" s="159"/>
      <c r="N116" s="159"/>
      <c r="O116" s="159"/>
      <c r="P116" s="159"/>
      <c r="Q116" s="159"/>
      <c r="R116" s="341"/>
      <c r="S116" s="341"/>
      <c r="T116" s="341"/>
      <c r="U116" s="341"/>
      <c r="V116" s="341"/>
      <c r="W116" s="341"/>
      <c r="X116" s="341"/>
      <c r="Y116" s="341"/>
      <c r="Z116" s="341"/>
      <c r="AA116" s="341"/>
      <c r="AB116" s="304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</row>
    <row r="117" spans="1:91" s="91" customFormat="1" ht="14.1" customHeight="1" x14ac:dyDescent="0.2">
      <c r="A117" s="303"/>
      <c r="B117" s="592"/>
      <c r="C117" s="592"/>
      <c r="D117" s="592" t="s">
        <v>248</v>
      </c>
      <c r="E117" s="69"/>
      <c r="F117" s="91" t="s">
        <v>249</v>
      </c>
      <c r="G117" s="322">
        <f t="shared" ref="G117:AB117" si="223">SUM(G118:G119)</f>
        <v>0</v>
      </c>
      <c r="H117" s="322">
        <f t="shared" si="223"/>
        <v>0</v>
      </c>
      <c r="I117" s="322">
        <f t="shared" si="223"/>
        <v>0</v>
      </c>
      <c r="J117" s="322">
        <f t="shared" si="223"/>
        <v>0</v>
      </c>
      <c r="K117" s="333">
        <f t="shared" si="223"/>
        <v>0</v>
      </c>
      <c r="L117" s="333">
        <f t="shared" si="223"/>
        <v>0</v>
      </c>
      <c r="M117" s="333">
        <f t="shared" si="223"/>
        <v>0</v>
      </c>
      <c r="N117" s="333">
        <f t="shared" si="223"/>
        <v>0</v>
      </c>
      <c r="O117" s="333">
        <f t="shared" si="223"/>
        <v>0</v>
      </c>
      <c r="P117" s="333">
        <f t="shared" si="223"/>
        <v>0</v>
      </c>
      <c r="Q117" s="333">
        <f t="shared" si="223"/>
        <v>0</v>
      </c>
      <c r="R117" s="333">
        <f t="shared" si="223"/>
        <v>0</v>
      </c>
      <c r="S117" s="333">
        <f t="shared" si="223"/>
        <v>0</v>
      </c>
      <c r="T117" s="333">
        <f t="shared" si="223"/>
        <v>0</v>
      </c>
      <c r="U117" s="333">
        <f t="shared" si="223"/>
        <v>0</v>
      </c>
      <c r="V117" s="333">
        <f t="shared" si="223"/>
        <v>0</v>
      </c>
      <c r="W117" s="333">
        <f t="shared" si="223"/>
        <v>0</v>
      </c>
      <c r="X117" s="333">
        <f t="shared" si="223"/>
        <v>0</v>
      </c>
      <c r="Y117" s="333">
        <f t="shared" si="223"/>
        <v>0</v>
      </c>
      <c r="Z117" s="333">
        <f t="shared" si="223"/>
        <v>0</v>
      </c>
      <c r="AA117" s="333">
        <f t="shared" si="223"/>
        <v>0</v>
      </c>
      <c r="AB117" s="305">
        <f t="shared" si="223"/>
        <v>0</v>
      </c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</row>
    <row r="118" spans="1:91" s="91" customFormat="1" ht="14.1" customHeight="1" x14ac:dyDescent="0.2">
      <c r="A118" s="303"/>
      <c r="B118" s="592"/>
      <c r="C118" s="592"/>
      <c r="D118" s="592"/>
      <c r="E118" s="69" t="s">
        <v>12</v>
      </c>
      <c r="G118" s="323">
        <f>'detailed fund u'!$H$175</f>
        <v>0</v>
      </c>
      <c r="H118" s="323"/>
      <c r="I118" s="329">
        <f t="shared" ref="I118:I119" si="224">G118+H118</f>
        <v>0</v>
      </c>
      <c r="J118" s="329">
        <f t="shared" ref="J118:J119" si="225">I118</f>
        <v>0</v>
      </c>
      <c r="K118" s="274">
        <f>'detailed fund u'!$L$175</f>
        <v>0</v>
      </c>
      <c r="L118" s="274"/>
      <c r="M118" s="274">
        <f>'detailed fund u'!$T$175</f>
        <v>0</v>
      </c>
      <c r="N118" s="275">
        <f>J118+K118-L118+M118</f>
        <v>0</v>
      </c>
      <c r="O118" s="274">
        <f>'detailed fund u'!$AB$175</f>
        <v>0</v>
      </c>
      <c r="P118" s="274">
        <f>'detailed fund u'!$AF$175</f>
        <v>0</v>
      </c>
      <c r="Q118" s="274">
        <f>'detailed fund u'!$AJ$175</f>
        <v>0</v>
      </c>
      <c r="R118" s="274">
        <f>'detailed fund u'!$AN$175</f>
        <v>0</v>
      </c>
      <c r="S118" s="274">
        <f t="shared" ref="S118:S119" si="226">SUM(O118:R118)</f>
        <v>0</v>
      </c>
      <c r="T118" s="274">
        <f>'detailed fund u'!$AV$175</f>
        <v>0</v>
      </c>
      <c r="U118" s="274">
        <f>'detailed fund u'!$AZ$175</f>
        <v>0</v>
      </c>
      <c r="V118" s="274">
        <f>'detailed fund u'!$BD$175</f>
        <v>0</v>
      </c>
      <c r="W118" s="274">
        <f>'detailed fund u'!$BH$175</f>
        <v>0</v>
      </c>
      <c r="X118" s="274">
        <f t="shared" ref="X118:X119" si="227">SUM(T118:W118)</f>
        <v>0</v>
      </c>
      <c r="Y118" s="274">
        <f t="shared" ref="Y118:Y119" si="228">I118-N118</f>
        <v>0</v>
      </c>
      <c r="Z118" s="274">
        <f t="shared" ref="Z118:Z119" si="229">N118-S118</f>
        <v>0</v>
      </c>
      <c r="AA118" s="274">
        <f>'detailed fund u'!$BU$175</f>
        <v>0</v>
      </c>
      <c r="AB118" s="306">
        <f t="shared" ref="AB118:AB119" si="230">+S118-X118-AA118</f>
        <v>0</v>
      </c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</row>
    <row r="119" spans="1:91" s="91" customFormat="1" ht="14.1" customHeight="1" x14ac:dyDescent="0.2">
      <c r="A119" s="303"/>
      <c r="B119" s="592"/>
      <c r="C119" s="592"/>
      <c r="D119" s="592"/>
      <c r="E119" s="69" t="s">
        <v>13</v>
      </c>
      <c r="G119" s="323">
        <f>'detailed fund u'!$I$175</f>
        <v>0</v>
      </c>
      <c r="H119" s="323"/>
      <c r="I119" s="329">
        <f t="shared" si="224"/>
        <v>0</v>
      </c>
      <c r="J119" s="329">
        <f t="shared" si="225"/>
        <v>0</v>
      </c>
      <c r="K119" s="274">
        <f>'detailed fund u'!$M$175</f>
        <v>0</v>
      </c>
      <c r="L119" s="274"/>
      <c r="M119" s="274">
        <f>'detailed fund u'!$U$175</f>
        <v>0</v>
      </c>
      <c r="N119" s="275">
        <f>J119+K119-L119+M119</f>
        <v>0</v>
      </c>
      <c r="O119" s="274">
        <f>'detailed fund u'!$AC$175</f>
        <v>0</v>
      </c>
      <c r="P119" s="274">
        <f>'detailed fund u'!$AG$91</f>
        <v>0</v>
      </c>
      <c r="Q119" s="274">
        <f>'detailed fund u'!$AK$175</f>
        <v>0</v>
      </c>
      <c r="R119" s="274">
        <f>'detailed fund u'!$AO$175</f>
        <v>0</v>
      </c>
      <c r="S119" s="274">
        <f t="shared" si="226"/>
        <v>0</v>
      </c>
      <c r="T119" s="274">
        <f>'detailed fund u'!$AW$175</f>
        <v>0</v>
      </c>
      <c r="U119" s="274">
        <f>'detailed fund u'!$BA$175</f>
        <v>0</v>
      </c>
      <c r="V119" s="274">
        <f>'detailed fund u'!$BE$175</f>
        <v>0</v>
      </c>
      <c r="W119" s="274">
        <f>'detailed fund u'!$BI$175</f>
        <v>0</v>
      </c>
      <c r="X119" s="274">
        <f t="shared" si="227"/>
        <v>0</v>
      </c>
      <c r="Y119" s="274">
        <f t="shared" si="228"/>
        <v>0</v>
      </c>
      <c r="Z119" s="274">
        <f t="shared" si="229"/>
        <v>0</v>
      </c>
      <c r="AA119" s="274">
        <f>'detailed fund u'!$BV$175</f>
        <v>0</v>
      </c>
      <c r="AB119" s="306">
        <f t="shared" si="230"/>
        <v>0</v>
      </c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</row>
    <row r="120" spans="1:91" s="91" customFormat="1" ht="14.1" customHeight="1" x14ac:dyDescent="0.2">
      <c r="A120" s="303"/>
      <c r="B120" s="592"/>
      <c r="C120" s="592"/>
      <c r="D120" s="592"/>
      <c r="E120" s="69"/>
      <c r="G120" s="323"/>
      <c r="H120" s="323"/>
      <c r="I120" s="329"/>
      <c r="J120" s="329"/>
      <c r="K120" s="274"/>
      <c r="L120" s="274"/>
      <c r="M120" s="274"/>
      <c r="N120" s="275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306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</row>
    <row r="121" spans="1:91" s="61" customFormat="1" ht="14.1" customHeight="1" x14ac:dyDescent="0.2">
      <c r="A121" s="307" t="s">
        <v>112</v>
      </c>
      <c r="B121" s="944" t="s">
        <v>113</v>
      </c>
      <c r="C121" s="944"/>
      <c r="D121" s="944"/>
      <c r="E121" s="944"/>
      <c r="F121" s="258" t="s">
        <v>250</v>
      </c>
      <c r="G121" s="324">
        <f t="shared" ref="G121:AB121" si="231">SUM(G123:G130)</f>
        <v>0</v>
      </c>
      <c r="H121" s="324">
        <f t="shared" si="231"/>
        <v>0</v>
      </c>
      <c r="I121" s="324">
        <f t="shared" si="231"/>
        <v>0</v>
      </c>
      <c r="J121" s="324">
        <f t="shared" si="231"/>
        <v>0</v>
      </c>
      <c r="K121" s="334">
        <f t="shared" si="231"/>
        <v>0</v>
      </c>
      <c r="L121" s="334">
        <f t="shared" si="231"/>
        <v>0</v>
      </c>
      <c r="M121" s="334">
        <f t="shared" si="231"/>
        <v>0</v>
      </c>
      <c r="N121" s="334">
        <f t="shared" si="231"/>
        <v>0</v>
      </c>
      <c r="O121" s="334">
        <f t="shared" si="231"/>
        <v>0</v>
      </c>
      <c r="P121" s="334">
        <f t="shared" si="231"/>
        <v>0</v>
      </c>
      <c r="Q121" s="334">
        <f t="shared" si="231"/>
        <v>0</v>
      </c>
      <c r="R121" s="334">
        <f t="shared" si="231"/>
        <v>0</v>
      </c>
      <c r="S121" s="334">
        <f t="shared" si="231"/>
        <v>0</v>
      </c>
      <c r="T121" s="334">
        <f t="shared" si="231"/>
        <v>0</v>
      </c>
      <c r="U121" s="334">
        <f t="shared" si="231"/>
        <v>0</v>
      </c>
      <c r="V121" s="334">
        <f t="shared" si="231"/>
        <v>0</v>
      </c>
      <c r="W121" s="334">
        <f t="shared" si="231"/>
        <v>0</v>
      </c>
      <c r="X121" s="334">
        <f t="shared" si="231"/>
        <v>0</v>
      </c>
      <c r="Y121" s="334">
        <f t="shared" si="231"/>
        <v>0</v>
      </c>
      <c r="Z121" s="334">
        <f t="shared" si="231"/>
        <v>0</v>
      </c>
      <c r="AA121" s="334">
        <f t="shared" si="231"/>
        <v>0</v>
      </c>
      <c r="AB121" s="308">
        <f t="shared" si="231"/>
        <v>0</v>
      </c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</row>
    <row r="122" spans="1:91" s="61" customFormat="1" ht="14.1" customHeight="1" x14ac:dyDescent="0.2">
      <c r="A122" s="303" t="s">
        <v>114</v>
      </c>
      <c r="B122" s="80" t="s">
        <v>126</v>
      </c>
      <c r="C122" s="592" t="s">
        <v>115</v>
      </c>
      <c r="D122" s="592"/>
      <c r="E122" s="592"/>
      <c r="F122" s="258" t="s">
        <v>251</v>
      </c>
      <c r="G122" s="148"/>
      <c r="H122" s="148"/>
      <c r="I122" s="148"/>
      <c r="J122" s="148"/>
      <c r="K122" s="152"/>
      <c r="L122" s="152"/>
      <c r="M122" s="152"/>
      <c r="N122" s="152"/>
      <c r="O122" s="152"/>
      <c r="P122" s="152"/>
      <c r="Q122" s="152"/>
      <c r="R122" s="340"/>
      <c r="S122" s="340"/>
      <c r="T122" s="340"/>
      <c r="U122" s="340"/>
      <c r="V122" s="340"/>
      <c r="W122" s="340"/>
      <c r="X122" s="340"/>
      <c r="Y122" s="340"/>
      <c r="Z122" s="340"/>
      <c r="AA122" s="340"/>
      <c r="AB122" s="300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</row>
    <row r="123" spans="1:91" s="61" customFormat="1" ht="14.1" customHeight="1" x14ac:dyDescent="0.2">
      <c r="A123" s="303"/>
      <c r="B123" s="80"/>
      <c r="C123" s="592"/>
      <c r="D123" s="592"/>
      <c r="E123" s="69" t="s">
        <v>12</v>
      </c>
      <c r="G123" s="323">
        <f>'detailed fund u'!$H$178</f>
        <v>0</v>
      </c>
      <c r="H123" s="323"/>
      <c r="I123" s="329">
        <f t="shared" ref="I123:I124" si="232">G123+H123</f>
        <v>0</v>
      </c>
      <c r="J123" s="329">
        <f t="shared" ref="J123:J124" si="233">I123</f>
        <v>0</v>
      </c>
      <c r="K123" s="274">
        <f>'detailed fund u'!$L$178</f>
        <v>0</v>
      </c>
      <c r="L123" s="274"/>
      <c r="M123" s="274">
        <f>'detailed fund u'!$T$178</f>
        <v>0</v>
      </c>
      <c r="N123" s="275">
        <f>J123+K123-L123+M123</f>
        <v>0</v>
      </c>
      <c r="O123" s="274">
        <f>'detailed fund u'!$AB$178</f>
        <v>0</v>
      </c>
      <c r="P123" s="274">
        <f>'detailed fund u'!$AF$178</f>
        <v>0</v>
      </c>
      <c r="Q123" s="274">
        <f>'detailed fund u'!$AJ$178</f>
        <v>0</v>
      </c>
      <c r="R123" s="274">
        <f>'detailed fund u'!$AN$178</f>
        <v>0</v>
      </c>
      <c r="S123" s="274">
        <f t="shared" ref="S123:S124" si="234">SUM(O123:R123)</f>
        <v>0</v>
      </c>
      <c r="T123" s="274">
        <f>'detailed fund u'!$AV$178</f>
        <v>0</v>
      </c>
      <c r="U123" s="274">
        <f>'detailed fund u'!$AZ$178</f>
        <v>0</v>
      </c>
      <c r="V123" s="274">
        <f>'detailed fund u'!$BD$178</f>
        <v>0</v>
      </c>
      <c r="W123" s="274">
        <f>'detailed fund u'!$BH$178</f>
        <v>0</v>
      </c>
      <c r="X123" s="274">
        <f t="shared" ref="X123:X124" si="235">SUM(T123:W123)</f>
        <v>0</v>
      </c>
      <c r="Y123" s="274">
        <f t="shared" ref="Y123:Y124" si="236">I123-N123</f>
        <v>0</v>
      </c>
      <c r="Z123" s="274">
        <f t="shared" ref="Z123:Z124" si="237">N123-S123</f>
        <v>0</v>
      </c>
      <c r="AA123" s="274">
        <f>'detailed fund u'!$BU$178</f>
        <v>0</v>
      </c>
      <c r="AB123" s="306">
        <f t="shared" ref="AB123:AB124" si="238">+S123-X123-AA123</f>
        <v>0</v>
      </c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</row>
    <row r="124" spans="1:91" s="61" customFormat="1" ht="14.1" customHeight="1" x14ac:dyDescent="0.2">
      <c r="A124" s="303"/>
      <c r="B124" s="80"/>
      <c r="C124" s="592"/>
      <c r="D124" s="592"/>
      <c r="E124" s="69" t="s">
        <v>13</v>
      </c>
      <c r="G124" s="323">
        <f>'detailed fund u'!$I$178</f>
        <v>0</v>
      </c>
      <c r="H124" s="323"/>
      <c r="I124" s="329">
        <f t="shared" si="232"/>
        <v>0</v>
      </c>
      <c r="J124" s="329">
        <f t="shared" si="233"/>
        <v>0</v>
      </c>
      <c r="K124" s="274">
        <f>'detailed fund u'!$M$178</f>
        <v>0</v>
      </c>
      <c r="L124" s="274"/>
      <c r="M124" s="274">
        <f>'detailed fund u'!$U$178</f>
        <v>0</v>
      </c>
      <c r="N124" s="275">
        <f>J124+K124-L124+M124</f>
        <v>0</v>
      </c>
      <c r="O124" s="274">
        <f>'detailed fund u'!$AC$178</f>
        <v>0</v>
      </c>
      <c r="P124" s="274">
        <f>'detailed fund u'!$AG$91</f>
        <v>0</v>
      </c>
      <c r="Q124" s="274">
        <f>'detailed fund u'!$AK$178</f>
        <v>0</v>
      </c>
      <c r="R124" s="274">
        <f>'detailed fund u'!$AO$178</f>
        <v>0</v>
      </c>
      <c r="S124" s="274">
        <f t="shared" si="234"/>
        <v>0</v>
      </c>
      <c r="T124" s="274">
        <f>'detailed fund u'!$AW$178</f>
        <v>0</v>
      </c>
      <c r="U124" s="274">
        <f>'detailed fund u'!$BA$178</f>
        <v>0</v>
      </c>
      <c r="V124" s="274">
        <f>'detailed fund u'!$BE$178</f>
        <v>0</v>
      </c>
      <c r="W124" s="274">
        <f>'detailed fund u'!$BI$178</f>
        <v>0</v>
      </c>
      <c r="X124" s="274">
        <f t="shared" si="235"/>
        <v>0</v>
      </c>
      <c r="Y124" s="274">
        <f t="shared" si="236"/>
        <v>0</v>
      </c>
      <c r="Z124" s="274">
        <f t="shared" si="237"/>
        <v>0</v>
      </c>
      <c r="AA124" s="274">
        <f>'detailed fund u'!$BV$178</f>
        <v>0</v>
      </c>
      <c r="AB124" s="306">
        <f t="shared" si="238"/>
        <v>0</v>
      </c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</row>
    <row r="125" spans="1:91" s="61" customFormat="1" ht="14.1" customHeight="1" x14ac:dyDescent="0.2">
      <c r="A125" s="303" t="s">
        <v>116</v>
      </c>
      <c r="B125" s="80" t="s">
        <v>131</v>
      </c>
      <c r="C125" s="592" t="s">
        <v>252</v>
      </c>
      <c r="D125" s="592"/>
      <c r="E125" s="592"/>
      <c r="F125" s="258" t="s">
        <v>253</v>
      </c>
      <c r="G125" s="148"/>
      <c r="H125" s="148"/>
      <c r="I125" s="148"/>
      <c r="J125" s="148"/>
      <c r="K125" s="152"/>
      <c r="L125" s="152"/>
      <c r="M125" s="152"/>
      <c r="N125" s="152"/>
      <c r="O125" s="152"/>
      <c r="P125" s="152"/>
      <c r="Q125" s="152"/>
      <c r="R125" s="340"/>
      <c r="S125" s="340"/>
      <c r="T125" s="340"/>
      <c r="U125" s="340"/>
      <c r="V125" s="340"/>
      <c r="W125" s="340"/>
      <c r="X125" s="340"/>
      <c r="Y125" s="340"/>
      <c r="Z125" s="340"/>
      <c r="AA125" s="340"/>
      <c r="AB125" s="300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</row>
    <row r="126" spans="1:91" s="61" customFormat="1" ht="14.1" customHeight="1" x14ac:dyDescent="0.2">
      <c r="A126" s="303"/>
      <c r="B126" s="80"/>
      <c r="C126" s="592"/>
      <c r="D126" s="592"/>
      <c r="E126" s="69" t="s">
        <v>12</v>
      </c>
      <c r="G126" s="323">
        <f>'detailed fund u'!$H$179</f>
        <v>0</v>
      </c>
      <c r="H126" s="323"/>
      <c r="I126" s="329">
        <f t="shared" ref="I126:I127" si="239">G126+H126</f>
        <v>0</v>
      </c>
      <c r="J126" s="329">
        <f t="shared" ref="J126:J127" si="240">I126</f>
        <v>0</v>
      </c>
      <c r="K126" s="274">
        <f>'detailed fund u'!$L$179</f>
        <v>0</v>
      </c>
      <c r="L126" s="274"/>
      <c r="M126" s="274">
        <f>'detailed fund u'!$T$179</f>
        <v>0</v>
      </c>
      <c r="N126" s="275">
        <f>J126+K126-L126+M126</f>
        <v>0</v>
      </c>
      <c r="O126" s="274">
        <f>'detailed fund u'!$AB$179</f>
        <v>0</v>
      </c>
      <c r="P126" s="274">
        <f>'detailed fund u'!$AF$179</f>
        <v>0</v>
      </c>
      <c r="Q126" s="274">
        <f>'detailed fund u'!$AJ$179</f>
        <v>0</v>
      </c>
      <c r="R126" s="274">
        <f>'detailed fund u'!$AN$179</f>
        <v>0</v>
      </c>
      <c r="S126" s="274">
        <f t="shared" ref="S126:S127" si="241">SUM(O126:R126)</f>
        <v>0</v>
      </c>
      <c r="T126" s="274">
        <f>'detailed fund u'!$AV$179</f>
        <v>0</v>
      </c>
      <c r="U126" s="274">
        <f>'detailed fund u'!$AZ$179</f>
        <v>0</v>
      </c>
      <c r="V126" s="274">
        <f>'detailed fund u'!$BD$179</f>
        <v>0</v>
      </c>
      <c r="W126" s="274">
        <f>'detailed fund u'!$BH$179</f>
        <v>0</v>
      </c>
      <c r="X126" s="274">
        <f t="shared" ref="X126:X127" si="242">SUM(T126:W126)</f>
        <v>0</v>
      </c>
      <c r="Y126" s="274">
        <f t="shared" ref="Y126:Y127" si="243">I126-N126</f>
        <v>0</v>
      </c>
      <c r="Z126" s="274">
        <f t="shared" ref="Z126:Z127" si="244">N126-S126</f>
        <v>0</v>
      </c>
      <c r="AA126" s="274">
        <f>'detailed fund u'!$BU$179</f>
        <v>0</v>
      </c>
      <c r="AB126" s="306">
        <f t="shared" ref="AB126:AB127" si="245">+S126-X126-AA126</f>
        <v>0</v>
      </c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</row>
    <row r="127" spans="1:91" s="61" customFormat="1" ht="14.1" customHeight="1" x14ac:dyDescent="0.2">
      <c r="A127" s="303"/>
      <c r="B127" s="80"/>
      <c r="C127" s="592"/>
      <c r="D127" s="592"/>
      <c r="E127" s="69" t="s">
        <v>13</v>
      </c>
      <c r="G127" s="323">
        <f>'detailed fund u'!$I$179</f>
        <v>0</v>
      </c>
      <c r="H127" s="323"/>
      <c r="I127" s="329">
        <f t="shared" si="239"/>
        <v>0</v>
      </c>
      <c r="J127" s="329">
        <f t="shared" si="240"/>
        <v>0</v>
      </c>
      <c r="K127" s="274">
        <f>'detailed fund u'!$M$179</f>
        <v>0</v>
      </c>
      <c r="L127" s="274"/>
      <c r="M127" s="274">
        <f>'detailed fund u'!$U$179</f>
        <v>0</v>
      </c>
      <c r="N127" s="275">
        <f>J127+K127-L127+M127</f>
        <v>0</v>
      </c>
      <c r="O127" s="274">
        <f>'detailed fund u'!$AC$179</f>
        <v>0</v>
      </c>
      <c r="P127" s="274">
        <f>'detailed fund u'!$AG$91</f>
        <v>0</v>
      </c>
      <c r="Q127" s="274">
        <f>'detailed fund u'!$AK$179</f>
        <v>0</v>
      </c>
      <c r="R127" s="274">
        <f>'detailed fund u'!$AO$179</f>
        <v>0</v>
      </c>
      <c r="S127" s="274">
        <f t="shared" si="241"/>
        <v>0</v>
      </c>
      <c r="T127" s="274">
        <f>'detailed fund u'!$AW$179</f>
        <v>0</v>
      </c>
      <c r="U127" s="274">
        <f>'detailed fund u'!$BA$179</f>
        <v>0</v>
      </c>
      <c r="V127" s="274">
        <f>'detailed fund u'!$BE$179</f>
        <v>0</v>
      </c>
      <c r="W127" s="274">
        <f>'detailed fund u'!$BI179</f>
        <v>0</v>
      </c>
      <c r="X127" s="274">
        <f t="shared" si="242"/>
        <v>0</v>
      </c>
      <c r="Y127" s="274">
        <f t="shared" si="243"/>
        <v>0</v>
      </c>
      <c r="Z127" s="274">
        <f t="shared" si="244"/>
        <v>0</v>
      </c>
      <c r="AA127" s="274">
        <f>'detailed fund u'!$BV$179</f>
        <v>0</v>
      </c>
      <c r="AB127" s="306">
        <f t="shared" si="245"/>
        <v>0</v>
      </c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</row>
    <row r="128" spans="1:91" s="61" customFormat="1" ht="14.1" customHeight="1" x14ac:dyDescent="0.2">
      <c r="A128" s="303" t="s">
        <v>117</v>
      </c>
      <c r="B128" s="80" t="s">
        <v>134</v>
      </c>
      <c r="C128" s="592" t="s">
        <v>118</v>
      </c>
      <c r="D128" s="592"/>
      <c r="E128" s="592"/>
      <c r="F128" s="258" t="s">
        <v>254</v>
      </c>
      <c r="G128" s="148"/>
      <c r="H128" s="148"/>
      <c r="I128" s="148"/>
      <c r="J128" s="148"/>
      <c r="K128" s="152"/>
      <c r="L128" s="152"/>
      <c r="M128" s="152"/>
      <c r="N128" s="152"/>
      <c r="O128" s="152"/>
      <c r="P128" s="152"/>
      <c r="Q128" s="152"/>
      <c r="R128" s="340"/>
      <c r="S128" s="340"/>
      <c r="T128" s="340"/>
      <c r="U128" s="340"/>
      <c r="V128" s="340"/>
      <c r="W128" s="340"/>
      <c r="X128" s="340"/>
      <c r="Y128" s="340"/>
      <c r="Z128" s="340"/>
      <c r="AA128" s="340"/>
      <c r="AB128" s="300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</row>
    <row r="129" spans="1:91" s="61" customFormat="1" ht="14.1" customHeight="1" x14ac:dyDescent="0.2">
      <c r="A129" s="303"/>
      <c r="B129" s="80"/>
      <c r="C129" s="592"/>
      <c r="D129" s="592"/>
      <c r="E129" s="69" t="s">
        <v>12</v>
      </c>
      <c r="G129" s="323">
        <f>'detailed fund u'!$H$180</f>
        <v>0</v>
      </c>
      <c r="H129" s="323"/>
      <c r="I129" s="329">
        <f t="shared" ref="I129:I130" si="246">G129+H129</f>
        <v>0</v>
      </c>
      <c r="J129" s="329">
        <f t="shared" ref="J129:J130" si="247">I129</f>
        <v>0</v>
      </c>
      <c r="K129" s="274">
        <f>'detailed fund u'!$L$180</f>
        <v>0</v>
      </c>
      <c r="L129" s="274"/>
      <c r="M129" s="274">
        <f>'detailed fund u'!$T$180</f>
        <v>0</v>
      </c>
      <c r="N129" s="275">
        <f>J129+K129-L129+M129</f>
        <v>0</v>
      </c>
      <c r="O129" s="274">
        <f>'detailed fund u'!$AB$180</f>
        <v>0</v>
      </c>
      <c r="P129" s="274">
        <f>'detailed fund u'!$AF$180</f>
        <v>0</v>
      </c>
      <c r="Q129" s="274">
        <f>'detailed fund u'!$AJ$180</f>
        <v>0</v>
      </c>
      <c r="R129" s="274">
        <f>'detailed fund u'!$AN$180</f>
        <v>0</v>
      </c>
      <c r="S129" s="274">
        <f t="shared" ref="S129:S130" si="248">SUM(O129:R129)</f>
        <v>0</v>
      </c>
      <c r="T129" s="274">
        <f>'detailed fund u'!$AV$180</f>
        <v>0</v>
      </c>
      <c r="U129" s="274">
        <f>'detailed fund u'!$AZ$180</f>
        <v>0</v>
      </c>
      <c r="V129" s="274">
        <f>'detailed fund u'!$BD$180</f>
        <v>0</v>
      </c>
      <c r="W129" s="274">
        <f>'detailed fund u'!$BH$180</f>
        <v>0</v>
      </c>
      <c r="X129" s="274">
        <f t="shared" ref="X129:X130" si="249">SUM(T129:W129)</f>
        <v>0</v>
      </c>
      <c r="Y129" s="274">
        <f t="shared" ref="Y129:Y130" si="250">I129-N129</f>
        <v>0</v>
      </c>
      <c r="Z129" s="274">
        <f t="shared" ref="Z129:Z130" si="251">N129-S129</f>
        <v>0</v>
      </c>
      <c r="AA129" s="274">
        <f>'detailed fund u'!$BU$180</f>
        <v>0</v>
      </c>
      <c r="AB129" s="306">
        <f t="shared" ref="AB129:AB130" si="252">+S129-X129-AA129</f>
        <v>0</v>
      </c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</row>
    <row r="130" spans="1:91" s="61" customFormat="1" ht="14.1" customHeight="1" x14ac:dyDescent="0.2">
      <c r="A130" s="303"/>
      <c r="B130" s="80"/>
      <c r="C130" s="592"/>
      <c r="D130" s="592"/>
      <c r="E130" s="69" t="s">
        <v>13</v>
      </c>
      <c r="G130" s="323">
        <f>'detailed fund u'!$I$180</f>
        <v>0</v>
      </c>
      <c r="H130" s="323"/>
      <c r="I130" s="329">
        <f t="shared" si="246"/>
        <v>0</v>
      </c>
      <c r="J130" s="329">
        <f t="shared" si="247"/>
        <v>0</v>
      </c>
      <c r="K130" s="274">
        <f>'detailed fund u'!$M$180</f>
        <v>0</v>
      </c>
      <c r="L130" s="274"/>
      <c r="M130" s="274">
        <f>'detailed fund u'!$U$180</f>
        <v>0</v>
      </c>
      <c r="N130" s="275">
        <f>J130+K130-L130+M130</f>
        <v>0</v>
      </c>
      <c r="O130" s="274">
        <f>'detailed fund u'!$AC$180</f>
        <v>0</v>
      </c>
      <c r="P130" s="274">
        <f>'detailed fund u'!$AG$91</f>
        <v>0</v>
      </c>
      <c r="Q130" s="274">
        <f>'detailed fund u'!$AK$180</f>
        <v>0</v>
      </c>
      <c r="R130" s="274">
        <f>'detailed fund u'!$AO$180</f>
        <v>0</v>
      </c>
      <c r="S130" s="274">
        <f t="shared" si="248"/>
        <v>0</v>
      </c>
      <c r="T130" s="274">
        <f>'detailed fund u'!$AW$180</f>
        <v>0</v>
      </c>
      <c r="U130" s="274">
        <f>'detailed fund u'!$BA$180</f>
        <v>0</v>
      </c>
      <c r="V130" s="274">
        <f>'detailed fund u'!$BE$180</f>
        <v>0</v>
      </c>
      <c r="W130" s="274">
        <f>'detailed fund u'!$BI$180</f>
        <v>0</v>
      </c>
      <c r="X130" s="274">
        <f t="shared" si="249"/>
        <v>0</v>
      </c>
      <c r="Y130" s="274">
        <f t="shared" si="250"/>
        <v>0</v>
      </c>
      <c r="Z130" s="274">
        <f t="shared" si="251"/>
        <v>0</v>
      </c>
      <c r="AA130" s="274">
        <f>'detailed fund u'!$BV$180</f>
        <v>0</v>
      </c>
      <c r="AB130" s="306">
        <f t="shared" si="252"/>
        <v>0</v>
      </c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</row>
    <row r="131" spans="1:91" s="61" customFormat="1" ht="14.1" customHeight="1" x14ac:dyDescent="0.2">
      <c r="A131" s="303"/>
      <c r="B131" s="80"/>
      <c r="C131" s="592"/>
      <c r="D131" s="592"/>
      <c r="E131" s="69"/>
      <c r="G131" s="323"/>
      <c r="H131" s="323"/>
      <c r="I131" s="329"/>
      <c r="J131" s="329"/>
      <c r="K131" s="274"/>
      <c r="L131" s="274"/>
      <c r="M131" s="274"/>
      <c r="N131" s="275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306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</row>
    <row r="132" spans="1:91" s="61" customFormat="1" ht="14.1" customHeight="1" x14ac:dyDescent="0.2">
      <c r="A132" s="301" t="s">
        <v>119</v>
      </c>
      <c r="B132" s="73" t="s">
        <v>120</v>
      </c>
      <c r="C132" s="73"/>
      <c r="D132" s="73"/>
      <c r="E132" s="69"/>
      <c r="F132" s="258" t="s">
        <v>255</v>
      </c>
      <c r="G132" s="324">
        <f t="shared" ref="G132:AB132" si="253">G133+G144</f>
        <v>693333.93</v>
      </c>
      <c r="H132" s="324">
        <f t="shared" si="253"/>
        <v>0</v>
      </c>
      <c r="I132" s="324">
        <f t="shared" si="253"/>
        <v>693333.93</v>
      </c>
      <c r="J132" s="324">
        <f t="shared" si="253"/>
        <v>693333.93</v>
      </c>
      <c r="K132" s="334">
        <f t="shared" si="253"/>
        <v>0</v>
      </c>
      <c r="L132" s="334">
        <f t="shared" si="253"/>
        <v>0</v>
      </c>
      <c r="M132" s="334">
        <f t="shared" si="253"/>
        <v>0</v>
      </c>
      <c r="N132" s="334">
        <f t="shared" si="253"/>
        <v>693333.93</v>
      </c>
      <c r="O132" s="334">
        <f t="shared" si="253"/>
        <v>2400</v>
      </c>
      <c r="P132" s="334">
        <f t="shared" si="253"/>
        <v>241007.44999999998</v>
      </c>
      <c r="Q132" s="334">
        <f t="shared" si="253"/>
        <v>237497.88999999998</v>
      </c>
      <c r="R132" s="334">
        <f t="shared" si="253"/>
        <v>178897.16</v>
      </c>
      <c r="S132" s="334">
        <f t="shared" si="253"/>
        <v>659802.5</v>
      </c>
      <c r="T132" s="334">
        <f t="shared" si="253"/>
        <v>2400</v>
      </c>
      <c r="U132" s="334">
        <f t="shared" si="253"/>
        <v>210047.44999999998</v>
      </c>
      <c r="V132" s="334">
        <f t="shared" si="253"/>
        <v>268457.89</v>
      </c>
      <c r="W132" s="334">
        <f t="shared" si="253"/>
        <v>178897.16</v>
      </c>
      <c r="X132" s="334">
        <f t="shared" si="253"/>
        <v>659802.5</v>
      </c>
      <c r="Y132" s="334">
        <f t="shared" si="253"/>
        <v>0</v>
      </c>
      <c r="Z132" s="334">
        <f t="shared" si="253"/>
        <v>33531.429999999993</v>
      </c>
      <c r="AA132" s="334">
        <f t="shared" si="253"/>
        <v>205</v>
      </c>
      <c r="AB132" s="308">
        <f t="shared" si="253"/>
        <v>-205</v>
      </c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</row>
    <row r="133" spans="1:91" s="61" customFormat="1" ht="14.1" customHeight="1" x14ac:dyDescent="0.2">
      <c r="A133" s="593" t="s">
        <v>256</v>
      </c>
      <c r="B133" s="73"/>
      <c r="C133" s="73"/>
      <c r="D133" s="73"/>
      <c r="E133" s="73"/>
      <c r="F133" s="258" t="s">
        <v>257</v>
      </c>
      <c r="G133" s="325">
        <f>SUM(G135:G143)</f>
        <v>510396.67000000004</v>
      </c>
      <c r="H133" s="325">
        <f t="shared" ref="H133:AB133" si="254">SUM(H135:H143)</f>
        <v>0</v>
      </c>
      <c r="I133" s="325">
        <f t="shared" si="254"/>
        <v>510396.67000000004</v>
      </c>
      <c r="J133" s="325">
        <f t="shared" si="254"/>
        <v>510396.67000000004</v>
      </c>
      <c r="K133" s="335">
        <f t="shared" si="254"/>
        <v>0</v>
      </c>
      <c r="L133" s="335">
        <f t="shared" si="254"/>
        <v>0</v>
      </c>
      <c r="M133" s="335">
        <f t="shared" si="254"/>
        <v>0</v>
      </c>
      <c r="N133" s="335">
        <f t="shared" si="254"/>
        <v>510396.67000000004</v>
      </c>
      <c r="O133" s="335">
        <f t="shared" si="254"/>
        <v>2400</v>
      </c>
      <c r="P133" s="335">
        <f t="shared" si="254"/>
        <v>175991.36</v>
      </c>
      <c r="Q133" s="335">
        <f t="shared" si="254"/>
        <v>188147.43</v>
      </c>
      <c r="R133" s="335">
        <f t="shared" si="254"/>
        <v>125326.45000000001</v>
      </c>
      <c r="S133" s="335">
        <f t="shared" si="254"/>
        <v>491865.24</v>
      </c>
      <c r="T133" s="335">
        <f t="shared" si="254"/>
        <v>2400</v>
      </c>
      <c r="U133" s="335">
        <f t="shared" si="254"/>
        <v>145031.35999999999</v>
      </c>
      <c r="V133" s="335">
        <f t="shared" si="254"/>
        <v>219107.43000000002</v>
      </c>
      <c r="W133" s="335">
        <f t="shared" si="254"/>
        <v>125326.45000000001</v>
      </c>
      <c r="X133" s="335">
        <f t="shared" si="254"/>
        <v>491865.24</v>
      </c>
      <c r="Y133" s="335">
        <f t="shared" si="254"/>
        <v>0</v>
      </c>
      <c r="Z133" s="335">
        <f t="shared" si="254"/>
        <v>18531.429999999993</v>
      </c>
      <c r="AA133" s="335">
        <f t="shared" si="254"/>
        <v>205</v>
      </c>
      <c r="AB133" s="309">
        <f t="shared" si="254"/>
        <v>-205</v>
      </c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</row>
    <row r="134" spans="1:91" s="61" customFormat="1" ht="14.1" customHeight="1" x14ac:dyDescent="0.2">
      <c r="A134" s="303" t="s">
        <v>121</v>
      </c>
      <c r="B134" s="592" t="s">
        <v>122</v>
      </c>
      <c r="C134" s="592"/>
      <c r="D134" s="592"/>
      <c r="E134" s="592"/>
      <c r="F134" s="258" t="s">
        <v>258</v>
      </c>
      <c r="G134" s="148"/>
      <c r="H134" s="148"/>
      <c r="I134" s="148"/>
      <c r="J134" s="148"/>
      <c r="K134" s="152"/>
      <c r="L134" s="152"/>
      <c r="M134" s="152"/>
      <c r="N134" s="152"/>
      <c r="O134" s="152"/>
      <c r="P134" s="152"/>
      <c r="Q134" s="152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0"/>
      <c r="AB134" s="300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</row>
    <row r="135" spans="1:91" s="61" customFormat="1" ht="14.1" customHeight="1" x14ac:dyDescent="0.2">
      <c r="A135" s="310" t="s">
        <v>123</v>
      </c>
      <c r="B135" s="71">
        <v>1</v>
      </c>
      <c r="C135" s="592" t="s">
        <v>124</v>
      </c>
      <c r="D135" s="592"/>
      <c r="E135" s="592"/>
      <c r="F135" s="258" t="s">
        <v>259</v>
      </c>
      <c r="G135" s="148"/>
      <c r="H135" s="148"/>
      <c r="I135" s="148"/>
      <c r="J135" s="148"/>
      <c r="K135" s="152"/>
      <c r="L135" s="152"/>
      <c r="M135" s="152"/>
      <c r="N135" s="152"/>
      <c r="O135" s="152"/>
      <c r="P135" s="152"/>
      <c r="Q135" s="152"/>
      <c r="R135" s="340"/>
      <c r="S135" s="340"/>
      <c r="T135" s="340"/>
      <c r="U135" s="340"/>
      <c r="V135" s="340"/>
      <c r="W135" s="340"/>
      <c r="X135" s="340"/>
      <c r="Y135" s="340"/>
      <c r="Z135" s="340"/>
      <c r="AA135" s="340"/>
      <c r="AB135" s="300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</row>
    <row r="136" spans="1:91" s="61" customFormat="1" ht="14.1" customHeight="1" x14ac:dyDescent="0.2">
      <c r="A136" s="310"/>
      <c r="B136" s="71"/>
      <c r="C136" s="592"/>
      <c r="D136" s="592"/>
      <c r="E136" s="69" t="s">
        <v>12</v>
      </c>
      <c r="F136" s="258"/>
      <c r="G136" s="323">
        <f>'detailed fund u'!$H$183</f>
        <v>111632.70999999999</v>
      </c>
      <c r="H136" s="323"/>
      <c r="I136" s="329">
        <f t="shared" ref="I136:I137" si="255">G136+H136</f>
        <v>111632.70999999999</v>
      </c>
      <c r="J136" s="329">
        <f t="shared" ref="J136:J137" si="256">I136</f>
        <v>111632.70999999999</v>
      </c>
      <c r="K136" s="274">
        <f>'detailed fund u'!$L$183</f>
        <v>0</v>
      </c>
      <c r="L136" s="274"/>
      <c r="M136" s="274">
        <f>'detailed fund u'!$T$183</f>
        <v>0</v>
      </c>
      <c r="N136" s="275">
        <f>J136+K136-L136+M136</f>
        <v>111632.70999999999</v>
      </c>
      <c r="O136" s="274">
        <f>'detailed fund u'!$AB$183</f>
        <v>2400</v>
      </c>
      <c r="P136" s="274">
        <f>'detailed fund u'!$AF$183</f>
        <v>26000</v>
      </c>
      <c r="Q136" s="274">
        <f>'detailed fund u'!$AJ$183</f>
        <v>51637.279999999999</v>
      </c>
      <c r="R136" s="274">
        <f>'detailed fund u'!$AN$183</f>
        <v>13064</v>
      </c>
      <c r="S136" s="274">
        <f t="shared" ref="S136:S137" si="257">SUM(O136:R136)</f>
        <v>93101.28</v>
      </c>
      <c r="T136" s="274">
        <f>'detailed fund u'!$AV$183</f>
        <v>2400</v>
      </c>
      <c r="U136" s="274">
        <f>'detailed fund u'!$AZ$183</f>
        <v>26000</v>
      </c>
      <c r="V136" s="274">
        <f>'detailed fund u'!$BD$183</f>
        <v>51637.279999999999</v>
      </c>
      <c r="W136" s="274">
        <f>'detailed fund u'!$BH$183</f>
        <v>13064</v>
      </c>
      <c r="X136" s="274">
        <f t="shared" ref="X136:X137" si="258">SUM(T136:W136)</f>
        <v>93101.28</v>
      </c>
      <c r="Y136" s="274">
        <f t="shared" ref="Y136:Y137" si="259">I136-N136</f>
        <v>0</v>
      </c>
      <c r="Z136" s="274">
        <f t="shared" ref="Z136:Z137" si="260">N136-S136</f>
        <v>18531.429999999993</v>
      </c>
      <c r="AA136" s="274">
        <f>'detailed fund u'!$BU$183</f>
        <v>0</v>
      </c>
      <c r="AB136" s="306">
        <f t="shared" ref="AB136:AB137" si="261">+S136-X136-AA136</f>
        <v>0</v>
      </c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</row>
    <row r="137" spans="1:91" s="61" customFormat="1" ht="14.1" customHeight="1" x14ac:dyDescent="0.2">
      <c r="A137" s="310"/>
      <c r="B137" s="71"/>
      <c r="C137" s="592"/>
      <c r="D137" s="592"/>
      <c r="E137" s="69" t="s">
        <v>13</v>
      </c>
      <c r="F137" s="258"/>
      <c r="G137" s="323">
        <f>'detailed fund u'!$I$183</f>
        <v>0</v>
      </c>
      <c r="H137" s="323"/>
      <c r="I137" s="329">
        <f t="shared" si="255"/>
        <v>0</v>
      </c>
      <c r="J137" s="329">
        <f t="shared" si="256"/>
        <v>0</v>
      </c>
      <c r="K137" s="274">
        <f>'detailed fund u'!$M$183</f>
        <v>0</v>
      </c>
      <c r="L137" s="274"/>
      <c r="M137" s="274">
        <f>'detailed fund u'!$U$183</f>
        <v>0</v>
      </c>
      <c r="N137" s="275">
        <f>J137+K137-L137+M137</f>
        <v>0</v>
      </c>
      <c r="O137" s="274">
        <f>'detailed fund u'!$AC$183</f>
        <v>0</v>
      </c>
      <c r="P137" s="274">
        <f>'detailed fund u'!$AG$91</f>
        <v>0</v>
      </c>
      <c r="Q137" s="274">
        <f>'detailed fund u'!$AK$183</f>
        <v>0</v>
      </c>
      <c r="R137" s="274">
        <f>'detailed fund u'!$AO$183</f>
        <v>0</v>
      </c>
      <c r="S137" s="274">
        <f t="shared" si="257"/>
        <v>0</v>
      </c>
      <c r="T137" s="274">
        <f>'detailed fund u'!$AW$183</f>
        <v>0</v>
      </c>
      <c r="U137" s="274">
        <f>'detailed fund u'!$BA$183</f>
        <v>0</v>
      </c>
      <c r="V137" s="274">
        <f>'detailed fund u'!$BE$183</f>
        <v>0</v>
      </c>
      <c r="W137" s="274">
        <f>'detailed fund u'!$BI$183</f>
        <v>0</v>
      </c>
      <c r="X137" s="274">
        <f t="shared" si="258"/>
        <v>0</v>
      </c>
      <c r="Y137" s="274">
        <f t="shared" si="259"/>
        <v>0</v>
      </c>
      <c r="Z137" s="274">
        <f t="shared" si="260"/>
        <v>0</v>
      </c>
      <c r="AA137" s="274">
        <f>'detailed fund u'!$BV$183</f>
        <v>0</v>
      </c>
      <c r="AB137" s="306">
        <f t="shared" si="261"/>
        <v>0</v>
      </c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</row>
    <row r="138" spans="1:91" s="61" customFormat="1" ht="14.1" customHeight="1" x14ac:dyDescent="0.2">
      <c r="A138" s="310" t="s">
        <v>553</v>
      </c>
      <c r="B138" s="78">
        <v>2</v>
      </c>
      <c r="C138" s="592" t="s">
        <v>145</v>
      </c>
      <c r="D138" s="69"/>
      <c r="E138" s="592"/>
      <c r="F138" s="258" t="s">
        <v>260</v>
      </c>
      <c r="G138" s="148"/>
      <c r="H138" s="148"/>
      <c r="I138" s="148"/>
      <c r="J138" s="148"/>
      <c r="K138" s="152"/>
      <c r="L138" s="152"/>
      <c r="M138" s="152"/>
      <c r="N138" s="152"/>
      <c r="O138" s="152"/>
      <c r="P138" s="152"/>
      <c r="Q138" s="152"/>
      <c r="R138" s="340"/>
      <c r="S138" s="340"/>
      <c r="T138" s="340"/>
      <c r="U138" s="340"/>
      <c r="V138" s="340"/>
      <c r="W138" s="340"/>
      <c r="X138" s="340"/>
      <c r="Y138" s="340"/>
      <c r="Z138" s="340"/>
      <c r="AA138" s="340"/>
      <c r="AB138" s="300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</row>
    <row r="139" spans="1:91" s="61" customFormat="1" ht="14.1" customHeight="1" x14ac:dyDescent="0.2">
      <c r="A139" s="310"/>
      <c r="B139" s="78"/>
      <c r="C139" s="592"/>
      <c r="D139" s="69"/>
      <c r="E139" s="69" t="s">
        <v>12</v>
      </c>
      <c r="F139" s="258"/>
      <c r="G139" s="323">
        <f>'detailed fund u'!$H$203</f>
        <v>0</v>
      </c>
      <c r="H139" s="323"/>
      <c r="I139" s="329">
        <f t="shared" ref="I139:I140" si="262">G139+H139</f>
        <v>0</v>
      </c>
      <c r="J139" s="329">
        <f t="shared" ref="J139:J140" si="263">I139</f>
        <v>0</v>
      </c>
      <c r="K139" s="274">
        <f>'detailed fund u'!$L$203</f>
        <v>0</v>
      </c>
      <c r="L139" s="274"/>
      <c r="M139" s="274">
        <f>'detailed fund u'!$T$203</f>
        <v>0</v>
      </c>
      <c r="N139" s="275">
        <f>J139+K139-L139+M139</f>
        <v>0</v>
      </c>
      <c r="O139" s="274">
        <f>'detailed fund u'!$AB$203</f>
        <v>0</v>
      </c>
      <c r="P139" s="274">
        <f>'detailed fund u'!$AF$203</f>
        <v>0</v>
      </c>
      <c r="Q139" s="274">
        <f>'detailed fund u'!$AJ$203</f>
        <v>0</v>
      </c>
      <c r="R139" s="274">
        <f>'detailed fund u'!$AN$203</f>
        <v>0</v>
      </c>
      <c r="S139" s="274">
        <f t="shared" ref="S139:S140" si="264">SUM(O139:R139)</f>
        <v>0</v>
      </c>
      <c r="T139" s="274">
        <f>'detailed fund u'!$AV$203</f>
        <v>0</v>
      </c>
      <c r="U139" s="274">
        <f>'detailed fund u'!$AZ$203</f>
        <v>0</v>
      </c>
      <c r="V139" s="274">
        <f>'detailed fund u'!$BD$203</f>
        <v>0</v>
      </c>
      <c r="W139" s="274">
        <f>'detailed fund u'!$BH$203</f>
        <v>0</v>
      </c>
      <c r="X139" s="274">
        <f t="shared" ref="X139:X140" si="265">SUM(T139:W139)</f>
        <v>0</v>
      </c>
      <c r="Y139" s="274">
        <f t="shared" ref="Y139:Y140" si="266">I139-N139</f>
        <v>0</v>
      </c>
      <c r="Z139" s="274">
        <f t="shared" ref="Z139:Z140" si="267">N139-S139</f>
        <v>0</v>
      </c>
      <c r="AA139" s="274">
        <f>'detailed fund u'!$BU$203</f>
        <v>0</v>
      </c>
      <c r="AB139" s="306">
        <f t="shared" ref="AB139:AB140" si="268">+S139-X139-AA139</f>
        <v>0</v>
      </c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</row>
    <row r="140" spans="1:91" s="61" customFormat="1" ht="14.1" customHeight="1" x14ac:dyDescent="0.2">
      <c r="A140" s="310"/>
      <c r="B140" s="78"/>
      <c r="C140" s="592"/>
      <c r="D140" s="69"/>
      <c r="E140" s="69" t="s">
        <v>13</v>
      </c>
      <c r="F140" s="258"/>
      <c r="G140" s="323">
        <f>'detailed fund u'!$I$203</f>
        <v>0</v>
      </c>
      <c r="H140" s="323"/>
      <c r="I140" s="329">
        <f t="shared" si="262"/>
        <v>0</v>
      </c>
      <c r="J140" s="329">
        <f t="shared" si="263"/>
        <v>0</v>
      </c>
      <c r="K140" s="274">
        <f>'detailed fund u'!$M$203</f>
        <v>0</v>
      </c>
      <c r="L140" s="274"/>
      <c r="M140" s="274">
        <f>'detailed fund u'!$U$203</f>
        <v>0</v>
      </c>
      <c r="N140" s="275">
        <f>J140+K140-L140+M140</f>
        <v>0</v>
      </c>
      <c r="O140" s="274">
        <f>'detailed fund u'!$AC$203</f>
        <v>0</v>
      </c>
      <c r="P140" s="274">
        <f>'detailed fund u'!$AG$91</f>
        <v>0</v>
      </c>
      <c r="Q140" s="274">
        <f>'detailed fund u'!$AK$203</f>
        <v>0</v>
      </c>
      <c r="R140" s="274">
        <f>'detailed fund u'!$AO$203</f>
        <v>0</v>
      </c>
      <c r="S140" s="274">
        <f t="shared" si="264"/>
        <v>0</v>
      </c>
      <c r="T140" s="274">
        <f>'detailed fund u'!$AW$203</f>
        <v>0</v>
      </c>
      <c r="U140" s="274">
        <f>'detailed fund u'!$BA$203</f>
        <v>0</v>
      </c>
      <c r="V140" s="274">
        <f>'detailed fund u'!$BE$203</f>
        <v>0</v>
      </c>
      <c r="W140" s="274">
        <f>'detailed fund u'!$BI$203</f>
        <v>0</v>
      </c>
      <c r="X140" s="274">
        <f t="shared" si="265"/>
        <v>0</v>
      </c>
      <c r="Y140" s="274">
        <f t="shared" si="266"/>
        <v>0</v>
      </c>
      <c r="Z140" s="274">
        <f t="shared" si="267"/>
        <v>0</v>
      </c>
      <c r="AA140" s="274">
        <f>'detailed fund u'!$BV$203</f>
        <v>0</v>
      </c>
      <c r="AB140" s="306">
        <f t="shared" si="268"/>
        <v>0</v>
      </c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</row>
    <row r="141" spans="1:91" s="61" customFormat="1" ht="14.1" customHeight="1" x14ac:dyDescent="0.2">
      <c r="A141" s="303" t="s">
        <v>151</v>
      </c>
      <c r="B141" s="592" t="s">
        <v>152</v>
      </c>
      <c r="C141" s="592"/>
      <c r="D141" s="592"/>
      <c r="E141" s="69"/>
      <c r="F141" s="258" t="s">
        <v>261</v>
      </c>
      <c r="G141" s="148"/>
      <c r="H141" s="148"/>
      <c r="I141" s="148"/>
      <c r="J141" s="148"/>
      <c r="K141" s="152"/>
      <c r="L141" s="152"/>
      <c r="M141" s="152"/>
      <c r="N141" s="152"/>
      <c r="O141" s="152"/>
      <c r="P141" s="152"/>
      <c r="Q141" s="152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0"/>
      <c r="AB141" s="300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</row>
    <row r="142" spans="1:91" s="61" customFormat="1" ht="14.1" customHeight="1" x14ac:dyDescent="0.2">
      <c r="A142" s="303"/>
      <c r="B142" s="592"/>
      <c r="C142" s="592"/>
      <c r="D142" s="592"/>
      <c r="E142" s="69" t="s">
        <v>12</v>
      </c>
      <c r="G142" s="323">
        <f>'detailed fund u'!$H$208</f>
        <v>398763.96</v>
      </c>
      <c r="H142" s="323"/>
      <c r="I142" s="329">
        <f t="shared" ref="I142:I143" si="269">G142+H142</f>
        <v>398763.96</v>
      </c>
      <c r="J142" s="329">
        <f t="shared" ref="J142:J143" si="270">I142</f>
        <v>398763.96</v>
      </c>
      <c r="K142" s="274">
        <f>'detailed fund u'!$L$208</f>
        <v>0</v>
      </c>
      <c r="L142" s="274"/>
      <c r="M142" s="274">
        <f>'detailed fund u'!$T$208</f>
        <v>0</v>
      </c>
      <c r="N142" s="275">
        <f>J142+K142-L142+M142</f>
        <v>398763.96</v>
      </c>
      <c r="O142" s="274">
        <f>'detailed fund u'!$AB$208</f>
        <v>0</v>
      </c>
      <c r="P142" s="274">
        <f>'detailed fund u'!$AF$208</f>
        <v>149991.35999999999</v>
      </c>
      <c r="Q142" s="274">
        <f>'detailed fund u'!$AJ$208</f>
        <v>136510.15</v>
      </c>
      <c r="R142" s="274">
        <f>'detailed fund u'!$AN$208</f>
        <v>112262.45000000001</v>
      </c>
      <c r="S142" s="274">
        <f t="shared" ref="S142:S143" si="271">SUM(O142:R142)</f>
        <v>398763.96</v>
      </c>
      <c r="T142" s="274">
        <f>'detailed fund u'!$AV$208</f>
        <v>0</v>
      </c>
      <c r="U142" s="274">
        <f>'detailed fund u'!$AZ$208</f>
        <v>119031.36</v>
      </c>
      <c r="V142" s="274">
        <f>'detailed fund u'!$BD$208</f>
        <v>167470.15000000002</v>
      </c>
      <c r="W142" s="274">
        <f>'detailed fund u'!$BH$208</f>
        <v>112262.45000000001</v>
      </c>
      <c r="X142" s="274">
        <f t="shared" ref="X142:X143" si="272">SUM(T142:W142)</f>
        <v>398763.96</v>
      </c>
      <c r="Y142" s="274">
        <f t="shared" ref="Y142:Y143" si="273">I142-N142</f>
        <v>0</v>
      </c>
      <c r="Z142" s="274">
        <f t="shared" ref="Z142:Z143" si="274">N142-S142</f>
        <v>0</v>
      </c>
      <c r="AA142" s="274">
        <f>'detailed fund u'!$BU$208</f>
        <v>205</v>
      </c>
      <c r="AB142" s="306">
        <f t="shared" ref="AB142:AB143" si="275">+S142-X142-AA142</f>
        <v>-205</v>
      </c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</row>
    <row r="143" spans="1:91" s="61" customFormat="1" ht="14.1" customHeight="1" x14ac:dyDescent="0.2">
      <c r="A143" s="303"/>
      <c r="B143" s="592"/>
      <c r="C143" s="592"/>
      <c r="D143" s="592"/>
      <c r="E143" s="69" t="s">
        <v>13</v>
      </c>
      <c r="G143" s="323">
        <f>'detailed fund u'!$I$208</f>
        <v>0</v>
      </c>
      <c r="H143" s="323"/>
      <c r="I143" s="329">
        <f t="shared" si="269"/>
        <v>0</v>
      </c>
      <c r="J143" s="329">
        <f t="shared" si="270"/>
        <v>0</v>
      </c>
      <c r="K143" s="274">
        <f>'detailed fund u'!$M$208</f>
        <v>0</v>
      </c>
      <c r="L143" s="274"/>
      <c r="M143" s="274">
        <f>'detailed fund u'!$U$208</f>
        <v>0</v>
      </c>
      <c r="N143" s="275">
        <f>J143+K143-L143+M143</f>
        <v>0</v>
      </c>
      <c r="O143" s="274">
        <f>'detailed fund u'!$AC$208</f>
        <v>0</v>
      </c>
      <c r="P143" s="274">
        <f>'detailed fund u'!$AG$91</f>
        <v>0</v>
      </c>
      <c r="Q143" s="274">
        <f>'detailed fund u'!$AK$208</f>
        <v>0</v>
      </c>
      <c r="R143" s="274">
        <f>'detailed fund u'!$AO$208</f>
        <v>0</v>
      </c>
      <c r="S143" s="274">
        <f t="shared" si="271"/>
        <v>0</v>
      </c>
      <c r="T143" s="274">
        <f>'detailed fund u'!$AW$208</f>
        <v>0</v>
      </c>
      <c r="U143" s="274">
        <f>'detailed fund u'!$BA$208</f>
        <v>0</v>
      </c>
      <c r="V143" s="274">
        <f>'detailed fund u'!$BE$208</f>
        <v>0</v>
      </c>
      <c r="W143" s="274">
        <f>'detailed fund u'!$BI$208</f>
        <v>0</v>
      </c>
      <c r="X143" s="274">
        <f t="shared" si="272"/>
        <v>0</v>
      </c>
      <c r="Y143" s="274">
        <f t="shared" si="273"/>
        <v>0</v>
      </c>
      <c r="Z143" s="274">
        <f t="shared" si="274"/>
        <v>0</v>
      </c>
      <c r="AA143" s="274">
        <f>'detailed fund u'!$BV$208</f>
        <v>0</v>
      </c>
      <c r="AB143" s="306">
        <f t="shared" si="275"/>
        <v>0</v>
      </c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</row>
    <row r="144" spans="1:91" s="61" customFormat="1" ht="14.1" customHeight="1" x14ac:dyDescent="0.2">
      <c r="A144" s="593" t="s">
        <v>262</v>
      </c>
      <c r="B144" s="592"/>
      <c r="C144" s="592"/>
      <c r="D144" s="592"/>
      <c r="E144" s="69"/>
      <c r="F144" s="258" t="s">
        <v>263</v>
      </c>
      <c r="G144" s="325">
        <f t="shared" ref="G144:AB144" si="276">SUM(G146:G147)</f>
        <v>182937.25999999998</v>
      </c>
      <c r="H144" s="325">
        <f t="shared" si="276"/>
        <v>0</v>
      </c>
      <c r="I144" s="325">
        <f t="shared" si="276"/>
        <v>182937.25999999998</v>
      </c>
      <c r="J144" s="325">
        <f t="shared" si="276"/>
        <v>182937.25999999998</v>
      </c>
      <c r="K144" s="335">
        <f t="shared" si="276"/>
        <v>0</v>
      </c>
      <c r="L144" s="335">
        <f t="shared" si="276"/>
        <v>0</v>
      </c>
      <c r="M144" s="335">
        <f t="shared" si="276"/>
        <v>0</v>
      </c>
      <c r="N144" s="335">
        <f t="shared" si="276"/>
        <v>182937.25999999998</v>
      </c>
      <c r="O144" s="335">
        <f t="shared" si="276"/>
        <v>0</v>
      </c>
      <c r="P144" s="335">
        <f t="shared" si="276"/>
        <v>65016.09</v>
      </c>
      <c r="Q144" s="335">
        <f t="shared" si="276"/>
        <v>49350.459999999992</v>
      </c>
      <c r="R144" s="335">
        <f t="shared" si="276"/>
        <v>53570.71</v>
      </c>
      <c r="S144" s="335">
        <f t="shared" si="276"/>
        <v>167937.25999999998</v>
      </c>
      <c r="T144" s="335">
        <f t="shared" si="276"/>
        <v>0</v>
      </c>
      <c r="U144" s="335">
        <f t="shared" si="276"/>
        <v>65016.09</v>
      </c>
      <c r="V144" s="335">
        <f t="shared" si="276"/>
        <v>49350.459999999992</v>
      </c>
      <c r="W144" s="335">
        <f t="shared" si="276"/>
        <v>53570.71</v>
      </c>
      <c r="X144" s="335">
        <f t="shared" si="276"/>
        <v>167937.25999999998</v>
      </c>
      <c r="Y144" s="335">
        <f t="shared" si="276"/>
        <v>0</v>
      </c>
      <c r="Z144" s="335">
        <f t="shared" si="276"/>
        <v>15000</v>
      </c>
      <c r="AA144" s="335">
        <f t="shared" si="276"/>
        <v>0</v>
      </c>
      <c r="AB144" s="309">
        <f t="shared" si="276"/>
        <v>0</v>
      </c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</row>
    <row r="145" spans="1:28" ht="14.1" customHeight="1" x14ac:dyDescent="0.2">
      <c r="A145" s="303" t="s">
        <v>193</v>
      </c>
      <c r="B145" s="69" t="s">
        <v>194</v>
      </c>
      <c r="C145" s="69"/>
      <c r="D145" s="69"/>
      <c r="E145" s="69"/>
      <c r="F145" s="258" t="s">
        <v>264</v>
      </c>
      <c r="G145" s="148"/>
      <c r="H145" s="148"/>
      <c r="I145" s="148"/>
      <c r="J145" s="148"/>
      <c r="K145" s="152"/>
      <c r="L145" s="152"/>
      <c r="M145" s="152"/>
      <c r="N145" s="152"/>
      <c r="O145" s="152"/>
      <c r="P145" s="152"/>
      <c r="Q145" s="152"/>
      <c r="R145" s="340"/>
      <c r="S145" s="340"/>
      <c r="T145" s="340"/>
      <c r="U145" s="340"/>
      <c r="V145" s="340"/>
      <c r="W145" s="340"/>
      <c r="X145" s="340"/>
      <c r="Y145" s="340"/>
      <c r="Z145" s="340"/>
      <c r="AA145" s="340"/>
      <c r="AB145" s="300"/>
    </row>
    <row r="146" spans="1:28" s="90" customFormat="1" ht="14.1" customHeight="1" x14ac:dyDescent="0.2">
      <c r="A146" s="301"/>
      <c r="B146" s="73"/>
      <c r="C146" s="73"/>
      <c r="D146" s="73"/>
      <c r="E146" s="69" t="s">
        <v>12</v>
      </c>
      <c r="F146" s="91"/>
      <c r="G146" s="323">
        <f>'detailed fund u'!$H$242</f>
        <v>182937.25999999998</v>
      </c>
      <c r="H146" s="323"/>
      <c r="I146" s="329">
        <f t="shared" ref="I146:I147" si="277">G146+H146</f>
        <v>182937.25999999998</v>
      </c>
      <c r="J146" s="329">
        <f t="shared" ref="J146:J147" si="278">I146</f>
        <v>182937.25999999998</v>
      </c>
      <c r="K146" s="274">
        <f>'detailed fund u'!$L$242</f>
        <v>0</v>
      </c>
      <c r="L146" s="274"/>
      <c r="M146" s="274">
        <f>'detailed fund u'!$T$242</f>
        <v>0</v>
      </c>
      <c r="N146" s="275">
        <f>J146+K146-L146+M146</f>
        <v>182937.25999999998</v>
      </c>
      <c r="O146" s="274">
        <f>'detailed fund u'!$AB$242</f>
        <v>0</v>
      </c>
      <c r="P146" s="274">
        <f>'detailed fund u'!$AF$242</f>
        <v>65016.09</v>
      </c>
      <c r="Q146" s="274">
        <f>'detailed fund u'!$AJ$242</f>
        <v>49350.459999999992</v>
      </c>
      <c r="R146" s="274">
        <f>'detailed fund u'!$AN$242</f>
        <v>53570.71</v>
      </c>
      <c r="S146" s="274">
        <f t="shared" ref="S146:S147" si="279">SUM(O146:R146)</f>
        <v>167937.25999999998</v>
      </c>
      <c r="T146" s="274">
        <f>'detailed fund u'!$AV$242</f>
        <v>0</v>
      </c>
      <c r="U146" s="274">
        <f>'detailed fund u'!$AZ$242</f>
        <v>65016.09</v>
      </c>
      <c r="V146" s="274">
        <f>'detailed fund u'!$BD$242</f>
        <v>49350.459999999992</v>
      </c>
      <c r="W146" s="274">
        <f>'detailed fund u'!$BH$242</f>
        <v>53570.71</v>
      </c>
      <c r="X146" s="274">
        <f t="shared" ref="X146:X147" si="280">SUM(T146:W146)</f>
        <v>167937.25999999998</v>
      </c>
      <c r="Y146" s="274">
        <f t="shared" ref="Y146:Y147" si="281">I146-N146</f>
        <v>0</v>
      </c>
      <c r="Z146" s="274">
        <f t="shared" ref="Z146:Z147" si="282">N146-S146</f>
        <v>15000</v>
      </c>
      <c r="AA146" s="274">
        <f>'detailed fund u'!$BU$242</f>
        <v>0</v>
      </c>
      <c r="AB146" s="306">
        <f t="shared" ref="AB146:AB147" si="283">+S146-X146-AA146</f>
        <v>0</v>
      </c>
    </row>
    <row r="147" spans="1:28" s="90" customFormat="1" ht="14.1" customHeight="1" x14ac:dyDescent="0.2">
      <c r="A147" s="301"/>
      <c r="B147" s="73"/>
      <c r="C147" s="73"/>
      <c r="D147" s="73"/>
      <c r="E147" s="69" t="s">
        <v>13</v>
      </c>
      <c r="F147" s="91"/>
      <c r="G147" s="323">
        <f>'detailed fund u'!$I$242</f>
        <v>0</v>
      </c>
      <c r="H147" s="323"/>
      <c r="I147" s="329">
        <f t="shared" si="277"/>
        <v>0</v>
      </c>
      <c r="J147" s="329">
        <f t="shared" si="278"/>
        <v>0</v>
      </c>
      <c r="K147" s="274">
        <f>'detailed fund u'!$M$242</f>
        <v>0</v>
      </c>
      <c r="L147" s="274"/>
      <c r="M147" s="274">
        <f>'detailed fund u'!$U$242</f>
        <v>0</v>
      </c>
      <c r="N147" s="275">
        <f>J147+K147-L147+M147</f>
        <v>0</v>
      </c>
      <c r="O147" s="274">
        <f>'detailed fund u'!$AC$242</f>
        <v>0</v>
      </c>
      <c r="P147" s="274">
        <f>'detailed fund u'!$AG$91</f>
        <v>0</v>
      </c>
      <c r="Q147" s="274">
        <f>'detailed fund u'!$AK$242</f>
        <v>0</v>
      </c>
      <c r="R147" s="274">
        <f>'detailed fund u'!$AO$242</f>
        <v>0</v>
      </c>
      <c r="S147" s="274">
        <f t="shared" si="279"/>
        <v>0</v>
      </c>
      <c r="T147" s="274">
        <f>'detailed fund u'!$AW$242</f>
        <v>0</v>
      </c>
      <c r="U147" s="274">
        <f>'detailed fund u'!$BA$242</f>
        <v>0</v>
      </c>
      <c r="V147" s="274">
        <f>'detailed fund u'!$BE$242</f>
        <v>0</v>
      </c>
      <c r="W147" s="274">
        <f>'detailed fund u'!$BI$242</f>
        <v>0</v>
      </c>
      <c r="X147" s="274">
        <f t="shared" si="280"/>
        <v>0</v>
      </c>
      <c r="Y147" s="274">
        <f t="shared" si="281"/>
        <v>0</v>
      </c>
      <c r="Z147" s="274">
        <f t="shared" si="282"/>
        <v>0</v>
      </c>
      <c r="AA147" s="274">
        <f>'detailed fund u'!$BV$242</f>
        <v>0</v>
      </c>
      <c r="AB147" s="306">
        <f t="shared" si="283"/>
        <v>0</v>
      </c>
    </row>
    <row r="148" spans="1:28" s="90" customFormat="1" ht="14.1" customHeight="1" x14ac:dyDescent="0.2">
      <c r="A148" s="301"/>
      <c r="B148" s="73"/>
      <c r="C148" s="73"/>
      <c r="D148" s="73"/>
      <c r="E148" s="73"/>
      <c r="F148" s="91"/>
      <c r="G148" s="149"/>
      <c r="H148" s="149"/>
      <c r="I148" s="149"/>
      <c r="J148" s="149"/>
      <c r="K148" s="159"/>
      <c r="L148" s="159"/>
      <c r="M148" s="159"/>
      <c r="N148" s="159"/>
      <c r="O148" s="159"/>
      <c r="P148" s="159"/>
      <c r="Q148" s="159"/>
      <c r="R148" s="341"/>
      <c r="S148" s="341"/>
      <c r="T148" s="341"/>
      <c r="U148" s="341"/>
      <c r="V148" s="341"/>
      <c r="W148" s="341"/>
      <c r="X148" s="341"/>
      <c r="Y148" s="341"/>
      <c r="Z148" s="341"/>
      <c r="AA148" s="341"/>
      <c r="AB148" s="304"/>
    </row>
    <row r="149" spans="1:28" s="90" customFormat="1" ht="14.1" customHeight="1" x14ac:dyDescent="0.2">
      <c r="A149" s="942" t="s">
        <v>677</v>
      </c>
      <c r="B149" s="943"/>
      <c r="C149" s="943"/>
      <c r="D149" s="943"/>
      <c r="E149" s="943"/>
      <c r="F149" s="91"/>
      <c r="G149" s="326">
        <f t="shared" ref="G149:AB149" si="284">SUM(G150:G151)</f>
        <v>869079.78</v>
      </c>
      <c r="H149" s="326">
        <f t="shared" si="284"/>
        <v>0</v>
      </c>
      <c r="I149" s="326">
        <f t="shared" si="284"/>
        <v>869079.78</v>
      </c>
      <c r="J149" s="326">
        <f t="shared" si="284"/>
        <v>869079.78</v>
      </c>
      <c r="K149" s="336">
        <f t="shared" si="284"/>
        <v>0</v>
      </c>
      <c r="L149" s="336">
        <f t="shared" si="284"/>
        <v>0</v>
      </c>
      <c r="M149" s="336">
        <f t="shared" si="284"/>
        <v>0</v>
      </c>
      <c r="N149" s="336">
        <f t="shared" si="284"/>
        <v>869079.78</v>
      </c>
      <c r="O149" s="336">
        <f t="shared" si="284"/>
        <v>12200</v>
      </c>
      <c r="P149" s="336">
        <f t="shared" si="284"/>
        <v>263263.81999999995</v>
      </c>
      <c r="Q149" s="336">
        <f t="shared" si="284"/>
        <v>327379.54999999993</v>
      </c>
      <c r="R149" s="336">
        <f t="shared" si="284"/>
        <v>210704.98</v>
      </c>
      <c r="S149" s="336">
        <f t="shared" si="284"/>
        <v>813548.34999999986</v>
      </c>
      <c r="T149" s="336">
        <f t="shared" si="284"/>
        <v>12200</v>
      </c>
      <c r="U149" s="336">
        <f t="shared" si="284"/>
        <v>232303.81999999998</v>
      </c>
      <c r="V149" s="336">
        <f t="shared" si="284"/>
        <v>358339.55000000005</v>
      </c>
      <c r="W149" s="336">
        <f t="shared" si="284"/>
        <v>210704.98</v>
      </c>
      <c r="X149" s="336">
        <f t="shared" si="284"/>
        <v>813548.35</v>
      </c>
      <c r="Y149" s="336">
        <f t="shared" si="284"/>
        <v>0</v>
      </c>
      <c r="Z149" s="336">
        <f t="shared" si="284"/>
        <v>55531.430000000168</v>
      </c>
      <c r="AA149" s="336">
        <f t="shared" si="284"/>
        <v>205</v>
      </c>
      <c r="AB149" s="312">
        <f t="shared" si="284"/>
        <v>-205.00000000011642</v>
      </c>
    </row>
    <row r="150" spans="1:28" s="90" customFormat="1" ht="14.1" customHeight="1" x14ac:dyDescent="0.2">
      <c r="A150" s="301"/>
      <c r="B150" s="73"/>
      <c r="C150" s="73"/>
      <c r="D150" s="73"/>
      <c r="E150" s="73" t="s">
        <v>12</v>
      </c>
      <c r="F150" s="91"/>
      <c r="G150" s="149">
        <f>G114+G118+G123+G126+G129+G136+G139+G142+G146</f>
        <v>869079.78</v>
      </c>
      <c r="H150" s="149">
        <f>H114+H118+H123+H126+H129+H136+H139+H142+H146</f>
        <v>0</v>
      </c>
      <c r="I150" s="329">
        <f>G150+H150</f>
        <v>869079.78</v>
      </c>
      <c r="J150" s="329">
        <f t="shared" ref="J150:J151" si="285">I150</f>
        <v>869079.78</v>
      </c>
      <c r="K150" s="159">
        <f t="shared" ref="K150:M151" si="286">K114+K118+K123+K126+K129+K136+K139+K142+K146</f>
        <v>0</v>
      </c>
      <c r="L150" s="159">
        <f t="shared" si="286"/>
        <v>0</v>
      </c>
      <c r="M150" s="159">
        <f t="shared" si="286"/>
        <v>0</v>
      </c>
      <c r="N150" s="275">
        <f t="shared" ref="N150:N151" si="287">J150-L150+M150</f>
        <v>869079.78</v>
      </c>
      <c r="O150" s="159">
        <f t="shared" ref="O150:R151" si="288">O114+O118+O123+O126+O129+O136+O139+O142+O146</f>
        <v>12200</v>
      </c>
      <c r="P150" s="159">
        <f t="shared" si="288"/>
        <v>263263.81999999995</v>
      </c>
      <c r="Q150" s="159">
        <f t="shared" si="288"/>
        <v>327379.54999999993</v>
      </c>
      <c r="R150" s="159">
        <f t="shared" si="288"/>
        <v>210704.98</v>
      </c>
      <c r="S150" s="274">
        <f t="shared" ref="S150:S151" si="289">SUM(O150:R150)</f>
        <v>813548.34999999986</v>
      </c>
      <c r="T150" s="159">
        <f t="shared" ref="T150:W151" si="290">T114+T118+T123+T126+T129+T136+T139+T142+T146</f>
        <v>12200</v>
      </c>
      <c r="U150" s="159">
        <f t="shared" si="290"/>
        <v>232303.81999999998</v>
      </c>
      <c r="V150" s="159">
        <f t="shared" si="290"/>
        <v>358339.55000000005</v>
      </c>
      <c r="W150" s="159">
        <f t="shared" si="290"/>
        <v>210704.98</v>
      </c>
      <c r="X150" s="274">
        <f t="shared" ref="X150:X151" si="291">SUM(T150:W150)</f>
        <v>813548.35</v>
      </c>
      <c r="Y150" s="274">
        <f t="shared" ref="Y150:Y151" si="292">I150-N150</f>
        <v>0</v>
      </c>
      <c r="Z150" s="274">
        <f t="shared" ref="Z150:Z151" si="293">N150-S150</f>
        <v>55531.430000000168</v>
      </c>
      <c r="AA150" s="274">
        <f>200+5</f>
        <v>205</v>
      </c>
      <c r="AB150" s="306">
        <f>+S150-X150-AA150</f>
        <v>-205.00000000011642</v>
      </c>
    </row>
    <row r="151" spans="1:28" s="90" customFormat="1" ht="14.1" customHeight="1" x14ac:dyDescent="0.2">
      <c r="A151" s="301"/>
      <c r="B151" s="73"/>
      <c r="C151" s="73"/>
      <c r="D151" s="73"/>
      <c r="E151" s="73" t="s">
        <v>13</v>
      </c>
      <c r="F151" s="91"/>
      <c r="G151" s="149">
        <f>G115+G119+G124+G127+G130+G137+G140+G143+G147</f>
        <v>0</v>
      </c>
      <c r="H151" s="149">
        <f>H115+H119+H124+H127+H130+H137+H140+H143+H147</f>
        <v>0</v>
      </c>
      <c r="I151" s="329">
        <f t="shared" ref="I151" si="294">G151+H151</f>
        <v>0</v>
      </c>
      <c r="J151" s="329">
        <f t="shared" si="285"/>
        <v>0</v>
      </c>
      <c r="K151" s="159">
        <f t="shared" si="286"/>
        <v>0</v>
      </c>
      <c r="L151" s="159">
        <f t="shared" si="286"/>
        <v>0</v>
      </c>
      <c r="M151" s="159">
        <f t="shared" si="286"/>
        <v>0</v>
      </c>
      <c r="N151" s="275">
        <f t="shared" si="287"/>
        <v>0</v>
      </c>
      <c r="O151" s="159">
        <f t="shared" si="288"/>
        <v>0</v>
      </c>
      <c r="P151" s="159">
        <f t="shared" si="288"/>
        <v>0</v>
      </c>
      <c r="Q151" s="159">
        <f t="shared" si="288"/>
        <v>0</v>
      </c>
      <c r="R151" s="159">
        <f t="shared" si="288"/>
        <v>0</v>
      </c>
      <c r="S151" s="274">
        <f t="shared" si="289"/>
        <v>0</v>
      </c>
      <c r="T151" s="159">
        <f t="shared" si="290"/>
        <v>0</v>
      </c>
      <c r="U151" s="159">
        <f t="shared" si="290"/>
        <v>0</v>
      </c>
      <c r="V151" s="159">
        <f t="shared" si="290"/>
        <v>0</v>
      </c>
      <c r="W151" s="159">
        <f t="shared" si="290"/>
        <v>0</v>
      </c>
      <c r="X151" s="274">
        <f t="shared" si="291"/>
        <v>0</v>
      </c>
      <c r="Y151" s="274">
        <f t="shared" si="292"/>
        <v>0</v>
      </c>
      <c r="Z151" s="274">
        <f t="shared" si="293"/>
        <v>0</v>
      </c>
      <c r="AA151" s="274">
        <v>0</v>
      </c>
      <c r="AB151" s="306">
        <f t="shared" ref="AB151" si="295">+S151-X151-AA151</f>
        <v>0</v>
      </c>
    </row>
    <row r="152" spans="1:28" ht="14.1" customHeight="1" x14ac:dyDescent="0.2">
      <c r="A152" s="315"/>
      <c r="G152" s="148"/>
      <c r="H152" s="148"/>
      <c r="I152" s="148"/>
      <c r="J152" s="148"/>
      <c r="K152" s="152"/>
      <c r="L152" s="152"/>
      <c r="M152" s="152"/>
      <c r="N152" s="152"/>
      <c r="O152" s="152"/>
      <c r="P152" s="152"/>
      <c r="Q152" s="152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00"/>
    </row>
    <row r="153" spans="1:28" s="87" customFormat="1" ht="14.1" customHeight="1" x14ac:dyDescent="0.2">
      <c r="A153" s="942" t="s">
        <v>678</v>
      </c>
      <c r="B153" s="943"/>
      <c r="C153" s="943"/>
      <c r="D153" s="943"/>
      <c r="E153" s="943"/>
      <c r="F153" s="95"/>
      <c r="G153" s="326">
        <f>SUM(G154:G156)</f>
        <v>50574379.780000001</v>
      </c>
      <c r="H153" s="326">
        <f t="shared" ref="H153:AB153" si="296">SUM(H154:H156)</f>
        <v>0</v>
      </c>
      <c r="I153" s="326">
        <f t="shared" si="296"/>
        <v>50574379.780000001</v>
      </c>
      <c r="J153" s="326">
        <f t="shared" si="296"/>
        <v>50574379.780000001</v>
      </c>
      <c r="K153" s="326">
        <f t="shared" si="296"/>
        <v>0</v>
      </c>
      <c r="L153" s="326">
        <f t="shared" si="296"/>
        <v>0</v>
      </c>
      <c r="M153" s="326">
        <f t="shared" si="296"/>
        <v>3389009.06</v>
      </c>
      <c r="N153" s="326">
        <f t="shared" si="296"/>
        <v>53963388.840000004</v>
      </c>
      <c r="O153" s="326">
        <f t="shared" si="296"/>
        <v>8168057.5600000005</v>
      </c>
      <c r="P153" s="326">
        <f t="shared" si="296"/>
        <v>7706211.7200000007</v>
      </c>
      <c r="Q153" s="326">
        <f t="shared" si="296"/>
        <v>11369128.799999999</v>
      </c>
      <c r="R153" s="326">
        <f t="shared" si="296"/>
        <v>21792582.160000004</v>
      </c>
      <c r="S153" s="326">
        <f t="shared" si="296"/>
        <v>49035980.24000001</v>
      </c>
      <c r="T153" s="326">
        <f t="shared" si="296"/>
        <v>6588218.959999999</v>
      </c>
      <c r="U153" s="326">
        <f t="shared" si="296"/>
        <v>8357458.2800000012</v>
      </c>
      <c r="V153" s="326">
        <f t="shared" si="296"/>
        <v>11286443.32</v>
      </c>
      <c r="W153" s="326">
        <f t="shared" si="296"/>
        <v>20246293.230000004</v>
      </c>
      <c r="X153" s="326">
        <f t="shared" si="296"/>
        <v>46478413.790000007</v>
      </c>
      <c r="Y153" s="326">
        <f t="shared" si="296"/>
        <v>-3389009.0599999987</v>
      </c>
      <c r="Z153" s="326">
        <f t="shared" si="296"/>
        <v>4927408.5999999978</v>
      </c>
      <c r="AA153" s="326">
        <f t="shared" si="296"/>
        <v>206</v>
      </c>
      <c r="AB153" s="613">
        <f t="shared" si="296"/>
        <v>2557360.4500000025</v>
      </c>
    </row>
    <row r="154" spans="1:28" s="87" customFormat="1" ht="14.1" customHeight="1" x14ac:dyDescent="0.2">
      <c r="A154" s="315"/>
      <c r="B154" s="290"/>
      <c r="D154" s="57"/>
      <c r="E154" s="73" t="s">
        <v>11</v>
      </c>
      <c r="F154" s="95"/>
      <c r="G154" s="328">
        <f>G105</f>
        <v>19093300</v>
      </c>
      <c r="H154" s="328">
        <f t="shared" ref="H154:AB154" si="297">H105</f>
        <v>975000</v>
      </c>
      <c r="I154" s="328">
        <f t="shared" si="297"/>
        <v>20068300</v>
      </c>
      <c r="J154" s="328">
        <f t="shared" si="297"/>
        <v>20068300</v>
      </c>
      <c r="K154" s="338">
        <f t="shared" si="297"/>
        <v>975000</v>
      </c>
      <c r="L154" s="338">
        <f t="shared" si="297"/>
        <v>0</v>
      </c>
      <c r="M154" s="338">
        <f t="shared" si="297"/>
        <v>2581793.06</v>
      </c>
      <c r="N154" s="338">
        <f>N105</f>
        <v>22650093.059999999</v>
      </c>
      <c r="O154" s="338">
        <f t="shared" si="297"/>
        <v>5651194.3200000003</v>
      </c>
      <c r="P154" s="338">
        <f t="shared" si="297"/>
        <v>5267178.7</v>
      </c>
      <c r="Q154" s="338">
        <f t="shared" si="297"/>
        <v>4844776.1099999994</v>
      </c>
      <c r="R154" s="338">
        <f t="shared" si="297"/>
        <v>6580580.9299999997</v>
      </c>
      <c r="S154" s="338">
        <f t="shared" si="297"/>
        <v>22343730.060000002</v>
      </c>
      <c r="T154" s="338">
        <f t="shared" si="297"/>
        <v>4298259.6399999997</v>
      </c>
      <c r="U154" s="338">
        <f t="shared" si="297"/>
        <v>5723381.3400000008</v>
      </c>
      <c r="V154" s="338">
        <f t="shared" si="297"/>
        <v>4950205.63</v>
      </c>
      <c r="W154" s="338">
        <f t="shared" si="297"/>
        <v>7371882.4500000011</v>
      </c>
      <c r="X154" s="338">
        <f t="shared" si="297"/>
        <v>22343729.059999999</v>
      </c>
      <c r="Y154" s="338">
        <f t="shared" si="297"/>
        <v>-2581793.0599999987</v>
      </c>
      <c r="Z154" s="338">
        <f t="shared" si="297"/>
        <v>306362.99999999662</v>
      </c>
      <c r="AA154" s="338">
        <f t="shared" si="297"/>
        <v>1</v>
      </c>
      <c r="AB154" s="317">
        <f t="shared" si="297"/>
        <v>3.3760443329811096E-9</v>
      </c>
    </row>
    <row r="155" spans="1:28" s="87" customFormat="1" ht="14.1" customHeight="1" x14ac:dyDescent="0.2">
      <c r="A155" s="315"/>
      <c r="B155" s="290"/>
      <c r="D155" s="57"/>
      <c r="E155" s="73" t="s">
        <v>12</v>
      </c>
      <c r="F155" s="95"/>
      <c r="G155" s="328">
        <f>G150+G106</f>
        <v>30081079.780000001</v>
      </c>
      <c r="H155" s="328">
        <f t="shared" ref="H155:AB155" si="298">H150+H106</f>
        <v>-975000</v>
      </c>
      <c r="I155" s="328">
        <f t="shared" si="298"/>
        <v>29106079.780000001</v>
      </c>
      <c r="J155" s="328">
        <f t="shared" si="298"/>
        <v>29106079.780000001</v>
      </c>
      <c r="K155" s="338">
        <f t="shared" si="298"/>
        <v>-975000</v>
      </c>
      <c r="L155" s="338">
        <f t="shared" si="298"/>
        <v>0</v>
      </c>
      <c r="M155" s="338">
        <f t="shared" si="298"/>
        <v>617216</v>
      </c>
      <c r="N155" s="338">
        <f t="shared" si="298"/>
        <v>29723295.780000001</v>
      </c>
      <c r="O155" s="338">
        <f t="shared" si="298"/>
        <v>2516863.2399999998</v>
      </c>
      <c r="P155" s="338">
        <f t="shared" si="298"/>
        <v>2439033.02</v>
      </c>
      <c r="Q155" s="338">
        <f t="shared" si="298"/>
        <v>4992302.8499999996</v>
      </c>
      <c r="R155" s="338">
        <f t="shared" si="298"/>
        <v>15212001.230000002</v>
      </c>
      <c r="S155" s="338">
        <f t="shared" si="298"/>
        <v>25160200.34</v>
      </c>
      <c r="T155" s="338">
        <f t="shared" si="298"/>
        <v>2289959.3199999998</v>
      </c>
      <c r="U155" s="338">
        <f t="shared" si="298"/>
        <v>2634076.94</v>
      </c>
      <c r="V155" s="338">
        <f t="shared" si="298"/>
        <v>4804187.8499999996</v>
      </c>
      <c r="W155" s="338">
        <f t="shared" si="298"/>
        <v>12874410.780000001</v>
      </c>
      <c r="X155" s="338">
        <f t="shared" si="298"/>
        <v>22602634.890000001</v>
      </c>
      <c r="Y155" s="338">
        <f t="shared" si="298"/>
        <v>-617216</v>
      </c>
      <c r="Z155" s="338">
        <f t="shared" si="298"/>
        <v>4563095.4400000013</v>
      </c>
      <c r="AA155" s="338">
        <f>AA150+AA106</f>
        <v>205</v>
      </c>
      <c r="AB155" s="317">
        <f t="shared" si="298"/>
        <v>2557360.4499999993</v>
      </c>
    </row>
    <row r="156" spans="1:28" s="87" customFormat="1" ht="14.1" customHeight="1" x14ac:dyDescent="0.2">
      <c r="A156" s="315"/>
      <c r="B156" s="290"/>
      <c r="D156" s="57"/>
      <c r="E156" s="73" t="s">
        <v>13</v>
      </c>
      <c r="F156" s="95"/>
      <c r="G156" s="328">
        <f t="shared" ref="G156:AB156" si="299">G151+G107</f>
        <v>1400000</v>
      </c>
      <c r="H156" s="328">
        <f t="shared" si="299"/>
        <v>0</v>
      </c>
      <c r="I156" s="328">
        <f t="shared" si="299"/>
        <v>1400000</v>
      </c>
      <c r="J156" s="328">
        <f t="shared" si="299"/>
        <v>1400000</v>
      </c>
      <c r="K156" s="338">
        <f t="shared" si="299"/>
        <v>0</v>
      </c>
      <c r="L156" s="338">
        <f t="shared" si="299"/>
        <v>0</v>
      </c>
      <c r="M156" s="338">
        <f t="shared" si="299"/>
        <v>190000</v>
      </c>
      <c r="N156" s="338">
        <f t="shared" si="299"/>
        <v>1590000</v>
      </c>
      <c r="O156" s="338">
        <f t="shared" si="299"/>
        <v>0</v>
      </c>
      <c r="P156" s="338">
        <f t="shared" si="299"/>
        <v>0</v>
      </c>
      <c r="Q156" s="338">
        <f t="shared" si="299"/>
        <v>1532049.84</v>
      </c>
      <c r="R156" s="338">
        <f t="shared" si="299"/>
        <v>0</v>
      </c>
      <c r="S156" s="338">
        <f t="shared" si="299"/>
        <v>1532049.84</v>
      </c>
      <c r="T156" s="338">
        <f t="shared" si="299"/>
        <v>0</v>
      </c>
      <c r="U156" s="338">
        <f t="shared" si="299"/>
        <v>0</v>
      </c>
      <c r="V156" s="338">
        <f t="shared" si="299"/>
        <v>1532049.84</v>
      </c>
      <c r="W156" s="338">
        <f t="shared" si="299"/>
        <v>0</v>
      </c>
      <c r="X156" s="338">
        <f t="shared" si="299"/>
        <v>1532049.84</v>
      </c>
      <c r="Y156" s="338">
        <f t="shared" si="299"/>
        <v>-190000</v>
      </c>
      <c r="Z156" s="338">
        <f t="shared" si="299"/>
        <v>57950.159999999916</v>
      </c>
      <c r="AA156" s="338">
        <f t="shared" si="299"/>
        <v>0</v>
      </c>
      <c r="AB156" s="317">
        <f t="shared" si="299"/>
        <v>0</v>
      </c>
    </row>
    <row r="157" spans="1:28" ht="14.1" customHeight="1" x14ac:dyDescent="0.2">
      <c r="A157" s="315"/>
      <c r="G157" s="148"/>
      <c r="H157" s="148"/>
      <c r="I157" s="148"/>
      <c r="J157" s="148"/>
      <c r="K157" s="152"/>
      <c r="L157" s="152"/>
      <c r="M157" s="152"/>
      <c r="N157" s="152"/>
      <c r="O157" s="152"/>
      <c r="P157" s="152"/>
      <c r="Q157" s="152"/>
      <c r="R157" s="340"/>
      <c r="S157" s="340"/>
      <c r="T157" s="340"/>
      <c r="U157" s="340"/>
      <c r="V157" s="340"/>
      <c r="W157" s="340"/>
      <c r="X157" s="340"/>
      <c r="Y157" s="340"/>
      <c r="Z157" s="340"/>
      <c r="AA157" s="340"/>
      <c r="AB157" s="300"/>
    </row>
    <row r="158" spans="1:28" ht="14.1" customHeight="1" x14ac:dyDescent="0.2">
      <c r="A158" s="315" t="s">
        <v>275</v>
      </c>
      <c r="G158" s="324">
        <f>SUM(G159:G160)</f>
        <v>38435333.93</v>
      </c>
      <c r="H158" s="324">
        <f t="shared" ref="H158:AB158" si="300">SUM(H159:H160)</f>
        <v>0</v>
      </c>
      <c r="I158" s="324">
        <f t="shared" si="300"/>
        <v>38435333.93</v>
      </c>
      <c r="J158" s="324">
        <f t="shared" si="300"/>
        <v>38435333.93</v>
      </c>
      <c r="K158" s="334">
        <f t="shared" si="300"/>
        <v>0</v>
      </c>
      <c r="L158" s="334">
        <f t="shared" si="300"/>
        <v>0</v>
      </c>
      <c r="M158" s="334">
        <f t="shared" si="300"/>
        <v>263600</v>
      </c>
      <c r="N158" s="334">
        <f t="shared" si="300"/>
        <v>38698933.93</v>
      </c>
      <c r="O158" s="334">
        <f t="shared" si="300"/>
        <v>5397845.1899999995</v>
      </c>
      <c r="P158" s="334">
        <f t="shared" si="300"/>
        <v>5801445.1099999994</v>
      </c>
      <c r="Q158" s="334">
        <f t="shared" si="300"/>
        <v>7892395.1399999987</v>
      </c>
      <c r="R158" s="334">
        <f t="shared" si="300"/>
        <v>15768960.989999998</v>
      </c>
      <c r="S158" s="334">
        <f t="shared" si="300"/>
        <v>34860646.43</v>
      </c>
      <c r="T158" s="334">
        <f t="shared" si="300"/>
        <v>4237333.2699999996</v>
      </c>
      <c r="U158" s="334">
        <f t="shared" si="300"/>
        <v>6235632.75</v>
      </c>
      <c r="V158" s="334">
        <f t="shared" si="300"/>
        <v>8383808.2999999989</v>
      </c>
      <c r="W158" s="334">
        <f t="shared" si="300"/>
        <v>13446306.66</v>
      </c>
      <c r="X158" s="334">
        <f t="shared" si="300"/>
        <v>32303080.979999997</v>
      </c>
      <c r="Y158" s="334">
        <f t="shared" si="300"/>
        <v>-263600</v>
      </c>
      <c r="Z158" s="334">
        <f t="shared" si="300"/>
        <v>3838287.5000000014</v>
      </c>
      <c r="AA158" s="334">
        <f t="shared" si="300"/>
        <v>205</v>
      </c>
      <c r="AB158" s="308">
        <f t="shared" si="300"/>
        <v>2557360.4499999997</v>
      </c>
    </row>
    <row r="159" spans="1:28" s="87" customFormat="1" ht="14.1" customHeight="1" x14ac:dyDescent="0.2">
      <c r="A159" s="315"/>
      <c r="B159" s="290"/>
      <c r="D159" s="57" t="s">
        <v>256</v>
      </c>
      <c r="F159" s="95"/>
      <c r="G159" s="328">
        <f>G133+G46</f>
        <v>24854396.670000002</v>
      </c>
      <c r="H159" s="328">
        <f t="shared" ref="H159:AB159" si="301">H133+H46</f>
        <v>0</v>
      </c>
      <c r="I159" s="328">
        <f t="shared" si="301"/>
        <v>24854396.670000002</v>
      </c>
      <c r="J159" s="328">
        <f t="shared" si="301"/>
        <v>24854396.670000002</v>
      </c>
      <c r="K159" s="338">
        <f t="shared" si="301"/>
        <v>0</v>
      </c>
      <c r="L159" s="338">
        <f t="shared" si="301"/>
        <v>0</v>
      </c>
      <c r="M159" s="338">
        <f t="shared" si="301"/>
        <v>263600</v>
      </c>
      <c r="N159" s="338">
        <f t="shared" si="301"/>
        <v>25117996.670000002</v>
      </c>
      <c r="O159" s="338">
        <f t="shared" si="301"/>
        <v>2297103.81</v>
      </c>
      <c r="P159" s="338">
        <f t="shared" si="301"/>
        <v>2528138.84</v>
      </c>
      <c r="Q159" s="338">
        <f t="shared" si="301"/>
        <v>5720993.0299999993</v>
      </c>
      <c r="R159" s="338">
        <f t="shared" si="301"/>
        <v>11743255.779999999</v>
      </c>
      <c r="S159" s="338">
        <f t="shared" si="301"/>
        <v>22289491.459999997</v>
      </c>
      <c r="T159" s="338">
        <f t="shared" si="301"/>
        <v>1827031.89</v>
      </c>
      <c r="U159" s="338">
        <f t="shared" si="301"/>
        <v>2779436.76</v>
      </c>
      <c r="V159" s="338">
        <f t="shared" si="301"/>
        <v>5762642.0299999993</v>
      </c>
      <c r="W159" s="338">
        <f t="shared" si="301"/>
        <v>10167277.189999999</v>
      </c>
      <c r="X159" s="338">
        <f t="shared" si="301"/>
        <v>20536387.869999997</v>
      </c>
      <c r="Y159" s="338">
        <f t="shared" si="301"/>
        <v>-263600</v>
      </c>
      <c r="Z159" s="338">
        <f t="shared" si="301"/>
        <v>2828505.2100000014</v>
      </c>
      <c r="AA159" s="338">
        <f t="shared" si="301"/>
        <v>205</v>
      </c>
      <c r="AB159" s="317">
        <f t="shared" si="301"/>
        <v>1752898.5899999999</v>
      </c>
    </row>
    <row r="160" spans="1:28" s="87" customFormat="1" ht="14.1" customHeight="1" x14ac:dyDescent="0.2">
      <c r="A160" s="315"/>
      <c r="B160" s="290"/>
      <c r="D160" s="57" t="s">
        <v>262</v>
      </c>
      <c r="F160" s="95"/>
      <c r="G160" s="328">
        <f>G144+G60</f>
        <v>13580937.26</v>
      </c>
      <c r="H160" s="328">
        <f t="shared" ref="H160:AB160" si="302">H144+H60</f>
        <v>0</v>
      </c>
      <c r="I160" s="328">
        <f t="shared" si="302"/>
        <v>13580937.26</v>
      </c>
      <c r="J160" s="328">
        <f t="shared" si="302"/>
        <v>13580937.26</v>
      </c>
      <c r="K160" s="328">
        <f t="shared" si="302"/>
        <v>0</v>
      </c>
      <c r="L160" s="328">
        <f t="shared" si="302"/>
        <v>0</v>
      </c>
      <c r="M160" s="328">
        <f t="shared" si="302"/>
        <v>0</v>
      </c>
      <c r="N160" s="328">
        <f t="shared" si="302"/>
        <v>13580937.26</v>
      </c>
      <c r="O160" s="328">
        <f t="shared" si="302"/>
        <v>3100741.38</v>
      </c>
      <c r="P160" s="328">
        <f t="shared" si="302"/>
        <v>3273306.2699999996</v>
      </c>
      <c r="Q160" s="328">
        <f t="shared" si="302"/>
        <v>2171402.11</v>
      </c>
      <c r="R160" s="328">
        <f t="shared" si="302"/>
        <v>4025705.21</v>
      </c>
      <c r="S160" s="328">
        <f t="shared" si="302"/>
        <v>12571154.970000001</v>
      </c>
      <c r="T160" s="328">
        <f t="shared" si="302"/>
        <v>2410301.38</v>
      </c>
      <c r="U160" s="328">
        <f t="shared" si="302"/>
        <v>3456195.9899999998</v>
      </c>
      <c r="V160" s="328">
        <f t="shared" si="302"/>
        <v>2621166.2699999996</v>
      </c>
      <c r="W160" s="328">
        <f t="shared" si="302"/>
        <v>3279029.47</v>
      </c>
      <c r="X160" s="328">
        <f t="shared" si="302"/>
        <v>11766693.109999999</v>
      </c>
      <c r="Y160" s="328">
        <f t="shared" si="302"/>
        <v>0</v>
      </c>
      <c r="Z160" s="328">
        <f t="shared" si="302"/>
        <v>1009782.29</v>
      </c>
      <c r="AA160" s="328">
        <f t="shared" si="302"/>
        <v>0</v>
      </c>
      <c r="AB160" s="612">
        <f t="shared" si="302"/>
        <v>804461.85999999987</v>
      </c>
    </row>
    <row r="161" spans="1:28" ht="14.1" customHeight="1" x14ac:dyDescent="0.2">
      <c r="A161" s="315"/>
      <c r="G161" s="148"/>
      <c r="H161" s="148"/>
      <c r="I161" s="148"/>
      <c r="J161" s="148"/>
      <c r="K161" s="152"/>
      <c r="L161" s="152"/>
      <c r="M161" s="152"/>
      <c r="N161" s="152"/>
      <c r="O161" s="152"/>
      <c r="P161" s="152"/>
      <c r="Q161" s="152"/>
      <c r="R161" s="340"/>
      <c r="S161" s="340"/>
      <c r="T161" s="340"/>
      <c r="U161" s="340"/>
      <c r="V161" s="340"/>
      <c r="W161" s="340"/>
      <c r="X161" s="340"/>
      <c r="Y161" s="340"/>
      <c r="Z161" s="340"/>
      <c r="AA161" s="340"/>
      <c r="AB161" s="300"/>
    </row>
    <row r="162" spans="1:28" ht="14.1" customHeight="1" x14ac:dyDescent="0.2">
      <c r="A162" s="315" t="s">
        <v>46</v>
      </c>
      <c r="G162" s="148"/>
      <c r="H162" s="148"/>
      <c r="I162" s="148"/>
      <c r="J162" s="148"/>
      <c r="K162" s="152"/>
      <c r="L162" s="152"/>
      <c r="M162" s="152"/>
      <c r="N162" s="152"/>
      <c r="O162" s="152"/>
      <c r="P162" s="152"/>
      <c r="Q162" s="152"/>
      <c r="R162" s="340"/>
      <c r="S162" s="340"/>
      <c r="T162" s="340"/>
      <c r="U162" s="340"/>
      <c r="V162" s="340"/>
      <c r="W162" s="340"/>
      <c r="X162" s="340"/>
      <c r="Y162" s="340"/>
      <c r="Z162" s="340"/>
      <c r="AA162" s="340"/>
      <c r="AB162" s="300"/>
    </row>
    <row r="163" spans="1:28" ht="14.1" customHeight="1" x14ac:dyDescent="0.2">
      <c r="A163" s="315" t="s">
        <v>276</v>
      </c>
      <c r="G163" s="148"/>
      <c r="H163" s="148"/>
      <c r="I163" s="148"/>
      <c r="J163" s="148"/>
      <c r="K163" s="152"/>
      <c r="L163" s="152"/>
      <c r="M163" s="152"/>
      <c r="N163" s="152"/>
      <c r="O163" s="152"/>
      <c r="P163" s="152"/>
      <c r="Q163" s="152"/>
      <c r="R163" s="340"/>
      <c r="S163" s="340"/>
      <c r="T163" s="340"/>
      <c r="U163" s="340"/>
      <c r="V163" s="340"/>
      <c r="W163" s="340"/>
      <c r="X163" s="340"/>
      <c r="Y163" s="340"/>
      <c r="Z163" s="340"/>
      <c r="AA163" s="340"/>
      <c r="AB163" s="300"/>
    </row>
    <row r="164" spans="1:28" ht="14.1" customHeight="1" x14ac:dyDescent="0.2">
      <c r="A164" s="315"/>
      <c r="D164" s="60" t="s">
        <v>277</v>
      </c>
      <c r="G164" s="148"/>
      <c r="H164" s="148"/>
      <c r="I164" s="148"/>
      <c r="J164" s="148"/>
      <c r="K164" s="152"/>
      <c r="L164" s="152"/>
      <c r="M164" s="152"/>
      <c r="N164" s="152"/>
      <c r="O164" s="152"/>
      <c r="P164" s="152"/>
      <c r="Q164" s="152"/>
      <c r="R164" s="340"/>
      <c r="S164" s="340"/>
      <c r="T164" s="340"/>
      <c r="U164" s="340"/>
      <c r="V164" s="340"/>
      <c r="W164" s="340"/>
      <c r="X164" s="340"/>
      <c r="Y164" s="340"/>
      <c r="Z164" s="340"/>
      <c r="AA164" s="340"/>
      <c r="AB164" s="300"/>
    </row>
    <row r="165" spans="1:28" ht="14.1" customHeight="1" x14ac:dyDescent="0.2">
      <c r="A165" s="315"/>
      <c r="D165" s="60" t="s">
        <v>278</v>
      </c>
      <c r="G165" s="148"/>
      <c r="H165" s="148"/>
      <c r="I165" s="148"/>
      <c r="J165" s="148"/>
      <c r="K165" s="152"/>
      <c r="L165" s="152"/>
      <c r="M165" s="152"/>
      <c r="N165" s="152"/>
      <c r="O165" s="152"/>
      <c r="P165" s="152"/>
      <c r="Q165" s="152"/>
      <c r="R165" s="340"/>
      <c r="S165" s="340"/>
      <c r="T165" s="340"/>
      <c r="U165" s="340"/>
      <c r="V165" s="340"/>
      <c r="W165" s="340"/>
      <c r="X165" s="340"/>
      <c r="Y165" s="340"/>
      <c r="Z165" s="340"/>
      <c r="AA165" s="340"/>
      <c r="AB165" s="300"/>
    </row>
    <row r="166" spans="1:28" s="87" customFormat="1" ht="14.1" customHeight="1" x14ac:dyDescent="0.2">
      <c r="A166" s="301" t="s">
        <v>151</v>
      </c>
      <c r="B166" s="594" t="s">
        <v>152</v>
      </c>
      <c r="C166" s="594"/>
      <c r="D166" s="594"/>
      <c r="E166" s="73"/>
      <c r="F166" s="252" t="s">
        <v>261</v>
      </c>
      <c r="G166" s="324">
        <f>SUM(G167:G168)</f>
        <v>20874100.640000001</v>
      </c>
      <c r="H166" s="324">
        <f t="shared" ref="H166" si="303">SUM(H167:H168)</f>
        <v>0</v>
      </c>
      <c r="I166" s="324">
        <f t="shared" ref="I166" si="304">SUM(I167:I168)</f>
        <v>20874100.640000001</v>
      </c>
      <c r="J166" s="324">
        <f t="shared" ref="J166" si="305">SUM(J167:J168)</f>
        <v>20874100.640000001</v>
      </c>
      <c r="K166" s="334">
        <f t="shared" ref="K166" si="306">SUM(K167:K168)</f>
        <v>-807000</v>
      </c>
      <c r="L166" s="334">
        <f t="shared" ref="L166" si="307">SUM(L167:L168)</f>
        <v>0</v>
      </c>
      <c r="M166" s="334">
        <f t="shared" ref="M166" si="308">SUM(M167:M168)</f>
        <v>263600</v>
      </c>
      <c r="N166" s="334">
        <f t="shared" ref="N166" si="309">SUM(N167:N168)</f>
        <v>21137700.640000001</v>
      </c>
      <c r="O166" s="334">
        <f t="shared" ref="O166" si="310">SUM(O167:O168)</f>
        <v>906290.85000000009</v>
      </c>
      <c r="P166" s="334">
        <f t="shared" ref="P166" si="311">SUM(P167:P168)</f>
        <v>1235977.8900000001</v>
      </c>
      <c r="Q166" s="334">
        <f t="shared" ref="Q166" si="312">SUM(Q167:Q168)</f>
        <v>4759491.9499999993</v>
      </c>
      <c r="R166" s="334">
        <f t="shared" ref="R166" si="313">SUM(R167:R168)</f>
        <v>11049137.950000001</v>
      </c>
      <c r="S166" s="334">
        <f t="shared" ref="S166" si="314">SUM(S167:S168)</f>
        <v>17950898.640000001</v>
      </c>
      <c r="T166" s="334">
        <f t="shared" ref="T166" si="315">SUM(T167:T168)</f>
        <v>706430.92999999993</v>
      </c>
      <c r="U166" s="334">
        <f t="shared" ref="U166" si="316">SUM(U167:U168)</f>
        <v>1404377.81</v>
      </c>
      <c r="V166" s="334">
        <f t="shared" ref="V166" si="317">SUM(V167:V168)</f>
        <v>4617151.9499999993</v>
      </c>
      <c r="W166" s="334">
        <f t="shared" ref="W166" si="318">SUM(W167:W168)</f>
        <v>9803276.4000000004</v>
      </c>
      <c r="X166" s="334">
        <f t="shared" ref="X166" si="319">SUM(X167:X168)</f>
        <v>16531237.09</v>
      </c>
      <c r="Y166" s="334">
        <f t="shared" ref="Y166" si="320">SUM(Y167:Y168)</f>
        <v>-263600</v>
      </c>
      <c r="Z166" s="334">
        <f t="shared" ref="Z166" si="321">SUM(Z167:Z168)</f>
        <v>3186802</v>
      </c>
      <c r="AA166" s="334">
        <f t="shared" ref="AA166" si="322">SUM(AA167:AA168)</f>
        <v>0</v>
      </c>
      <c r="AB166" s="308">
        <f t="shared" ref="AB166" si="323">SUM(AB167:AB168)</f>
        <v>1419661.5500000007</v>
      </c>
    </row>
    <row r="167" spans="1:28" s="87" customFormat="1" ht="14.1" customHeight="1" x14ac:dyDescent="0.2">
      <c r="A167" s="301"/>
      <c r="B167" s="594"/>
      <c r="C167" s="594"/>
      <c r="D167" s="594"/>
      <c r="E167" s="73" t="s">
        <v>12</v>
      </c>
      <c r="F167" s="95"/>
      <c r="G167" s="328">
        <f>G170+G173</f>
        <v>19474100.640000001</v>
      </c>
      <c r="H167" s="328">
        <f t="shared" ref="H167:H168" si="324">H170+H173</f>
        <v>0</v>
      </c>
      <c r="I167" s="330">
        <f t="shared" ref="I167:I168" si="325">G167+H167</f>
        <v>19474100.640000001</v>
      </c>
      <c r="J167" s="330">
        <f t="shared" ref="J167:J168" si="326">I167</f>
        <v>19474100.640000001</v>
      </c>
      <c r="K167" s="338">
        <f t="shared" ref="K167:M168" si="327">K170+K173</f>
        <v>-807000</v>
      </c>
      <c r="L167" s="338">
        <f t="shared" si="327"/>
        <v>0</v>
      </c>
      <c r="M167" s="338">
        <f t="shared" si="327"/>
        <v>263600</v>
      </c>
      <c r="N167" s="276">
        <f t="shared" ref="N167:N168" si="328">J167-L167+M167</f>
        <v>19737700.640000001</v>
      </c>
      <c r="O167" s="338">
        <f t="shared" ref="O167:R168" si="329">O170+O173</f>
        <v>906290.85000000009</v>
      </c>
      <c r="P167" s="338">
        <f t="shared" si="329"/>
        <v>1235977.8900000001</v>
      </c>
      <c r="Q167" s="338">
        <f t="shared" si="329"/>
        <v>3359491.9499999997</v>
      </c>
      <c r="R167" s="338">
        <f t="shared" si="329"/>
        <v>11049137.950000001</v>
      </c>
      <c r="S167" s="342">
        <f t="shared" ref="S167:S168" si="330">SUM(O167:R167)</f>
        <v>16550898.640000001</v>
      </c>
      <c r="T167" s="338">
        <f t="shared" ref="T167:W168" si="331">T170+T173</f>
        <v>706430.92999999993</v>
      </c>
      <c r="U167" s="338">
        <f t="shared" si="331"/>
        <v>1404377.81</v>
      </c>
      <c r="V167" s="338">
        <f t="shared" si="331"/>
        <v>3217151.9499999997</v>
      </c>
      <c r="W167" s="338">
        <f t="shared" si="331"/>
        <v>9803276.4000000004</v>
      </c>
      <c r="X167" s="342">
        <f t="shared" ref="X167:X168" si="332">SUM(T167:W167)</f>
        <v>15131237.09</v>
      </c>
      <c r="Y167" s="342">
        <f t="shared" ref="Y167:Y168" si="333">I167-N167</f>
        <v>-263600</v>
      </c>
      <c r="Z167" s="342">
        <f t="shared" ref="Z167:Z168" si="334">N167-S167</f>
        <v>3186802</v>
      </c>
      <c r="AA167" s="342">
        <v>0</v>
      </c>
      <c r="AB167" s="318">
        <f t="shared" ref="AB167:AB168" si="335">+S167-X167-AA167</f>
        <v>1419661.5500000007</v>
      </c>
    </row>
    <row r="168" spans="1:28" s="87" customFormat="1" ht="14.1" customHeight="1" x14ac:dyDescent="0.2">
      <c r="A168" s="301"/>
      <c r="B168" s="594"/>
      <c r="C168" s="594"/>
      <c r="D168" s="594"/>
      <c r="E168" s="73" t="s">
        <v>13</v>
      </c>
      <c r="F168" s="95"/>
      <c r="G168" s="328">
        <f t="shared" ref="G168" si="336">G171+G174</f>
        <v>1400000</v>
      </c>
      <c r="H168" s="328">
        <f t="shared" si="324"/>
        <v>0</v>
      </c>
      <c r="I168" s="330">
        <f t="shared" si="325"/>
        <v>1400000</v>
      </c>
      <c r="J168" s="330">
        <f t="shared" si="326"/>
        <v>1400000</v>
      </c>
      <c r="K168" s="338">
        <f t="shared" si="327"/>
        <v>0</v>
      </c>
      <c r="L168" s="338">
        <f t="shared" si="327"/>
        <v>0</v>
      </c>
      <c r="M168" s="338">
        <f t="shared" si="327"/>
        <v>0</v>
      </c>
      <c r="N168" s="276">
        <f t="shared" si="328"/>
        <v>1400000</v>
      </c>
      <c r="O168" s="338">
        <f t="shared" si="329"/>
        <v>0</v>
      </c>
      <c r="P168" s="338">
        <f t="shared" si="329"/>
        <v>0</v>
      </c>
      <c r="Q168" s="338">
        <f t="shared" si="329"/>
        <v>1400000</v>
      </c>
      <c r="R168" s="338">
        <f t="shared" si="329"/>
        <v>0</v>
      </c>
      <c r="S168" s="342">
        <f t="shared" si="330"/>
        <v>1400000</v>
      </c>
      <c r="T168" s="338">
        <f t="shared" si="331"/>
        <v>0</v>
      </c>
      <c r="U168" s="338">
        <f t="shared" si="331"/>
        <v>0</v>
      </c>
      <c r="V168" s="338">
        <f t="shared" si="331"/>
        <v>1400000</v>
      </c>
      <c r="W168" s="338">
        <f t="shared" si="331"/>
        <v>0</v>
      </c>
      <c r="X168" s="342">
        <f t="shared" si="332"/>
        <v>1400000</v>
      </c>
      <c r="Y168" s="342">
        <f t="shared" si="333"/>
        <v>0</v>
      </c>
      <c r="Z168" s="342">
        <f t="shared" si="334"/>
        <v>0</v>
      </c>
      <c r="AA168" s="342">
        <v>0</v>
      </c>
      <c r="AB168" s="318">
        <f t="shared" si="335"/>
        <v>0</v>
      </c>
    </row>
    <row r="169" spans="1:28" ht="14.1" customHeight="1" x14ac:dyDescent="0.2">
      <c r="A169" s="315"/>
      <c r="D169" s="60" t="s">
        <v>709</v>
      </c>
      <c r="F169" s="61" t="s">
        <v>279</v>
      </c>
      <c r="G169" s="148"/>
      <c r="H169" s="148"/>
      <c r="I169" s="148"/>
      <c r="J169" s="148"/>
      <c r="K169" s="152"/>
      <c r="L169" s="152"/>
      <c r="M169" s="152"/>
      <c r="N169" s="152"/>
      <c r="O169" s="152"/>
      <c r="P169" s="152"/>
      <c r="Q169" s="152"/>
      <c r="R169" s="340"/>
      <c r="S169" s="340"/>
      <c r="T169" s="340"/>
      <c r="U169" s="340"/>
      <c r="V169" s="340"/>
      <c r="W169" s="340"/>
      <c r="X169" s="340"/>
      <c r="Y169" s="340"/>
      <c r="Z169" s="340"/>
      <c r="AA169" s="340"/>
      <c r="AB169" s="300"/>
    </row>
    <row r="170" spans="1:28" ht="14.1" customHeight="1" x14ac:dyDescent="0.2">
      <c r="A170" s="315"/>
      <c r="E170" s="69" t="s">
        <v>12</v>
      </c>
      <c r="G170" s="148">
        <f>'detailed fund u'!H58+'detailed fund u'!H89+'detailed fund u'!H209+'detailed fund u'!H240</f>
        <v>18521100.640000001</v>
      </c>
      <c r="H170" s="148">
        <f>+'detailed fund u'!L77+'detailed fund u'!L70+'detailed fund u'!L63+'detailed fund u'!L62-166000</f>
        <v>-634755.17999999993</v>
      </c>
      <c r="I170" s="329">
        <f t="shared" ref="I170:I171" si="337">G170+H170</f>
        <v>17886345.460000001</v>
      </c>
      <c r="J170" s="329">
        <f t="shared" ref="J170:J171" si="338">I170</f>
        <v>17886345.460000001</v>
      </c>
      <c r="K170" s="274">
        <f>'detailed fund u'!L58+'detailed fund u'!L89+'detailed fund u'!L209+'detailed fund u'!L240</f>
        <v>-1441755.18</v>
      </c>
      <c r="L170" s="274"/>
      <c r="M170" s="274">
        <f>'detailed fund u'!T58+'detailed fund u'!T89+'detailed fund u'!T209+'detailed fund u'!T240</f>
        <v>263600</v>
      </c>
      <c r="N170" s="275">
        <f t="shared" ref="N170:N171" si="339">J170-L170+M170</f>
        <v>18149945.460000001</v>
      </c>
      <c r="O170" s="274">
        <f>'detailed fund u'!AB58+'detailed fund u'!AB89+'detailed fund u'!AB209+'detailed fund u'!AB240</f>
        <v>906290.85000000009</v>
      </c>
      <c r="P170" s="274">
        <f>'detailed fund u'!AF89+'detailed fund u'!AF58+'detailed fund u'!AF209+'detailed fund u'!AF240</f>
        <v>1122997.8900000001</v>
      </c>
      <c r="Q170" s="274">
        <f>'detailed fund u'!AJ89+'detailed fund u'!AJ58+'detailed fund u'!AJ209+'detailed fund u'!AJ240</f>
        <v>3138334.9499999997</v>
      </c>
      <c r="R170" s="274">
        <f>'detailed fund u'!AN89+'detailed fund u'!AN58+'detailed fund u'!AN209+'detailed fund u'!AN240</f>
        <v>9950619.7700000014</v>
      </c>
      <c r="S170" s="274">
        <f t="shared" ref="S170:S171" si="340">SUM(O170:R170)</f>
        <v>15118243.460000001</v>
      </c>
      <c r="T170" s="274">
        <f>'detailed fund u'!AV58+'detailed fund u'!AV89+'detailed fund u'!AV209+'detailed fund u'!AV240</f>
        <v>706430.92999999993</v>
      </c>
      <c r="U170" s="274">
        <f>'detailed fund u'!AZ58+'detailed fund u'!AZ89+'detailed fund u'!AZ209+'detailed fund u'!AZ240</f>
        <v>1291397.81</v>
      </c>
      <c r="V170" s="274">
        <f>'detailed fund u'!BD58+'detailed fund u'!BD89+'detailed fund u'!BD209+'detailed fund u'!BD240</f>
        <v>2995994.9499999997</v>
      </c>
      <c r="W170" s="274">
        <f>'detailed fund u'!BH89+'detailed fund u'!BH58+'detailed fund u'!BH209+'detailed fund u'!BH240</f>
        <v>8793093.2200000007</v>
      </c>
      <c r="X170" s="274">
        <f t="shared" ref="X170:X171" si="341">SUM(T170:W170)</f>
        <v>13786916.91</v>
      </c>
      <c r="Y170" s="274">
        <f t="shared" ref="Y170:Y171" si="342">I170-N170</f>
        <v>-263600</v>
      </c>
      <c r="Z170" s="274">
        <f t="shared" ref="Z170:Z171" si="343">N170-S170</f>
        <v>3031702</v>
      </c>
      <c r="AA170" s="274">
        <f>'detailed fund u'!BU89+'detailed fund u'!BU58+'detailed fund u'!BU209+'detailed fund u'!BU240</f>
        <v>205</v>
      </c>
      <c r="AB170" s="306">
        <f t="shared" ref="AB170:AB171" si="344">+S170-X170-AA170</f>
        <v>1331121.5500000007</v>
      </c>
    </row>
    <row r="171" spans="1:28" ht="14.1" customHeight="1" x14ac:dyDescent="0.2">
      <c r="A171" s="315"/>
      <c r="E171" s="69" t="s">
        <v>13</v>
      </c>
      <c r="G171" s="148">
        <f>'detailed fund u'!I58+'detailed fund u'!I89+'detailed fund u'!I209+'detailed fund u'!I240</f>
        <v>0</v>
      </c>
      <c r="H171" s="148"/>
      <c r="I171" s="329">
        <f t="shared" si="337"/>
        <v>0</v>
      </c>
      <c r="J171" s="329">
        <f t="shared" si="338"/>
        <v>0</v>
      </c>
      <c r="K171" s="274">
        <f>'detailed fund u'!M240+'detailed fund u'!M209+'detailed fund u'!M89+'detailed fund u'!M58</f>
        <v>0</v>
      </c>
      <c r="L171" s="274"/>
      <c r="M171" s="274">
        <f>'detailed fund u'!U240+'detailed fund u'!U209+'detailed fund u'!U89+'detailed fund u'!U58</f>
        <v>0</v>
      </c>
      <c r="N171" s="275">
        <f t="shared" si="339"/>
        <v>0</v>
      </c>
      <c r="O171" s="274">
        <f>'detailed fund u'!AC240+'detailed fund u'!AC209+'detailed fund u'!AC89+'detailed fund u'!AC58</f>
        <v>0</v>
      </c>
      <c r="P171" s="274">
        <f>'detailed fund u'!AG240+'detailed fund u'!AG209+'detailed fund u'!AG89+'detailed fund u'!AG58</f>
        <v>0</v>
      </c>
      <c r="Q171" s="274">
        <f>'detailed fund u'!AK240+'detailed fund u'!AK209+'detailed fund u'!AK89+'detailed fund u'!AK58</f>
        <v>1400000</v>
      </c>
      <c r="R171" s="274">
        <f>'detailed fund u'!AO240+'detailed fund u'!AO209+'detailed fund u'!AO89+'detailed fund u'!AO58</f>
        <v>-1400000</v>
      </c>
      <c r="S171" s="274">
        <f t="shared" si="340"/>
        <v>0</v>
      </c>
      <c r="T171" s="274">
        <f>'detailed fund u'!AW240+'detailed fund u'!AW209+'detailed fund u'!AW89+'detailed fund u'!AW58</f>
        <v>0</v>
      </c>
      <c r="U171" s="274">
        <f>'detailed fund u'!BA240+'detailed fund u'!BA209+'detailed fund u'!BA89+'detailed fund u'!BA58</f>
        <v>0</v>
      </c>
      <c r="V171" s="274">
        <f>'detailed fund u'!BE240+'detailed fund u'!BE209+'detailed fund u'!BE89+'detailed fund u'!BE58</f>
        <v>1400000</v>
      </c>
      <c r="W171" s="274">
        <f>'detailed fund u'!BI240+'detailed fund u'!BI209+'detailed fund u'!BI89+'detailed fund u'!BI58</f>
        <v>-1400000</v>
      </c>
      <c r="X171" s="274">
        <f t="shared" si="341"/>
        <v>0</v>
      </c>
      <c r="Y171" s="274">
        <f t="shared" si="342"/>
        <v>0</v>
      </c>
      <c r="Z171" s="274">
        <f t="shared" si="343"/>
        <v>0</v>
      </c>
      <c r="AA171" s="274">
        <f>'detailed fund u'!BV240+'detailed fund u'!BV209+'detailed fund u'!BV89+'detailed fund u'!BV58</f>
        <v>0</v>
      </c>
      <c r="AB171" s="306">
        <f t="shared" si="344"/>
        <v>0</v>
      </c>
    </row>
    <row r="172" spans="1:28" ht="14.1" customHeight="1" x14ac:dyDescent="0.2">
      <c r="A172" s="315"/>
      <c r="D172" s="60" t="s">
        <v>64</v>
      </c>
      <c r="F172" s="61" t="s">
        <v>679</v>
      </c>
      <c r="G172" s="148"/>
      <c r="H172" s="148"/>
      <c r="I172" s="148"/>
      <c r="J172" s="148"/>
      <c r="K172" s="152"/>
      <c r="L172" s="152"/>
      <c r="M172" s="152"/>
      <c r="N172" s="152"/>
      <c r="O172" s="152"/>
      <c r="P172" s="152"/>
      <c r="Q172" s="152"/>
      <c r="R172" s="340"/>
      <c r="S172" s="340"/>
      <c r="T172" s="340"/>
      <c r="U172" s="340"/>
      <c r="V172" s="340"/>
      <c r="W172" s="340"/>
      <c r="X172" s="340"/>
      <c r="Y172" s="340"/>
      <c r="Z172" s="340"/>
      <c r="AA172" s="340"/>
      <c r="AB172" s="300"/>
    </row>
    <row r="173" spans="1:28" ht="14.1" customHeight="1" x14ac:dyDescent="0.2">
      <c r="A173" s="315"/>
      <c r="E173" s="69" t="s">
        <v>12</v>
      </c>
      <c r="G173" s="148">
        <f>'detailed fund u'!H87+'detailed fund u'!H238</f>
        <v>953000</v>
      </c>
      <c r="H173" s="328">
        <f>+'detailed fund u'!L88</f>
        <v>634755.17999999993</v>
      </c>
      <c r="I173" s="329">
        <f t="shared" ref="I173" si="345">G173+H173</f>
        <v>1587755.18</v>
      </c>
      <c r="J173" s="329">
        <f t="shared" ref="J173" si="346">I173</f>
        <v>1587755.18</v>
      </c>
      <c r="K173" s="274">
        <f>'detailed fund u'!$L$87+'detailed fund u'!$L$238</f>
        <v>634755.17999999993</v>
      </c>
      <c r="L173" s="274"/>
      <c r="M173" s="274">
        <f>'detailed fund u'!T87+'detailed fund u'!T238</f>
        <v>0</v>
      </c>
      <c r="N173" s="275">
        <f t="shared" ref="N173" si="347">J173-L173+M173</f>
        <v>1587755.18</v>
      </c>
      <c r="O173" s="274">
        <f>'detailed fund u'!AB87+'detailed fund u'!AB238</f>
        <v>0</v>
      </c>
      <c r="P173" s="274">
        <f>'detailed fund u'!AF87+'detailed fund u'!AF238</f>
        <v>112980</v>
      </c>
      <c r="Q173" s="274">
        <f>'detailed fund u'!AJ87+'detailed fund u'!AJ238</f>
        <v>221157</v>
      </c>
      <c r="R173" s="274">
        <f>'detailed fund u'!AN87+'detailed fund u'!AN238</f>
        <v>1098518.1800000002</v>
      </c>
      <c r="S173" s="274">
        <f t="shared" ref="S173" si="348">SUM(O173:R173)</f>
        <v>1432655.1800000002</v>
      </c>
      <c r="T173" s="274">
        <f>'detailed fund u'!AV87+'detailed fund u'!AV238</f>
        <v>0</v>
      </c>
      <c r="U173" s="274">
        <f>'detailed fund u'!AZ87+'detailed fund u'!AZ238</f>
        <v>112980</v>
      </c>
      <c r="V173" s="274">
        <f>'detailed fund u'!BD87+'detailed fund u'!BD238</f>
        <v>221157</v>
      </c>
      <c r="W173" s="274">
        <f>'detailed fund u'!BH87+'detailed fund u'!BH238</f>
        <v>1010183.18</v>
      </c>
      <c r="X173" s="274">
        <f t="shared" ref="X173" si="349">SUM(T173:W173)</f>
        <v>1344320.1800000002</v>
      </c>
      <c r="Y173" s="274">
        <f t="shared" ref="Y173" si="350">I173-N173</f>
        <v>0</v>
      </c>
      <c r="Z173" s="274">
        <f t="shared" ref="Z173" si="351">N173-S173</f>
        <v>155099.99999999977</v>
      </c>
      <c r="AA173" s="274">
        <f>'detailed fund u'!BU87+'detailed fund u'!BU238</f>
        <v>0</v>
      </c>
      <c r="AB173" s="306">
        <f t="shared" ref="AB173" si="352">+S173-X173-AA173</f>
        <v>88335</v>
      </c>
    </row>
    <row r="174" spans="1:28" ht="14.1" customHeight="1" x14ac:dyDescent="0.2">
      <c r="A174" s="315"/>
      <c r="E174" s="69" t="s">
        <v>13</v>
      </c>
      <c r="G174" s="148">
        <f>'detailed fund u'!H238+'detailed fund u'!I87</f>
        <v>1400000</v>
      </c>
      <c r="H174" s="148"/>
      <c r="I174" s="329">
        <f t="shared" ref="I174" si="353">G174+H174</f>
        <v>1400000</v>
      </c>
      <c r="J174" s="329">
        <f t="shared" ref="J174" si="354">I174</f>
        <v>1400000</v>
      </c>
      <c r="K174" s="274">
        <f>'detailed fund u'!$M$87+'detailed fund u'!$M$238</f>
        <v>0</v>
      </c>
      <c r="L174" s="274"/>
      <c r="M174" s="274">
        <f>'detailed fund u'!T238+'detailed fund u'!U87</f>
        <v>0</v>
      </c>
      <c r="N174" s="275">
        <f t="shared" ref="N174" si="355">J174-L174+M174</f>
        <v>1400000</v>
      </c>
      <c r="O174" s="274">
        <f>'detailed fund u'!AC238+'detailed fund u'!AC87</f>
        <v>0</v>
      </c>
      <c r="P174" s="274">
        <f>'detailed fund u'!AG238+'detailed fund u'!AG87</f>
        <v>0</v>
      </c>
      <c r="Q174" s="274">
        <f>'detailed fund u'!AK238+'detailed fund u'!AK87</f>
        <v>0</v>
      </c>
      <c r="R174" s="274">
        <f>'detailed fund u'!AO238+'detailed fund u'!AO87</f>
        <v>1400000</v>
      </c>
      <c r="S174" s="274">
        <f t="shared" ref="S174" si="356">SUM(O174:R174)</f>
        <v>1400000</v>
      </c>
      <c r="T174" s="274">
        <f>'detailed fund u'!AW238+'detailed fund u'!AW87</f>
        <v>0</v>
      </c>
      <c r="U174" s="274">
        <f>'detailed fund u'!BA238+'detailed fund u'!BA87</f>
        <v>0</v>
      </c>
      <c r="V174" s="274">
        <f>'detailed fund u'!BE238+'detailed fund u'!BE87</f>
        <v>0</v>
      </c>
      <c r="W174" s="274">
        <f>'detailed fund u'!BI238+'detailed fund u'!BI87</f>
        <v>1400000</v>
      </c>
      <c r="X174" s="274">
        <f t="shared" ref="X174" si="357">SUM(T174:W174)</f>
        <v>1400000</v>
      </c>
      <c r="Y174" s="274">
        <f t="shared" ref="Y174" si="358">I174-N174</f>
        <v>0</v>
      </c>
      <c r="Z174" s="274">
        <f t="shared" ref="Z174" si="359">N174-S174</f>
        <v>0</v>
      </c>
      <c r="AA174" s="274">
        <f>'detailed fund u'!BV238+'detailed fund u'!BV87</f>
        <v>0</v>
      </c>
      <c r="AB174" s="306">
        <f t="shared" ref="AB174" si="360">+S174-X174-AA174</f>
        <v>0</v>
      </c>
    </row>
    <row r="175" spans="1:28" ht="14.1" customHeight="1" x14ac:dyDescent="0.2">
      <c r="A175" s="487"/>
      <c r="B175" s="488"/>
      <c r="C175" s="489"/>
      <c r="D175" s="490"/>
      <c r="E175" s="491"/>
      <c r="F175" s="492"/>
      <c r="G175" s="493"/>
      <c r="H175" s="493"/>
      <c r="I175" s="494"/>
      <c r="J175" s="494"/>
      <c r="K175" s="495"/>
      <c r="L175" s="495"/>
      <c r="M175" s="495"/>
      <c r="N175" s="496"/>
      <c r="O175" s="495"/>
      <c r="P175" s="495"/>
      <c r="Q175" s="495"/>
      <c r="R175" s="495"/>
      <c r="S175" s="495"/>
      <c r="T175" s="495"/>
      <c r="U175" s="495"/>
      <c r="V175" s="495"/>
      <c r="W175" s="495"/>
      <c r="X175" s="495"/>
      <c r="Y175" s="495"/>
      <c r="Z175" s="495"/>
      <c r="AA175" s="495"/>
      <c r="AB175" s="497"/>
    </row>
    <row r="176" spans="1:28" s="90" customFormat="1" ht="14.1" customHeight="1" x14ac:dyDescent="0.2">
      <c r="A176" s="593"/>
      <c r="B176" s="594"/>
      <c r="C176" s="594"/>
      <c r="D176" s="594"/>
      <c r="E176" s="594"/>
      <c r="F176" s="387" t="s">
        <v>226</v>
      </c>
      <c r="G176" s="382"/>
      <c r="H176" s="382"/>
      <c r="I176" s="382"/>
      <c r="J176" s="382"/>
      <c r="K176" s="382"/>
      <c r="L176" s="382"/>
      <c r="M176" s="382"/>
      <c r="N176" s="382"/>
      <c r="O176" s="100" t="s">
        <v>227</v>
      </c>
      <c r="P176" s="382"/>
      <c r="Q176" s="382"/>
      <c r="R176" s="382"/>
      <c r="S176" s="382"/>
      <c r="T176" s="382"/>
      <c r="U176" s="382"/>
      <c r="V176" s="382"/>
      <c r="W176" s="100" t="s">
        <v>228</v>
      </c>
      <c r="X176" s="382"/>
      <c r="Y176" s="382"/>
      <c r="Z176" s="382"/>
      <c r="AA176" s="382"/>
      <c r="AB176" s="302"/>
    </row>
    <row r="177" spans="1:28" s="90" customFormat="1" ht="14.1" customHeight="1" x14ac:dyDescent="0.2">
      <c r="A177" s="593"/>
      <c r="B177" s="594"/>
      <c r="C177" s="594"/>
      <c r="D177" s="594"/>
      <c r="E177" s="594"/>
      <c r="F177" s="370"/>
      <c r="G177" s="382"/>
      <c r="H177" s="382"/>
      <c r="I177" s="382"/>
      <c r="J177" s="382"/>
      <c r="K177" s="382"/>
      <c r="L177" s="382"/>
      <c r="M177" s="382"/>
      <c r="N177" s="382"/>
      <c r="O177" s="382"/>
      <c r="P177" s="382"/>
      <c r="Q177" s="382"/>
      <c r="R177" s="382"/>
      <c r="S177" s="382"/>
      <c r="T177" s="382"/>
      <c r="U177" s="382"/>
      <c r="V177" s="382"/>
      <c r="W177" s="382"/>
      <c r="X177" s="382"/>
      <c r="Y177" s="382"/>
      <c r="Z177" s="382"/>
      <c r="AA177" s="382"/>
      <c r="AB177" s="302"/>
    </row>
    <row r="178" spans="1:28" s="90" customFormat="1" ht="14.1" customHeight="1" x14ac:dyDescent="0.2">
      <c r="A178" s="593"/>
      <c r="B178" s="594"/>
      <c r="C178" s="594"/>
      <c r="D178" s="963"/>
      <c r="E178" s="963"/>
      <c r="F178" s="370"/>
      <c r="G178" s="964"/>
      <c r="H178" s="964"/>
      <c r="I178" s="964"/>
      <c r="J178" s="964"/>
      <c r="K178" s="382"/>
      <c r="L178" s="382"/>
      <c r="M178" s="382"/>
      <c r="N178" s="382"/>
      <c r="O178" s="964"/>
      <c r="P178" s="964"/>
      <c r="Q178" s="964"/>
      <c r="R178" s="964"/>
      <c r="S178" s="382"/>
      <c r="T178" s="382"/>
      <c r="U178" s="382"/>
      <c r="V178" s="382"/>
      <c r="W178" s="964"/>
      <c r="X178" s="964"/>
      <c r="Y178" s="964"/>
      <c r="Z178" s="964"/>
      <c r="AA178" s="382"/>
      <c r="AB178" s="302"/>
    </row>
    <row r="179" spans="1:28" ht="14.1" customHeight="1" thickBot="1" x14ac:dyDescent="0.25">
      <c r="A179" s="142"/>
      <c r="B179" s="143"/>
      <c r="C179" s="144"/>
      <c r="D179" s="958" t="s">
        <v>692</v>
      </c>
      <c r="E179" s="958"/>
      <c r="F179" s="374"/>
      <c r="G179" s="959" t="s">
        <v>691</v>
      </c>
      <c r="H179" s="959"/>
      <c r="I179" s="959"/>
      <c r="J179" s="959"/>
      <c r="K179" s="146"/>
      <c r="L179" s="146"/>
      <c r="M179" s="146"/>
      <c r="N179" s="146"/>
      <c r="O179" s="959" t="s">
        <v>693</v>
      </c>
      <c r="P179" s="959"/>
      <c r="Q179" s="959"/>
      <c r="R179" s="959"/>
      <c r="S179" s="388"/>
      <c r="T179" s="144"/>
      <c r="U179" s="144"/>
      <c r="V179" s="144"/>
      <c r="W179" s="959" t="s">
        <v>694</v>
      </c>
      <c r="X179" s="959"/>
      <c r="Y179" s="959"/>
      <c r="Z179" s="959"/>
      <c r="AA179" s="144"/>
      <c r="AB179" s="319"/>
    </row>
  </sheetData>
  <mergeCells count="50">
    <mergeCell ref="G178:J178"/>
    <mergeCell ref="O178:R178"/>
    <mergeCell ref="W178:Z178"/>
    <mergeCell ref="A11:E13"/>
    <mergeCell ref="G12:G13"/>
    <mergeCell ref="H12:H13"/>
    <mergeCell ref="I12:I13"/>
    <mergeCell ref="J12:J13"/>
    <mergeCell ref="K12:K13"/>
    <mergeCell ref="L12:L13"/>
    <mergeCell ref="T11:X11"/>
    <mergeCell ref="Y11:AB11"/>
    <mergeCell ref="V12:V13"/>
    <mergeCell ref="W12:W13"/>
    <mergeCell ref="B121:E121"/>
    <mergeCell ref="A101:E101"/>
    <mergeCell ref="D179:E179"/>
    <mergeCell ref="G179:J179"/>
    <mergeCell ref="O179:R179"/>
    <mergeCell ref="W179:Z179"/>
    <mergeCell ref="R12:R13"/>
    <mergeCell ref="M12:M13"/>
    <mergeCell ref="A149:E149"/>
    <mergeCell ref="A153:E153"/>
    <mergeCell ref="A14:E14"/>
    <mergeCell ref="A66:E66"/>
    <mergeCell ref="A87:E87"/>
    <mergeCell ref="U12:U13"/>
    <mergeCell ref="P12:P13"/>
    <mergeCell ref="Q12:Q13"/>
    <mergeCell ref="Y12:Y13"/>
    <mergeCell ref="D178:E178"/>
    <mergeCell ref="Y1:Z1"/>
    <mergeCell ref="F11:F13"/>
    <mergeCell ref="G11:I11"/>
    <mergeCell ref="J11:N11"/>
    <mergeCell ref="O11:S11"/>
    <mergeCell ref="S12:S13"/>
    <mergeCell ref="T12:T13"/>
    <mergeCell ref="Z12:Z13"/>
    <mergeCell ref="N12:N13"/>
    <mergeCell ref="X12:X13"/>
    <mergeCell ref="A3:AB3"/>
    <mergeCell ref="O12:O13"/>
    <mergeCell ref="A104:E104"/>
    <mergeCell ref="A109:E109"/>
    <mergeCell ref="A15:E15"/>
    <mergeCell ref="B31:E31"/>
    <mergeCell ref="A2:AB2"/>
    <mergeCell ref="AA12:AB12"/>
  </mergeCells>
  <pageMargins left="0.5" right="0.3" top="0.38" bottom="0.71" header="0.12" footer="0.38"/>
  <pageSetup paperSize="5" scale="80" orientation="landscape" r:id="rId1"/>
  <headerFooter alignWithMargins="0">
    <oddFooter>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8" r:id="rId4" name="Check Box 10">
              <controlPr defaultSize="0" autoFill="0" autoLine="0" autoPict="0" altText="">
                <anchor moveWithCells="1">
                  <from>
                    <xdr:col>23</xdr:col>
                    <xdr:colOff>400050</xdr:colOff>
                    <xdr:row>3</xdr:row>
                    <xdr:rowOff>123825</xdr:rowOff>
                  </from>
                  <to>
                    <xdr:col>23</xdr:col>
                    <xdr:colOff>714375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9" r:id="rId5" name="Check Box 11">
              <controlPr defaultSize="0" autoFill="0" autoLine="0" autoPict="0" altText="">
                <anchor moveWithCells="1">
                  <from>
                    <xdr:col>23</xdr:col>
                    <xdr:colOff>400050</xdr:colOff>
                    <xdr:row>4</xdr:row>
                    <xdr:rowOff>123825</xdr:rowOff>
                  </from>
                  <to>
                    <xdr:col>23</xdr:col>
                    <xdr:colOff>714375</xdr:colOff>
                    <xdr:row>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6" name="Check Box 12">
              <controlPr defaultSize="0" autoFill="0" autoLine="0" autoPict="0" altText="">
                <anchor moveWithCells="1">
                  <from>
                    <xdr:col>23</xdr:col>
                    <xdr:colOff>409575</xdr:colOff>
                    <xdr:row>5</xdr:row>
                    <xdr:rowOff>123825</xdr:rowOff>
                  </from>
                  <to>
                    <xdr:col>23</xdr:col>
                    <xdr:colOff>723900</xdr:colOff>
                    <xdr:row>7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CM1240"/>
  <sheetViews>
    <sheetView topLeftCell="A10" workbookViewId="0">
      <pane xSplit="5" ySplit="7" topLeftCell="I412" activePane="bottomRight" state="frozen"/>
      <selection activeCell="A10" sqref="A10"/>
      <selection pane="topRight" activeCell="F10" sqref="F10"/>
      <selection pane="bottomLeft" activeCell="A17" sqref="A17"/>
      <selection pane="bottomRight" activeCell="J445" sqref="J445"/>
    </sheetView>
  </sheetViews>
  <sheetFormatPr defaultRowHeight="14.1" customHeight="1" x14ac:dyDescent="0.2"/>
  <cols>
    <col min="1" max="1" width="7" style="57" customWidth="1"/>
    <col min="2" max="2" width="3.28515625" style="58" customWidth="1"/>
    <col min="3" max="3" width="5.5703125" style="59" customWidth="1"/>
    <col min="4" max="4" width="6.28515625" style="60" customWidth="1"/>
    <col min="5" max="5" width="42.28515625" style="59" customWidth="1"/>
    <col min="6" max="6" width="13.42578125" style="289" customWidth="1"/>
    <col min="7" max="7" width="13.7109375" style="61" customWidth="1"/>
    <col min="8" max="8" width="9.140625" style="61" customWidth="1"/>
    <col min="9" max="9" width="13.28515625" style="61" customWidth="1"/>
    <col min="10" max="10" width="13.140625" style="61" customWidth="1"/>
    <col min="11" max="11" width="12.85546875" style="61" customWidth="1"/>
    <col min="12" max="12" width="9.140625" style="61" customWidth="1"/>
    <col min="13" max="13" width="12.5703125" style="61" customWidth="1"/>
    <col min="14" max="14" width="14.5703125" style="61" customWidth="1"/>
    <col min="15" max="15" width="13.28515625" style="61" hidden="1" customWidth="1"/>
    <col min="16" max="16" width="13.42578125" style="61" hidden="1" customWidth="1"/>
    <col min="17" max="17" width="13.85546875" style="61" hidden="1" customWidth="1"/>
    <col min="18" max="18" width="14.7109375" style="59" customWidth="1"/>
    <col min="19" max="19" width="13.28515625" style="59" customWidth="1"/>
    <col min="20" max="20" width="13" style="59" hidden="1" customWidth="1"/>
    <col min="21" max="22" width="13.140625" style="59" hidden="1" customWidth="1"/>
    <col min="23" max="23" width="13.85546875" style="59" customWidth="1"/>
    <col min="24" max="24" width="13.140625" style="59" customWidth="1"/>
    <col min="25" max="25" width="12.7109375" style="59" customWidth="1"/>
    <col min="26" max="26" width="14.7109375" style="59" customWidth="1"/>
    <col min="27" max="27" width="9.140625" style="59"/>
    <col min="28" max="28" width="13.85546875" style="59" customWidth="1"/>
    <col min="29" max="29" width="9.140625" style="59"/>
    <col min="30" max="30" width="12.140625" style="59" bestFit="1" customWidth="1"/>
    <col min="31" max="31" width="10.42578125" style="59" bestFit="1" customWidth="1"/>
    <col min="32" max="32" width="9.5703125" style="59" bestFit="1" customWidth="1"/>
    <col min="33" max="16384" width="9.140625" style="59"/>
  </cols>
  <sheetData>
    <row r="1" spans="1:31" s="256" customFormat="1" ht="12.75" x14ac:dyDescent="0.2">
      <c r="A1" s="292"/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981" t="s">
        <v>680</v>
      </c>
      <c r="Z1" s="981"/>
      <c r="AA1" s="498"/>
      <c r="AB1" s="499"/>
    </row>
    <row r="2" spans="1:31" s="256" customFormat="1" ht="12.75" x14ac:dyDescent="0.2">
      <c r="A2" s="945" t="s">
        <v>698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  <c r="N2" s="946"/>
      <c r="O2" s="946"/>
      <c r="P2" s="946"/>
      <c r="Q2" s="946"/>
      <c r="R2" s="946"/>
      <c r="S2" s="946"/>
      <c r="T2" s="946"/>
      <c r="U2" s="946"/>
      <c r="V2" s="946"/>
      <c r="W2" s="946"/>
      <c r="X2" s="946"/>
      <c r="Y2" s="946"/>
      <c r="Z2" s="946"/>
      <c r="AA2" s="946"/>
      <c r="AB2" s="947"/>
    </row>
    <row r="3" spans="1:31" s="256" customFormat="1" ht="12.75" x14ac:dyDescent="0.2">
      <c r="A3" s="980" t="str">
        <f>'far 1'!A3:AB3</f>
        <v>As of Quarterly Ending December 31, 2016</v>
      </c>
      <c r="B3" s="981"/>
      <c r="C3" s="981"/>
      <c r="D3" s="981"/>
      <c r="E3" s="981"/>
      <c r="F3" s="981"/>
      <c r="G3" s="981"/>
      <c r="H3" s="981"/>
      <c r="I3" s="981"/>
      <c r="J3" s="981"/>
      <c r="K3" s="981"/>
      <c r="L3" s="981"/>
      <c r="M3" s="981"/>
      <c r="N3" s="981"/>
      <c r="O3" s="981"/>
      <c r="P3" s="981"/>
      <c r="Q3" s="981"/>
      <c r="R3" s="981"/>
      <c r="S3" s="981"/>
      <c r="T3" s="981"/>
      <c r="U3" s="981"/>
      <c r="V3" s="981"/>
      <c r="W3" s="981"/>
      <c r="X3" s="981"/>
      <c r="Y3" s="981"/>
      <c r="Z3" s="981"/>
      <c r="AA3" s="981"/>
      <c r="AB3" s="982"/>
    </row>
    <row r="4" spans="1:31" s="250" customFormat="1" ht="12.75" x14ac:dyDescent="0.2">
      <c r="A4" s="293"/>
      <c r="B4" s="257"/>
      <c r="C4" s="257"/>
      <c r="D4" s="257"/>
      <c r="E4" s="258"/>
      <c r="F4" s="616"/>
      <c r="G4" s="259"/>
      <c r="H4" s="259"/>
      <c r="I4" s="259"/>
      <c r="J4" s="259"/>
      <c r="K4" s="259"/>
      <c r="L4" s="259"/>
      <c r="M4" s="259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1"/>
    </row>
    <row r="5" spans="1:31" s="256" customFormat="1" ht="12.75" x14ac:dyDescent="0.2">
      <c r="A5" s="294" t="s">
        <v>69</v>
      </c>
      <c r="B5" s="251"/>
      <c r="C5" s="262" t="s">
        <v>70</v>
      </c>
      <c r="D5" s="575" t="s">
        <v>71</v>
      </c>
      <c r="E5" s="252"/>
      <c r="F5" s="619"/>
      <c r="G5" s="253"/>
      <c r="H5" s="253"/>
      <c r="I5" s="253"/>
      <c r="J5" s="253"/>
      <c r="K5" s="253"/>
      <c r="L5" s="253"/>
      <c r="M5" s="253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63"/>
      <c r="Y5" s="254" t="s">
        <v>74</v>
      </c>
      <c r="Z5" s="254"/>
      <c r="AA5" s="254"/>
      <c r="AB5" s="255"/>
    </row>
    <row r="6" spans="1:31" s="256" customFormat="1" ht="12.75" x14ac:dyDescent="0.2">
      <c r="A6" s="294" t="s">
        <v>72</v>
      </c>
      <c r="B6" s="251"/>
      <c r="C6" s="262" t="s">
        <v>70</v>
      </c>
      <c r="D6" s="577" t="s">
        <v>73</v>
      </c>
      <c r="E6" s="252"/>
      <c r="F6" s="619"/>
      <c r="G6" s="253"/>
      <c r="H6" s="253"/>
      <c r="I6" s="253"/>
      <c r="J6" s="253"/>
      <c r="K6" s="253"/>
      <c r="L6" s="253"/>
      <c r="M6" s="253"/>
      <c r="N6" s="254"/>
      <c r="O6" s="254"/>
      <c r="P6" s="264"/>
      <c r="Q6" s="254"/>
      <c r="R6" s="254"/>
      <c r="S6" s="254"/>
      <c r="T6" s="264"/>
      <c r="U6" s="254"/>
      <c r="V6" s="254"/>
      <c r="W6" s="254"/>
      <c r="X6" s="263"/>
      <c r="Y6" s="254" t="s">
        <v>76</v>
      </c>
      <c r="Z6" s="254"/>
      <c r="AA6" s="254"/>
      <c r="AB6" s="255"/>
    </row>
    <row r="7" spans="1:31" s="273" customFormat="1" ht="12.75" x14ac:dyDescent="0.2">
      <c r="A7" s="265" t="s">
        <v>75</v>
      </c>
      <c r="B7" s="266"/>
      <c r="C7" s="267" t="s">
        <v>70</v>
      </c>
      <c r="D7" s="579" t="str">
        <f>'far 1'!D7</f>
        <v>Region VII</v>
      </c>
      <c r="E7" s="268"/>
      <c r="F7" s="623"/>
      <c r="G7" s="269"/>
      <c r="H7" s="269"/>
      <c r="I7" s="269"/>
      <c r="J7" s="269"/>
      <c r="K7" s="269"/>
      <c r="L7" s="269"/>
      <c r="M7" s="269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1"/>
      <c r="Y7" s="270" t="s">
        <v>78</v>
      </c>
      <c r="Z7" s="270"/>
      <c r="AA7" s="270"/>
      <c r="AB7" s="272"/>
    </row>
    <row r="8" spans="1:31" s="256" customFormat="1" ht="12.75" x14ac:dyDescent="0.2">
      <c r="A8" s="294" t="s">
        <v>77</v>
      </c>
      <c r="B8" s="251"/>
      <c r="C8" s="262" t="s">
        <v>70</v>
      </c>
      <c r="D8" s="580" t="str">
        <f>'far 1'!D8</f>
        <v>10 003 03 00007</v>
      </c>
      <c r="E8" s="252"/>
      <c r="F8" s="619"/>
      <c r="G8" s="253"/>
      <c r="H8" s="253"/>
      <c r="I8" s="253"/>
      <c r="J8" s="253"/>
      <c r="K8" s="253"/>
      <c r="L8" s="253"/>
      <c r="M8" s="253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5"/>
    </row>
    <row r="9" spans="1:31" s="256" customFormat="1" ht="12.75" x14ac:dyDescent="0.2">
      <c r="A9" s="24" t="s">
        <v>79</v>
      </c>
      <c r="B9" s="25"/>
      <c r="C9" s="281" t="s">
        <v>70</v>
      </c>
      <c r="D9" s="581" t="s">
        <v>2</v>
      </c>
      <c r="E9" s="280"/>
      <c r="F9" s="619"/>
      <c r="G9" s="253"/>
      <c r="H9" s="253"/>
      <c r="I9" s="253"/>
      <c r="J9" s="253"/>
      <c r="K9" s="253"/>
      <c r="L9" s="253"/>
      <c r="M9" s="253"/>
      <c r="N9" s="254"/>
      <c r="O9" s="254"/>
      <c r="P9" s="254"/>
      <c r="Q9" s="254"/>
      <c r="R9" s="254"/>
      <c r="S9" s="254"/>
      <c r="T9" s="254"/>
      <c r="U9" s="861"/>
      <c r="V9" s="254"/>
      <c r="W9" s="254"/>
      <c r="X9" s="254"/>
      <c r="Y9" s="254"/>
      <c r="Z9" s="254"/>
      <c r="AA9" s="254"/>
      <c r="AB9" s="255"/>
    </row>
    <row r="10" spans="1:31" s="32" customFormat="1" ht="12.75" x14ac:dyDescent="0.2">
      <c r="A10" s="295"/>
      <c r="B10" s="25"/>
      <c r="C10" s="25"/>
      <c r="D10" s="25"/>
      <c r="E10" s="25"/>
      <c r="F10" s="368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6"/>
    </row>
    <row r="11" spans="1:31" s="343" customFormat="1" ht="12.75" customHeight="1" x14ac:dyDescent="0.2">
      <c r="A11" s="965" t="s">
        <v>80</v>
      </c>
      <c r="B11" s="966"/>
      <c r="C11" s="966"/>
      <c r="D11" s="966"/>
      <c r="E11" s="967"/>
      <c r="F11" s="951" t="s">
        <v>81</v>
      </c>
      <c r="G11" s="954" t="s">
        <v>230</v>
      </c>
      <c r="H11" s="954"/>
      <c r="I11" s="954"/>
      <c r="J11" s="954" t="s">
        <v>82</v>
      </c>
      <c r="K11" s="954"/>
      <c r="L11" s="954"/>
      <c r="M11" s="954"/>
      <c r="N11" s="954"/>
      <c r="O11" s="955" t="s">
        <v>231</v>
      </c>
      <c r="P11" s="955"/>
      <c r="Q11" s="955"/>
      <c r="R11" s="955"/>
      <c r="S11" s="955"/>
      <c r="T11" s="955" t="s">
        <v>232</v>
      </c>
      <c r="U11" s="955"/>
      <c r="V11" s="955"/>
      <c r="W11" s="955"/>
      <c r="X11" s="955"/>
      <c r="Y11" s="974" t="s">
        <v>85</v>
      </c>
      <c r="Z11" s="974"/>
      <c r="AA11" s="974"/>
      <c r="AB11" s="975"/>
    </row>
    <row r="12" spans="1:31" s="343" customFormat="1" ht="12.75" customHeight="1" x14ac:dyDescent="0.2">
      <c r="A12" s="968"/>
      <c r="B12" s="969"/>
      <c r="C12" s="969"/>
      <c r="D12" s="969"/>
      <c r="E12" s="970"/>
      <c r="F12" s="952"/>
      <c r="G12" s="956" t="s">
        <v>233</v>
      </c>
      <c r="H12" s="956" t="s">
        <v>234</v>
      </c>
      <c r="I12" s="956" t="s">
        <v>235</v>
      </c>
      <c r="J12" s="956" t="s">
        <v>86</v>
      </c>
      <c r="K12" s="956" t="s">
        <v>87</v>
      </c>
      <c r="L12" s="956" t="s">
        <v>236</v>
      </c>
      <c r="M12" s="956" t="s">
        <v>237</v>
      </c>
      <c r="N12" s="956" t="s">
        <v>90</v>
      </c>
      <c r="O12" s="956" t="s">
        <v>91</v>
      </c>
      <c r="P12" s="956" t="s">
        <v>92</v>
      </c>
      <c r="Q12" s="956" t="s">
        <v>93</v>
      </c>
      <c r="R12" s="956" t="s">
        <v>94</v>
      </c>
      <c r="S12" s="956" t="s">
        <v>95</v>
      </c>
      <c r="T12" s="956" t="s">
        <v>91</v>
      </c>
      <c r="U12" s="956" t="s">
        <v>92</v>
      </c>
      <c r="V12" s="956" t="s">
        <v>93</v>
      </c>
      <c r="W12" s="956" t="s">
        <v>94</v>
      </c>
      <c r="X12" s="956" t="s">
        <v>95</v>
      </c>
      <c r="Y12" s="956" t="s">
        <v>96</v>
      </c>
      <c r="Z12" s="956" t="s">
        <v>97</v>
      </c>
      <c r="AA12" s="948" t="s">
        <v>98</v>
      </c>
      <c r="AB12" s="949"/>
    </row>
    <row r="13" spans="1:31" s="346" customFormat="1" ht="48" customHeight="1" x14ac:dyDescent="0.2">
      <c r="A13" s="971"/>
      <c r="B13" s="972"/>
      <c r="C13" s="972"/>
      <c r="D13" s="972"/>
      <c r="E13" s="973"/>
      <c r="F13" s="953"/>
      <c r="G13" s="957"/>
      <c r="H13" s="957"/>
      <c r="I13" s="957"/>
      <c r="J13" s="957"/>
      <c r="K13" s="957"/>
      <c r="L13" s="957"/>
      <c r="M13" s="957"/>
      <c r="N13" s="957"/>
      <c r="O13" s="957"/>
      <c r="P13" s="957"/>
      <c r="Q13" s="957"/>
      <c r="R13" s="957"/>
      <c r="S13" s="957"/>
      <c r="T13" s="957"/>
      <c r="U13" s="957"/>
      <c r="V13" s="957"/>
      <c r="W13" s="957"/>
      <c r="X13" s="957"/>
      <c r="Y13" s="957"/>
      <c r="Z13" s="957"/>
      <c r="AA13" s="344" t="s">
        <v>99</v>
      </c>
      <c r="AB13" s="345" t="s">
        <v>100</v>
      </c>
    </row>
    <row r="14" spans="1:31" s="56" customFormat="1" ht="25.5" x14ac:dyDescent="0.2">
      <c r="A14" s="960">
        <v>1</v>
      </c>
      <c r="B14" s="961"/>
      <c r="C14" s="961"/>
      <c r="D14" s="961"/>
      <c r="E14" s="962"/>
      <c r="F14" s="282">
        <v>2</v>
      </c>
      <c r="G14" s="283">
        <v>3</v>
      </c>
      <c r="H14" s="283">
        <v>4</v>
      </c>
      <c r="I14" s="284" t="s">
        <v>238</v>
      </c>
      <c r="J14" s="284">
        <v>6</v>
      </c>
      <c r="K14" s="284">
        <v>7</v>
      </c>
      <c r="L14" s="284">
        <v>8</v>
      </c>
      <c r="M14" s="284">
        <v>9</v>
      </c>
      <c r="N14" s="284" t="s">
        <v>239</v>
      </c>
      <c r="O14" s="285">
        <v>11</v>
      </c>
      <c r="P14" s="285">
        <v>12</v>
      </c>
      <c r="Q14" s="285">
        <v>13</v>
      </c>
      <c r="R14" s="285">
        <v>14</v>
      </c>
      <c r="S14" s="285" t="s">
        <v>240</v>
      </c>
      <c r="T14" s="285">
        <v>16</v>
      </c>
      <c r="U14" s="285">
        <v>17</v>
      </c>
      <c r="V14" s="285">
        <v>18</v>
      </c>
      <c r="W14" s="285">
        <v>19</v>
      </c>
      <c r="X14" s="285" t="s">
        <v>241</v>
      </c>
      <c r="Y14" s="285" t="s">
        <v>242</v>
      </c>
      <c r="Z14" s="285" t="s">
        <v>243</v>
      </c>
      <c r="AA14" s="285">
        <v>23</v>
      </c>
      <c r="AB14" s="732">
        <v>24</v>
      </c>
    </row>
    <row r="15" spans="1:31" s="56" customFormat="1" ht="25.5" customHeight="1" x14ac:dyDescent="0.2">
      <c r="A15" s="978" t="s">
        <v>675</v>
      </c>
      <c r="B15" s="979"/>
      <c r="C15" s="979"/>
      <c r="D15" s="979"/>
      <c r="E15" s="979"/>
      <c r="F15" s="377"/>
      <c r="G15" s="378">
        <f t="shared" ref="G15:AB15" si="0">G16+G615+G703</f>
        <v>49705300</v>
      </c>
      <c r="H15" s="378">
        <f t="shared" si="0"/>
        <v>0</v>
      </c>
      <c r="I15" s="378">
        <f t="shared" si="0"/>
        <v>49705300</v>
      </c>
      <c r="J15" s="378">
        <f t="shared" si="0"/>
        <v>49705300</v>
      </c>
      <c r="K15" s="378">
        <f>K16+K615+K703</f>
        <v>0</v>
      </c>
      <c r="L15" s="378">
        <f t="shared" si="0"/>
        <v>0</v>
      </c>
      <c r="M15" s="378">
        <f t="shared" si="0"/>
        <v>3389009.06</v>
      </c>
      <c r="N15" s="378">
        <f t="shared" si="0"/>
        <v>53094309.060000002</v>
      </c>
      <c r="O15" s="378">
        <f t="shared" si="0"/>
        <v>8155857.5600000005</v>
      </c>
      <c r="P15" s="378">
        <f t="shared" si="0"/>
        <v>7442947.9000000004</v>
      </c>
      <c r="Q15" s="378">
        <f t="shared" si="0"/>
        <v>11041749.25</v>
      </c>
      <c r="R15" s="378">
        <f t="shared" si="0"/>
        <v>21581877.180000003</v>
      </c>
      <c r="S15" s="378">
        <f t="shared" si="0"/>
        <v>48222431.890000001</v>
      </c>
      <c r="T15" s="378">
        <f t="shared" si="0"/>
        <v>6576018.96</v>
      </c>
      <c r="U15" s="378">
        <f t="shared" si="0"/>
        <v>8125154.46</v>
      </c>
      <c r="V15" s="378">
        <f t="shared" si="0"/>
        <v>10928103.77</v>
      </c>
      <c r="W15" s="378">
        <f t="shared" si="0"/>
        <v>20035588.25</v>
      </c>
      <c r="X15" s="378">
        <f t="shared" si="0"/>
        <v>45664865.439999998</v>
      </c>
      <c r="Y15" s="378">
        <f t="shared" si="0"/>
        <v>-3389009.06</v>
      </c>
      <c r="Z15" s="378">
        <f t="shared" si="0"/>
        <v>4871877.1700000009</v>
      </c>
      <c r="AA15" s="739">
        <f t="shared" si="0"/>
        <v>206</v>
      </c>
      <c r="AB15" s="733">
        <f t="shared" si="0"/>
        <v>2557360.4500000025</v>
      </c>
      <c r="AD15" s="759"/>
      <c r="AE15" s="759"/>
    </row>
    <row r="16" spans="1:31" ht="14.1" customHeight="1" x14ac:dyDescent="0.2">
      <c r="A16" s="279" t="s">
        <v>683</v>
      </c>
      <c r="B16" s="364"/>
      <c r="C16" s="365"/>
      <c r="D16" s="366"/>
      <c r="E16" s="365"/>
      <c r="F16" s="367" t="s">
        <v>244</v>
      </c>
      <c r="G16" s="363">
        <f t="shared" ref="G16:AB16" si="1">G18+G42+G117</f>
        <v>47588000</v>
      </c>
      <c r="H16" s="363">
        <f t="shared" si="1"/>
        <v>0</v>
      </c>
      <c r="I16" s="363">
        <f t="shared" si="1"/>
        <v>47588000</v>
      </c>
      <c r="J16" s="363">
        <f t="shared" si="1"/>
        <v>47588000</v>
      </c>
      <c r="K16" s="363">
        <f>K18+K42+K117</f>
        <v>0</v>
      </c>
      <c r="L16" s="363">
        <f t="shared" si="1"/>
        <v>0</v>
      </c>
      <c r="M16" s="363">
        <f t="shared" si="1"/>
        <v>777581.06</v>
      </c>
      <c r="N16" s="363">
        <f t="shared" si="1"/>
        <v>48365581.060000002</v>
      </c>
      <c r="O16" s="363">
        <f t="shared" si="1"/>
        <v>7618499.2400000002</v>
      </c>
      <c r="P16" s="363">
        <f t="shared" si="1"/>
        <v>7038174</v>
      </c>
      <c r="Q16" s="363">
        <f t="shared" si="1"/>
        <v>9593042.2899999991</v>
      </c>
      <c r="R16" s="363">
        <f t="shared" si="1"/>
        <v>19597007.730000004</v>
      </c>
      <c r="S16" s="363">
        <f t="shared" si="1"/>
        <v>43846723.260000005</v>
      </c>
      <c r="T16" s="363">
        <f t="shared" si="1"/>
        <v>6173506.3200000003</v>
      </c>
      <c r="U16" s="363">
        <f t="shared" si="1"/>
        <v>7585715.0999999996</v>
      </c>
      <c r="V16" s="363">
        <f t="shared" si="1"/>
        <v>10249954.449999999</v>
      </c>
      <c r="W16" s="363">
        <f t="shared" si="1"/>
        <v>17279981.940000001</v>
      </c>
      <c r="X16" s="363">
        <f t="shared" si="1"/>
        <v>41289157.810000002</v>
      </c>
      <c r="Y16" s="363">
        <f t="shared" si="1"/>
        <v>-777581.06</v>
      </c>
      <c r="Z16" s="363">
        <f t="shared" si="1"/>
        <v>4518857.8000000007</v>
      </c>
      <c r="AA16" s="740">
        <f t="shared" si="1"/>
        <v>205</v>
      </c>
      <c r="AB16" s="734">
        <f t="shared" si="1"/>
        <v>2557360.4500000025</v>
      </c>
    </row>
    <row r="17" spans="1:28" s="90" customFormat="1" ht="14.1" customHeight="1" x14ac:dyDescent="0.2">
      <c r="A17" s="313" t="s">
        <v>681</v>
      </c>
      <c r="B17" s="80"/>
      <c r="D17" s="352"/>
      <c r="F17" s="353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354"/>
      <c r="S17" s="354"/>
      <c r="T17" s="354"/>
      <c r="U17" s="354"/>
      <c r="V17" s="354"/>
      <c r="W17" s="354"/>
      <c r="X17" s="354"/>
      <c r="Y17" s="354"/>
      <c r="Z17" s="354"/>
      <c r="AA17" s="341"/>
      <c r="AB17" s="304"/>
    </row>
    <row r="18" spans="1:28" s="360" customFormat="1" ht="15" x14ac:dyDescent="0.2">
      <c r="A18" s="356"/>
      <c r="B18" s="357" t="s">
        <v>283</v>
      </c>
      <c r="C18" s="358"/>
      <c r="D18" s="358"/>
      <c r="E18" s="358"/>
      <c r="F18" s="369"/>
      <c r="G18" s="359">
        <f>SUM(G20:G40)</f>
        <v>16976000</v>
      </c>
      <c r="H18" s="359">
        <f t="shared" ref="H18:AB18" si="2">SUM(H20:H40)</f>
        <v>0</v>
      </c>
      <c r="I18" s="359">
        <f t="shared" si="2"/>
        <v>16976000</v>
      </c>
      <c r="J18" s="359">
        <f t="shared" si="2"/>
        <v>16976000</v>
      </c>
      <c r="K18" s="359">
        <f t="shared" si="2"/>
        <v>975000</v>
      </c>
      <c r="L18" s="359">
        <f t="shared" si="2"/>
        <v>0</v>
      </c>
      <c r="M18" s="359">
        <f t="shared" si="2"/>
        <v>218365.06</v>
      </c>
      <c r="N18" s="359">
        <f t="shared" si="2"/>
        <v>18169365.060000002</v>
      </c>
      <c r="O18" s="359">
        <f t="shared" si="2"/>
        <v>5113836</v>
      </c>
      <c r="P18" s="359">
        <f t="shared" si="2"/>
        <v>4862404.8</v>
      </c>
      <c r="Q18" s="359">
        <f t="shared" si="2"/>
        <v>3447069.15</v>
      </c>
      <c r="R18" s="359">
        <f t="shared" si="2"/>
        <v>4624104.9499999993</v>
      </c>
      <c r="S18" s="359">
        <f t="shared" si="2"/>
        <v>18047414.899999999</v>
      </c>
      <c r="T18" s="359">
        <f t="shared" si="2"/>
        <v>3895747</v>
      </c>
      <c r="U18" s="359">
        <f t="shared" si="2"/>
        <v>5183941.9799999995</v>
      </c>
      <c r="V18" s="359">
        <f t="shared" si="2"/>
        <v>4323056.3099999996</v>
      </c>
      <c r="W18" s="359">
        <f t="shared" si="2"/>
        <v>4644669.6099999994</v>
      </c>
      <c r="X18" s="359">
        <f t="shared" si="2"/>
        <v>18047414.899999999</v>
      </c>
      <c r="Y18" s="359">
        <f t="shared" si="2"/>
        <v>-1193365.06</v>
      </c>
      <c r="Z18" s="359">
        <f t="shared" si="2"/>
        <v>121950.16</v>
      </c>
      <c r="AA18" s="741">
        <f t="shared" si="2"/>
        <v>0</v>
      </c>
      <c r="AB18" s="735">
        <f t="shared" si="2"/>
        <v>0</v>
      </c>
    </row>
    <row r="19" spans="1:28" s="90" customFormat="1" ht="14.1" customHeight="1" x14ac:dyDescent="0.2">
      <c r="A19" s="301"/>
      <c r="B19" s="348" t="s">
        <v>284</v>
      </c>
      <c r="C19" s="101"/>
      <c r="D19" s="101"/>
      <c r="E19" s="101"/>
      <c r="F19" s="370"/>
      <c r="G19" s="321"/>
      <c r="H19" s="321"/>
      <c r="I19" s="321"/>
      <c r="J19" s="321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332"/>
      <c r="X19" s="332"/>
      <c r="Y19" s="332"/>
      <c r="Z19" s="332"/>
      <c r="AA19" s="332"/>
      <c r="AB19" s="302"/>
    </row>
    <row r="20" spans="1:28" s="90" customFormat="1" ht="14.1" customHeight="1" x14ac:dyDescent="0.2">
      <c r="A20" s="301"/>
      <c r="B20" s="349" t="s">
        <v>285</v>
      </c>
      <c r="C20" s="101"/>
      <c r="D20" s="101"/>
      <c r="E20" s="101"/>
      <c r="F20" s="370" t="s">
        <v>286</v>
      </c>
      <c r="G20" s="361">
        <f>G149+G359+G489</f>
        <v>13831000</v>
      </c>
      <c r="H20" s="361">
        <f>H149+H359+H489</f>
        <v>0</v>
      </c>
      <c r="I20" s="330">
        <f t="shared" ref="I20" si="3">G20+H20</f>
        <v>13831000</v>
      </c>
      <c r="J20" s="330">
        <f t="shared" ref="J20" si="4">I20</f>
        <v>13831000</v>
      </c>
      <c r="K20" s="361">
        <f>K149+K359+K489</f>
        <v>0</v>
      </c>
      <c r="L20" s="361">
        <f>L149+L359+L489</f>
        <v>0</v>
      </c>
      <c r="M20" s="361">
        <f>M149+M359+M489</f>
        <v>0</v>
      </c>
      <c r="N20" s="276">
        <f>J20+K20-L20+M20</f>
        <v>13831000</v>
      </c>
      <c r="O20" s="361">
        <f>O149+O359+O489</f>
        <v>4477986</v>
      </c>
      <c r="P20" s="361">
        <f>P149+P359+P489</f>
        <v>3373115.8</v>
      </c>
      <c r="Q20" s="361">
        <f>Q149+Q359+Q489</f>
        <v>3056494.15</v>
      </c>
      <c r="R20" s="361">
        <f>R149+R359+R489</f>
        <v>2923404.05</v>
      </c>
      <c r="S20" s="342">
        <f t="shared" ref="S20" si="5">SUM(O20:R20)</f>
        <v>13831000</v>
      </c>
      <c r="T20" s="361">
        <f>T149+T359+T489</f>
        <v>3353422</v>
      </c>
      <c r="U20" s="361">
        <f>U149+U359+U489</f>
        <v>3626492.6399999997</v>
      </c>
      <c r="V20" s="361">
        <f>V149+V359+V489</f>
        <v>3927681.3099999996</v>
      </c>
      <c r="W20" s="361">
        <f>W149+W359+W489</f>
        <v>2923404.05</v>
      </c>
      <c r="X20" s="342">
        <f t="shared" ref="X20" si="6">SUM(T20:W20)</f>
        <v>13831000</v>
      </c>
      <c r="Y20" s="342">
        <f t="shared" ref="Y20" si="7">I20-N20</f>
        <v>0</v>
      </c>
      <c r="Z20" s="342">
        <f t="shared" ref="Z20" si="8">N20-S20</f>
        <v>0</v>
      </c>
      <c r="AA20" s="157">
        <f>AA149+AA359+AA489</f>
        <v>0</v>
      </c>
      <c r="AB20" s="318">
        <f t="shared" ref="AB20" si="9">+S20-X20-AA20</f>
        <v>0</v>
      </c>
    </row>
    <row r="21" spans="1:28" s="90" customFormat="1" ht="14.1" customHeight="1" x14ac:dyDescent="0.2">
      <c r="A21" s="301"/>
      <c r="B21" s="348" t="s">
        <v>287</v>
      </c>
      <c r="C21" s="101"/>
      <c r="D21" s="101"/>
      <c r="E21" s="101"/>
      <c r="F21" s="370"/>
      <c r="G21" s="361"/>
      <c r="H21" s="361"/>
      <c r="I21" s="321"/>
      <c r="J21" s="321"/>
      <c r="K21" s="361"/>
      <c r="L21" s="361"/>
      <c r="M21" s="361"/>
      <c r="N21" s="332"/>
      <c r="O21" s="361"/>
      <c r="P21" s="361"/>
      <c r="Q21" s="361"/>
      <c r="R21" s="361"/>
      <c r="S21" s="332"/>
      <c r="T21" s="361"/>
      <c r="U21" s="361"/>
      <c r="V21" s="361"/>
      <c r="W21" s="361"/>
      <c r="X21" s="332"/>
      <c r="Y21" s="332"/>
      <c r="Z21" s="332"/>
      <c r="AA21" s="157"/>
      <c r="AB21" s="302"/>
    </row>
    <row r="22" spans="1:28" s="90" customFormat="1" ht="14.1" customHeight="1" x14ac:dyDescent="0.2">
      <c r="A22" s="301"/>
      <c r="B22" s="349" t="s">
        <v>288</v>
      </c>
      <c r="C22" s="101"/>
      <c r="D22" s="101"/>
      <c r="E22" s="101"/>
      <c r="F22" s="370" t="s">
        <v>289</v>
      </c>
      <c r="G22" s="361">
        <f t="shared" ref="G22:H25" si="10">G151+G361+G491</f>
        <v>1008000</v>
      </c>
      <c r="H22" s="361">
        <f t="shared" si="10"/>
        <v>0</v>
      </c>
      <c r="I22" s="330">
        <f t="shared" ref="I22:I31" si="11">G22+H22</f>
        <v>1008000</v>
      </c>
      <c r="J22" s="330">
        <f t="shared" ref="J22:J31" si="12">I22</f>
        <v>1008000</v>
      </c>
      <c r="K22" s="361">
        <f t="shared" ref="K22:M25" si="13">K151+K361+K491</f>
        <v>0</v>
      </c>
      <c r="L22" s="361">
        <f t="shared" si="13"/>
        <v>0</v>
      </c>
      <c r="M22" s="361">
        <f t="shared" si="13"/>
        <v>0</v>
      </c>
      <c r="N22" s="276">
        <f t="shared" ref="N22:N33" si="14">J22+K22-L22+M22</f>
        <v>1008000</v>
      </c>
      <c r="O22" s="361">
        <f t="shared" ref="O22:R26" si="15">O151+O361+O491</f>
        <v>294000</v>
      </c>
      <c r="P22" s="361">
        <f t="shared" si="15"/>
        <v>222000</v>
      </c>
      <c r="Q22" s="361">
        <f t="shared" si="15"/>
        <v>222000</v>
      </c>
      <c r="R22" s="361">
        <f t="shared" si="15"/>
        <v>270000</v>
      </c>
      <c r="S22" s="342">
        <f t="shared" ref="S22:S30" si="16">SUM(O22:R22)</f>
        <v>1008000</v>
      </c>
      <c r="T22" s="361">
        <f t="shared" ref="T22:W26" si="17">T151+T361+T491</f>
        <v>220000</v>
      </c>
      <c r="U22" s="361">
        <f t="shared" si="17"/>
        <v>290160.33999999997</v>
      </c>
      <c r="V22" s="361">
        <f t="shared" si="17"/>
        <v>223100</v>
      </c>
      <c r="W22" s="361">
        <f t="shared" si="17"/>
        <v>274739.66000000003</v>
      </c>
      <c r="X22" s="342">
        <f t="shared" ref="X22:X31" si="18">SUM(T22:W22)</f>
        <v>1008000</v>
      </c>
      <c r="Y22" s="342">
        <f t="shared" ref="Y22:Y32" si="19">I22-N22</f>
        <v>0</v>
      </c>
      <c r="Z22" s="342">
        <f t="shared" ref="Z22:Z32" si="20">N22-S22</f>
        <v>0</v>
      </c>
      <c r="AA22" s="157">
        <f>AA151+AA361+AA491</f>
        <v>0</v>
      </c>
      <c r="AB22" s="318">
        <f t="shared" ref="AB22:AB32" si="21">+S22-X22-AA22</f>
        <v>0</v>
      </c>
    </row>
    <row r="23" spans="1:28" s="90" customFormat="1" ht="14.1" customHeight="1" x14ac:dyDescent="0.2">
      <c r="A23" s="301"/>
      <c r="B23" s="349" t="s">
        <v>290</v>
      </c>
      <c r="C23" s="101"/>
      <c r="D23" s="101"/>
      <c r="E23" s="101"/>
      <c r="F23" s="370" t="s">
        <v>291</v>
      </c>
      <c r="G23" s="361">
        <f t="shared" si="10"/>
        <v>0</v>
      </c>
      <c r="H23" s="361">
        <f t="shared" si="10"/>
        <v>0</v>
      </c>
      <c r="I23" s="330">
        <f t="shared" si="11"/>
        <v>0</v>
      </c>
      <c r="J23" s="330">
        <f t="shared" si="12"/>
        <v>0</v>
      </c>
      <c r="K23" s="361">
        <f t="shared" si="13"/>
        <v>0</v>
      </c>
      <c r="L23" s="361">
        <f t="shared" si="13"/>
        <v>0</v>
      </c>
      <c r="M23" s="361">
        <f t="shared" si="13"/>
        <v>0</v>
      </c>
      <c r="N23" s="276">
        <f t="shared" si="14"/>
        <v>0</v>
      </c>
      <c r="O23" s="361">
        <f t="shared" si="15"/>
        <v>40000</v>
      </c>
      <c r="P23" s="361">
        <f t="shared" si="15"/>
        <v>40000</v>
      </c>
      <c r="Q23" s="361">
        <f t="shared" si="15"/>
        <v>55000</v>
      </c>
      <c r="R23" s="361">
        <f t="shared" si="15"/>
        <v>-135000</v>
      </c>
      <c r="S23" s="342">
        <f t="shared" si="16"/>
        <v>0</v>
      </c>
      <c r="T23" s="361">
        <f t="shared" si="17"/>
        <v>40000</v>
      </c>
      <c r="U23" s="361">
        <f t="shared" si="17"/>
        <v>40000</v>
      </c>
      <c r="V23" s="361">
        <f t="shared" si="17"/>
        <v>55000</v>
      </c>
      <c r="W23" s="361">
        <f t="shared" si="17"/>
        <v>-135000</v>
      </c>
      <c r="X23" s="342">
        <f t="shared" si="18"/>
        <v>0</v>
      </c>
      <c r="Y23" s="342">
        <f t="shared" si="19"/>
        <v>0</v>
      </c>
      <c r="Z23" s="342">
        <f t="shared" si="20"/>
        <v>0</v>
      </c>
      <c r="AA23" s="157">
        <f>AA152+AA362+AA492</f>
        <v>0</v>
      </c>
      <c r="AB23" s="318">
        <f t="shared" si="21"/>
        <v>0</v>
      </c>
    </row>
    <row r="24" spans="1:28" s="90" customFormat="1" ht="14.1" customHeight="1" x14ac:dyDescent="0.2">
      <c r="A24" s="301"/>
      <c r="B24" s="349" t="s">
        <v>292</v>
      </c>
      <c r="C24" s="101"/>
      <c r="D24" s="101"/>
      <c r="E24" s="101"/>
      <c r="F24" s="370" t="s">
        <v>293</v>
      </c>
      <c r="G24" s="361">
        <f t="shared" si="10"/>
        <v>0</v>
      </c>
      <c r="H24" s="361">
        <f t="shared" si="10"/>
        <v>0</v>
      </c>
      <c r="I24" s="330">
        <f t="shared" si="11"/>
        <v>0</v>
      </c>
      <c r="J24" s="330">
        <f t="shared" si="12"/>
        <v>0</v>
      </c>
      <c r="K24" s="361">
        <f t="shared" si="13"/>
        <v>0</v>
      </c>
      <c r="L24" s="361">
        <f t="shared" si="13"/>
        <v>0</v>
      </c>
      <c r="M24" s="361">
        <f t="shared" si="13"/>
        <v>0</v>
      </c>
      <c r="N24" s="276">
        <f t="shared" si="14"/>
        <v>0</v>
      </c>
      <c r="O24" s="361">
        <f t="shared" si="15"/>
        <v>40000</v>
      </c>
      <c r="P24" s="361">
        <f t="shared" si="15"/>
        <v>40000</v>
      </c>
      <c r="Q24" s="361">
        <f t="shared" si="15"/>
        <v>55000</v>
      </c>
      <c r="R24" s="361">
        <f t="shared" si="15"/>
        <v>-135000</v>
      </c>
      <c r="S24" s="342">
        <f t="shared" si="16"/>
        <v>0</v>
      </c>
      <c r="T24" s="361">
        <f t="shared" si="17"/>
        <v>40000</v>
      </c>
      <c r="U24" s="361">
        <f t="shared" si="17"/>
        <v>40000</v>
      </c>
      <c r="V24" s="361">
        <f t="shared" si="17"/>
        <v>55000</v>
      </c>
      <c r="W24" s="361">
        <f t="shared" si="17"/>
        <v>-135000</v>
      </c>
      <c r="X24" s="342">
        <f t="shared" si="18"/>
        <v>0</v>
      </c>
      <c r="Y24" s="342">
        <f t="shared" si="19"/>
        <v>0</v>
      </c>
      <c r="Z24" s="342">
        <f t="shared" si="20"/>
        <v>0</v>
      </c>
      <c r="AA24" s="157">
        <f>AA153+AA363+AA493</f>
        <v>0</v>
      </c>
      <c r="AB24" s="318">
        <f t="shared" si="21"/>
        <v>0</v>
      </c>
    </row>
    <row r="25" spans="1:28" s="90" customFormat="1" ht="14.1" customHeight="1" x14ac:dyDescent="0.2">
      <c r="A25" s="301"/>
      <c r="B25" s="349" t="s">
        <v>294</v>
      </c>
      <c r="C25" s="101"/>
      <c r="D25" s="101"/>
      <c r="E25" s="101"/>
      <c r="F25" s="370" t="s">
        <v>295</v>
      </c>
      <c r="G25" s="361">
        <f t="shared" si="10"/>
        <v>210000</v>
      </c>
      <c r="H25" s="361">
        <f t="shared" si="10"/>
        <v>0</v>
      </c>
      <c r="I25" s="330">
        <f t="shared" si="11"/>
        <v>210000</v>
      </c>
      <c r="J25" s="330">
        <f t="shared" si="12"/>
        <v>210000</v>
      </c>
      <c r="K25" s="361">
        <f t="shared" si="13"/>
        <v>0</v>
      </c>
      <c r="L25" s="361">
        <f t="shared" si="13"/>
        <v>0</v>
      </c>
      <c r="M25" s="361">
        <f t="shared" si="13"/>
        <v>0</v>
      </c>
      <c r="N25" s="276">
        <f t="shared" si="14"/>
        <v>210000</v>
      </c>
      <c r="O25" s="361">
        <f t="shared" si="15"/>
        <v>185000</v>
      </c>
      <c r="P25" s="361">
        <f t="shared" si="15"/>
        <v>0</v>
      </c>
      <c r="Q25" s="361">
        <f t="shared" si="15"/>
        <v>0</v>
      </c>
      <c r="R25" s="361">
        <f t="shared" si="15"/>
        <v>25000</v>
      </c>
      <c r="S25" s="342">
        <f t="shared" si="16"/>
        <v>210000</v>
      </c>
      <c r="T25" s="361">
        <f t="shared" si="17"/>
        <v>185000</v>
      </c>
      <c r="U25" s="361">
        <f t="shared" si="17"/>
        <v>0</v>
      </c>
      <c r="V25" s="361">
        <f t="shared" si="17"/>
        <v>0</v>
      </c>
      <c r="W25" s="361">
        <f t="shared" si="17"/>
        <v>25000</v>
      </c>
      <c r="X25" s="342">
        <f t="shared" si="18"/>
        <v>210000</v>
      </c>
      <c r="Y25" s="342">
        <f t="shared" si="19"/>
        <v>0</v>
      </c>
      <c r="Z25" s="342">
        <f t="shared" si="20"/>
        <v>0</v>
      </c>
      <c r="AA25" s="157">
        <f>AA154+AA364+AA494</f>
        <v>0</v>
      </c>
      <c r="AB25" s="318">
        <f t="shared" si="21"/>
        <v>0</v>
      </c>
    </row>
    <row r="26" spans="1:28" s="90" customFormat="1" ht="14.1" customHeight="1" x14ac:dyDescent="0.2">
      <c r="A26" s="301"/>
      <c r="B26" s="349" t="s">
        <v>814</v>
      </c>
      <c r="C26" s="864"/>
      <c r="D26" s="864"/>
      <c r="E26" s="864"/>
      <c r="F26" s="370" t="s">
        <v>815</v>
      </c>
      <c r="G26" s="361">
        <f>+G155+G365+G495</f>
        <v>0</v>
      </c>
      <c r="H26" s="361">
        <f>H157+H369+H501</f>
        <v>0</v>
      </c>
      <c r="I26" s="865">
        <f t="shared" si="11"/>
        <v>0</v>
      </c>
      <c r="J26" s="865">
        <f t="shared" si="12"/>
        <v>0</v>
      </c>
      <c r="K26" s="361">
        <f t="shared" ref="K26:L27" si="22">K157+K369+K501</f>
        <v>0</v>
      </c>
      <c r="L26" s="361">
        <f t="shared" si="22"/>
        <v>0</v>
      </c>
      <c r="M26" s="361">
        <f>M155+M365+M495</f>
        <v>192161.25</v>
      </c>
      <c r="N26" s="866">
        <f t="shared" si="14"/>
        <v>192161.25</v>
      </c>
      <c r="O26" s="361">
        <f t="shared" ref="O26:Q27" si="23">O157+O369+O501</f>
        <v>0</v>
      </c>
      <c r="P26" s="361">
        <f t="shared" si="15"/>
        <v>0</v>
      </c>
      <c r="Q26" s="361">
        <f t="shared" si="23"/>
        <v>0</v>
      </c>
      <c r="R26" s="361">
        <f>R155+R365+R495</f>
        <v>192161.19</v>
      </c>
      <c r="S26" s="867">
        <f t="shared" ref="S26:S27" si="24">SUM(O26:R26)</f>
        <v>192161.19</v>
      </c>
      <c r="T26" s="361">
        <f t="shared" ref="T26:V27" si="25">T157+T369+T501</f>
        <v>0</v>
      </c>
      <c r="U26" s="361">
        <f t="shared" si="17"/>
        <v>0</v>
      </c>
      <c r="V26" s="361">
        <f t="shared" si="25"/>
        <v>0</v>
      </c>
      <c r="W26" s="361">
        <f>W155+W365+W495</f>
        <v>192161.19</v>
      </c>
      <c r="X26" s="342">
        <f t="shared" si="18"/>
        <v>192161.19</v>
      </c>
      <c r="Y26" s="867">
        <f t="shared" si="19"/>
        <v>-192161.25</v>
      </c>
      <c r="Z26" s="867">
        <f t="shared" si="20"/>
        <v>5.9999999997671694E-2</v>
      </c>
      <c r="AA26" s="157">
        <f>AA157+AA369+AA501</f>
        <v>0</v>
      </c>
      <c r="AB26" s="868">
        <f t="shared" si="21"/>
        <v>0</v>
      </c>
    </row>
    <row r="27" spans="1:28" s="90" customFormat="1" ht="14.1" customHeight="1" x14ac:dyDescent="0.2">
      <c r="A27" s="301"/>
      <c r="B27" s="349" t="s">
        <v>816</v>
      </c>
      <c r="C27" s="864"/>
      <c r="D27" s="864"/>
      <c r="E27" s="864"/>
      <c r="F27" s="370" t="s">
        <v>817</v>
      </c>
      <c r="G27" s="361">
        <f>G156+G366+G496</f>
        <v>0</v>
      </c>
      <c r="H27" s="361">
        <f>H158+H370+H502</f>
        <v>0</v>
      </c>
      <c r="I27" s="865">
        <f t="shared" si="11"/>
        <v>0</v>
      </c>
      <c r="J27" s="865">
        <f t="shared" si="12"/>
        <v>0</v>
      </c>
      <c r="K27" s="361">
        <f t="shared" si="22"/>
        <v>0</v>
      </c>
      <c r="L27" s="361">
        <f t="shared" si="22"/>
        <v>0</v>
      </c>
      <c r="M27" s="361">
        <f>M156+M366+M496</f>
        <v>26203.81</v>
      </c>
      <c r="N27" s="866">
        <f t="shared" si="14"/>
        <v>26203.81</v>
      </c>
      <c r="O27" s="361">
        <f t="shared" si="23"/>
        <v>0</v>
      </c>
      <c r="P27" s="361">
        <f t="shared" si="23"/>
        <v>0</v>
      </c>
      <c r="Q27" s="361">
        <f t="shared" si="23"/>
        <v>0</v>
      </c>
      <c r="R27" s="361">
        <f>R156+R366+R496</f>
        <v>26203.71</v>
      </c>
      <c r="S27" s="867">
        <f t="shared" si="24"/>
        <v>26203.71</v>
      </c>
      <c r="T27" s="361">
        <f t="shared" si="25"/>
        <v>0</v>
      </c>
      <c r="U27" s="361">
        <f t="shared" si="25"/>
        <v>0</v>
      </c>
      <c r="V27" s="361">
        <f t="shared" si="25"/>
        <v>0</v>
      </c>
      <c r="W27" s="361">
        <f>W156+W366+W496</f>
        <v>26203.71</v>
      </c>
      <c r="X27" s="867">
        <f t="shared" ref="X27" si="26">SUM(T27:W27)</f>
        <v>26203.71</v>
      </c>
      <c r="Y27" s="867">
        <f t="shared" si="19"/>
        <v>-26203.81</v>
      </c>
      <c r="Z27" s="867">
        <f t="shared" si="20"/>
        <v>0.10000000000218279</v>
      </c>
      <c r="AA27" s="157">
        <f>AA158+AA370+AA502</f>
        <v>0</v>
      </c>
      <c r="AB27" s="868">
        <f t="shared" si="21"/>
        <v>0</v>
      </c>
    </row>
    <row r="28" spans="1:28" s="90" customFormat="1" ht="14.1" customHeight="1" x14ac:dyDescent="0.2">
      <c r="A28" s="301"/>
      <c r="B28" s="349" t="s">
        <v>296</v>
      </c>
      <c r="C28" s="101"/>
      <c r="D28" s="101"/>
      <c r="E28" s="101"/>
      <c r="F28" s="370" t="s">
        <v>297</v>
      </c>
      <c r="G28" s="361">
        <f>G157+G367+G497</f>
        <v>0</v>
      </c>
      <c r="H28" s="361">
        <f>H157+H367+H497</f>
        <v>0</v>
      </c>
      <c r="I28" s="330">
        <f t="shared" si="11"/>
        <v>0</v>
      </c>
      <c r="J28" s="330">
        <f t="shared" si="12"/>
        <v>0</v>
      </c>
      <c r="K28" s="361">
        <f t="shared" ref="K28:M31" si="27">K157+K367+K497</f>
        <v>0</v>
      </c>
      <c r="L28" s="361">
        <f t="shared" si="27"/>
        <v>0</v>
      </c>
      <c r="M28" s="361">
        <f>M157+M367+M497</f>
        <v>0</v>
      </c>
      <c r="N28" s="276">
        <f t="shared" si="14"/>
        <v>0</v>
      </c>
      <c r="O28" s="361">
        <f t="shared" ref="O28:R31" si="28">O157+O367+O497</f>
        <v>0</v>
      </c>
      <c r="P28" s="361">
        <f t="shared" si="28"/>
        <v>0</v>
      </c>
      <c r="Q28" s="361">
        <f t="shared" si="28"/>
        <v>0</v>
      </c>
      <c r="R28" s="361">
        <f t="shared" si="28"/>
        <v>0</v>
      </c>
      <c r="S28" s="342">
        <f t="shared" si="16"/>
        <v>0</v>
      </c>
      <c r="T28" s="361">
        <f t="shared" ref="T28:W31" si="29">T157+T367+T497</f>
        <v>0</v>
      </c>
      <c r="U28" s="361">
        <f t="shared" si="29"/>
        <v>0</v>
      </c>
      <c r="V28" s="361">
        <f t="shared" si="29"/>
        <v>0</v>
      </c>
      <c r="W28" s="361">
        <f t="shared" si="29"/>
        <v>0</v>
      </c>
      <c r="X28" s="342">
        <f t="shared" si="18"/>
        <v>0</v>
      </c>
      <c r="Y28" s="342">
        <f t="shared" si="19"/>
        <v>0</v>
      </c>
      <c r="Z28" s="342">
        <f t="shared" si="20"/>
        <v>0</v>
      </c>
      <c r="AA28" s="157">
        <f t="shared" ref="AA28:AA33" si="30">AA157+AA367+AA497</f>
        <v>0</v>
      </c>
      <c r="AB28" s="318">
        <f t="shared" si="21"/>
        <v>0</v>
      </c>
    </row>
    <row r="29" spans="1:28" s="90" customFormat="1" ht="14.1" customHeight="1" x14ac:dyDescent="0.2">
      <c r="A29" s="301"/>
      <c r="B29" s="349" t="s">
        <v>298</v>
      </c>
      <c r="C29" s="101"/>
      <c r="D29" s="101"/>
      <c r="E29" s="101"/>
      <c r="F29" s="370" t="s">
        <v>299</v>
      </c>
      <c r="G29" s="361">
        <f>G158+G368+G498</f>
        <v>0</v>
      </c>
      <c r="H29" s="361">
        <f>H158+H368+H498</f>
        <v>0</v>
      </c>
      <c r="I29" s="330">
        <f t="shared" si="11"/>
        <v>0</v>
      </c>
      <c r="J29" s="330">
        <f t="shared" si="12"/>
        <v>0</v>
      </c>
      <c r="K29" s="361">
        <f t="shared" si="27"/>
        <v>0</v>
      </c>
      <c r="L29" s="361">
        <f t="shared" si="27"/>
        <v>0</v>
      </c>
      <c r="M29" s="361">
        <f t="shared" si="27"/>
        <v>0</v>
      </c>
      <c r="N29" s="276">
        <f t="shared" si="14"/>
        <v>0</v>
      </c>
      <c r="O29" s="361">
        <f t="shared" si="28"/>
        <v>0</v>
      </c>
      <c r="P29" s="361">
        <f t="shared" si="28"/>
        <v>5000</v>
      </c>
      <c r="Q29" s="361">
        <f t="shared" si="28"/>
        <v>0</v>
      </c>
      <c r="R29" s="361">
        <f t="shared" si="28"/>
        <v>-5000</v>
      </c>
      <c r="S29" s="342">
        <f t="shared" si="16"/>
        <v>0</v>
      </c>
      <c r="T29" s="361">
        <f t="shared" si="29"/>
        <v>0</v>
      </c>
      <c r="U29" s="361">
        <f t="shared" si="29"/>
        <v>5000</v>
      </c>
      <c r="V29" s="361">
        <f t="shared" si="29"/>
        <v>0</v>
      </c>
      <c r="W29" s="361">
        <f t="shared" si="29"/>
        <v>-5000</v>
      </c>
      <c r="X29" s="342">
        <f t="shared" si="18"/>
        <v>0</v>
      </c>
      <c r="Y29" s="342">
        <f t="shared" si="19"/>
        <v>0</v>
      </c>
      <c r="Z29" s="342">
        <f t="shared" si="20"/>
        <v>0</v>
      </c>
      <c r="AA29" s="157">
        <f t="shared" si="30"/>
        <v>0</v>
      </c>
      <c r="AB29" s="318">
        <f t="shared" si="21"/>
        <v>0</v>
      </c>
    </row>
    <row r="30" spans="1:28" s="90" customFormat="1" ht="14.1" customHeight="1" x14ac:dyDescent="0.2">
      <c r="A30" s="301"/>
      <c r="B30" s="349" t="s">
        <v>300</v>
      </c>
      <c r="C30" s="101"/>
      <c r="D30" s="101"/>
      <c r="E30" s="101"/>
      <c r="F30" s="370" t="s">
        <v>301</v>
      </c>
      <c r="G30" s="361">
        <f>G159+G369+G499</f>
        <v>1152000</v>
      </c>
      <c r="H30" s="361">
        <f>H159+H369+H499</f>
        <v>0</v>
      </c>
      <c r="I30" s="330">
        <f t="shared" si="11"/>
        <v>1152000</v>
      </c>
      <c r="J30" s="330">
        <f t="shared" si="12"/>
        <v>1152000</v>
      </c>
      <c r="K30" s="361">
        <f t="shared" si="27"/>
        <v>0</v>
      </c>
      <c r="L30" s="361">
        <f t="shared" si="27"/>
        <v>0</v>
      </c>
      <c r="M30" s="361">
        <f t="shared" si="27"/>
        <v>0</v>
      </c>
      <c r="N30" s="276">
        <f t="shared" si="14"/>
        <v>1152000</v>
      </c>
      <c r="O30" s="361">
        <f t="shared" si="28"/>
        <v>0</v>
      </c>
      <c r="P30" s="361">
        <f t="shared" si="28"/>
        <v>1123714</v>
      </c>
      <c r="Q30" s="361">
        <f t="shared" si="28"/>
        <v>0</v>
      </c>
      <c r="R30" s="361">
        <f t="shared" si="28"/>
        <v>28286</v>
      </c>
      <c r="S30" s="342">
        <f t="shared" si="16"/>
        <v>1152000</v>
      </c>
      <c r="T30" s="361">
        <f t="shared" si="29"/>
        <v>0</v>
      </c>
      <c r="U30" s="361">
        <f t="shared" si="29"/>
        <v>1123714</v>
      </c>
      <c r="V30" s="361">
        <f t="shared" si="29"/>
        <v>0</v>
      </c>
      <c r="W30" s="361">
        <f t="shared" si="29"/>
        <v>28286</v>
      </c>
      <c r="X30" s="342">
        <f t="shared" si="18"/>
        <v>1152000</v>
      </c>
      <c r="Y30" s="342">
        <f t="shared" si="19"/>
        <v>0</v>
      </c>
      <c r="Z30" s="342">
        <f t="shared" si="20"/>
        <v>0</v>
      </c>
      <c r="AA30" s="157">
        <f t="shared" si="30"/>
        <v>0</v>
      </c>
      <c r="AB30" s="318">
        <f t="shared" si="21"/>
        <v>0</v>
      </c>
    </row>
    <row r="31" spans="1:28" s="90" customFormat="1" ht="14.1" customHeight="1" x14ac:dyDescent="0.2">
      <c r="A31" s="301"/>
      <c r="B31" s="349" t="s">
        <v>302</v>
      </c>
      <c r="C31" s="101"/>
      <c r="D31" s="101"/>
      <c r="E31" s="101"/>
      <c r="F31" s="370" t="s">
        <v>303</v>
      </c>
      <c r="G31" s="361">
        <f>G160+G370+G500</f>
        <v>210000</v>
      </c>
      <c r="H31" s="361">
        <f>H160+H370+H500</f>
        <v>0</v>
      </c>
      <c r="I31" s="330">
        <f t="shared" si="11"/>
        <v>210000</v>
      </c>
      <c r="J31" s="330">
        <f t="shared" si="12"/>
        <v>210000</v>
      </c>
      <c r="K31" s="361">
        <f t="shared" si="27"/>
        <v>0</v>
      </c>
      <c r="L31" s="361">
        <f t="shared" si="27"/>
        <v>0</v>
      </c>
      <c r="M31" s="361">
        <f t="shared" si="27"/>
        <v>0</v>
      </c>
      <c r="N31" s="276">
        <f t="shared" si="14"/>
        <v>210000</v>
      </c>
      <c r="O31" s="361">
        <f t="shared" si="28"/>
        <v>0</v>
      </c>
      <c r="P31" s="361">
        <f t="shared" si="28"/>
        <v>0</v>
      </c>
      <c r="Q31" s="361">
        <f t="shared" si="28"/>
        <v>0</v>
      </c>
      <c r="R31" s="361">
        <f t="shared" si="28"/>
        <v>210000</v>
      </c>
      <c r="S31" s="342">
        <f t="shared" ref="S31:S33" si="31">SUM(O31:R31)</f>
        <v>210000</v>
      </c>
      <c r="T31" s="361">
        <f t="shared" si="29"/>
        <v>0</v>
      </c>
      <c r="U31" s="361">
        <f t="shared" si="29"/>
        <v>0</v>
      </c>
      <c r="V31" s="361">
        <f t="shared" si="29"/>
        <v>0</v>
      </c>
      <c r="W31" s="361">
        <f t="shared" si="29"/>
        <v>210000</v>
      </c>
      <c r="X31" s="342">
        <f t="shared" si="18"/>
        <v>210000</v>
      </c>
      <c r="Y31" s="342">
        <f t="shared" si="19"/>
        <v>0</v>
      </c>
      <c r="Z31" s="342">
        <f t="shared" si="20"/>
        <v>0</v>
      </c>
      <c r="AA31" s="157">
        <f t="shared" si="30"/>
        <v>0</v>
      </c>
      <c r="AB31" s="318">
        <f t="shared" si="21"/>
        <v>0</v>
      </c>
    </row>
    <row r="32" spans="1:28" s="90" customFormat="1" ht="14.1" customHeight="1" x14ac:dyDescent="0.2">
      <c r="A32" s="301"/>
      <c r="B32" s="349" t="s">
        <v>304</v>
      </c>
      <c r="C32" s="744"/>
      <c r="D32" s="744"/>
      <c r="E32" s="744"/>
      <c r="F32" s="370" t="s">
        <v>305</v>
      </c>
      <c r="G32" s="361">
        <f>G161+G371+G501+G280</f>
        <v>0</v>
      </c>
      <c r="H32" s="361">
        <f t="shared" ref="H32:W32" si="32">H161+H371+H501+H280</f>
        <v>0</v>
      </c>
      <c r="I32" s="330">
        <f t="shared" ref="I32:I33" si="33">G32+H32</f>
        <v>0</v>
      </c>
      <c r="J32" s="330">
        <f t="shared" ref="J32:J33" si="34">I32</f>
        <v>0</v>
      </c>
      <c r="K32" s="361">
        <f t="shared" si="32"/>
        <v>975000</v>
      </c>
      <c r="L32" s="361">
        <f t="shared" si="32"/>
        <v>0</v>
      </c>
      <c r="M32" s="361">
        <f t="shared" si="32"/>
        <v>0</v>
      </c>
      <c r="N32" s="276">
        <f t="shared" si="14"/>
        <v>975000</v>
      </c>
      <c r="O32" s="361">
        <f t="shared" si="32"/>
        <v>0</v>
      </c>
      <c r="P32" s="361">
        <f t="shared" si="32"/>
        <v>0</v>
      </c>
      <c r="Q32" s="361">
        <f t="shared" si="32"/>
        <v>0</v>
      </c>
      <c r="R32" s="361">
        <f t="shared" si="32"/>
        <v>975000</v>
      </c>
      <c r="S32" s="342">
        <f t="shared" si="31"/>
        <v>975000</v>
      </c>
      <c r="T32" s="361">
        <f t="shared" si="32"/>
        <v>0</v>
      </c>
      <c r="U32" s="361">
        <f t="shared" si="32"/>
        <v>0</v>
      </c>
      <c r="V32" s="361">
        <f t="shared" si="32"/>
        <v>0</v>
      </c>
      <c r="W32" s="361">
        <f t="shared" si="32"/>
        <v>975000</v>
      </c>
      <c r="X32" s="342">
        <f t="shared" ref="X32" si="35">SUM(T32:W32)</f>
        <v>975000</v>
      </c>
      <c r="Y32" s="342">
        <f t="shared" si="19"/>
        <v>-975000</v>
      </c>
      <c r="Z32" s="342">
        <f t="shared" si="20"/>
        <v>0</v>
      </c>
      <c r="AA32" s="157">
        <f t="shared" si="30"/>
        <v>0</v>
      </c>
      <c r="AB32" s="318">
        <f t="shared" si="21"/>
        <v>0</v>
      </c>
    </row>
    <row r="33" spans="1:28" s="90" customFormat="1" ht="14.1" customHeight="1" x14ac:dyDescent="0.2">
      <c r="A33" s="301"/>
      <c r="B33" s="349" t="s">
        <v>736</v>
      </c>
      <c r="C33" s="101"/>
      <c r="D33" s="101"/>
      <c r="E33" s="101"/>
      <c r="F33" s="370" t="s">
        <v>486</v>
      </c>
      <c r="G33" s="361">
        <f>G162+G372+G502</f>
        <v>210000</v>
      </c>
      <c r="H33" s="361">
        <f>H162+H372+H502</f>
        <v>0</v>
      </c>
      <c r="I33" s="330">
        <f t="shared" si="33"/>
        <v>210000</v>
      </c>
      <c r="J33" s="330">
        <f t="shared" si="34"/>
        <v>210000</v>
      </c>
      <c r="K33" s="361">
        <f>K162+K372+K502</f>
        <v>0</v>
      </c>
      <c r="L33" s="361">
        <f>L162+L372+L502</f>
        <v>0</v>
      </c>
      <c r="M33" s="361">
        <f>M162+M372+M502</f>
        <v>0</v>
      </c>
      <c r="N33" s="276">
        <f t="shared" si="14"/>
        <v>210000</v>
      </c>
      <c r="O33" s="361">
        <f>O162+O372+O502</f>
        <v>0</v>
      </c>
      <c r="P33" s="361">
        <f>P162+P372+P502</f>
        <v>0</v>
      </c>
      <c r="Q33" s="361">
        <f>Q162+Q372+Q502</f>
        <v>0</v>
      </c>
      <c r="R33" s="361">
        <f>R162+R372+R502</f>
        <v>210000</v>
      </c>
      <c r="S33" s="342">
        <f t="shared" si="31"/>
        <v>210000</v>
      </c>
      <c r="T33" s="361">
        <f>T162+T372+T502</f>
        <v>0</v>
      </c>
      <c r="U33" s="361">
        <f>U162+U372+U502</f>
        <v>0</v>
      </c>
      <c r="V33" s="361">
        <f>V162+V372+V502</f>
        <v>0</v>
      </c>
      <c r="W33" s="361">
        <f>W162+W372+W502</f>
        <v>210000</v>
      </c>
      <c r="X33" s="342">
        <f t="shared" ref="X33" si="36">SUM(T33:W33)</f>
        <v>210000</v>
      </c>
      <c r="Y33" s="342">
        <f t="shared" ref="Y33" si="37">I33-N33</f>
        <v>0</v>
      </c>
      <c r="Z33" s="342">
        <f t="shared" ref="Z33" si="38">N33-S33</f>
        <v>0</v>
      </c>
      <c r="AA33" s="157">
        <f t="shared" si="30"/>
        <v>0</v>
      </c>
      <c r="AB33" s="318">
        <f t="shared" ref="AB33" si="39">+S33-X33-AA33</f>
        <v>0</v>
      </c>
    </row>
    <row r="34" spans="1:28" s="90" customFormat="1" ht="14.1" customHeight="1" x14ac:dyDescent="0.2">
      <c r="A34" s="301"/>
      <c r="B34" s="348" t="s">
        <v>306</v>
      </c>
      <c r="C34" s="101"/>
      <c r="D34" s="101"/>
      <c r="E34" s="101"/>
      <c r="F34" s="370"/>
      <c r="G34" s="321"/>
      <c r="H34" s="321"/>
      <c r="I34" s="321"/>
      <c r="J34" s="321"/>
      <c r="K34" s="321"/>
      <c r="L34" s="321"/>
      <c r="M34" s="321"/>
      <c r="N34" s="332"/>
      <c r="O34" s="321"/>
      <c r="P34" s="321"/>
      <c r="Q34" s="321"/>
      <c r="R34" s="321"/>
      <c r="S34" s="332"/>
      <c r="T34" s="321"/>
      <c r="U34" s="321"/>
      <c r="V34" s="321"/>
      <c r="W34" s="321"/>
      <c r="X34" s="332"/>
      <c r="Y34" s="332"/>
      <c r="Z34" s="332"/>
      <c r="AA34" s="332"/>
      <c r="AB34" s="302"/>
    </row>
    <row r="35" spans="1:28" s="90" customFormat="1" ht="14.1" customHeight="1" x14ac:dyDescent="0.2">
      <c r="A35" s="301"/>
      <c r="B35" s="349" t="s">
        <v>307</v>
      </c>
      <c r="C35" s="101"/>
      <c r="D35" s="101"/>
      <c r="E35" s="101"/>
      <c r="F35" s="370" t="s">
        <v>308</v>
      </c>
      <c r="G35" s="361">
        <f t="shared" ref="G35:H37" si="40">G164+G374+G504</f>
        <v>50000</v>
      </c>
      <c r="H35" s="361">
        <f t="shared" si="40"/>
        <v>0</v>
      </c>
      <c r="I35" s="330">
        <f t="shared" ref="I35:I37" si="41">G35+H35</f>
        <v>50000</v>
      </c>
      <c r="J35" s="330">
        <f t="shared" ref="J35:J37" si="42">I35</f>
        <v>50000</v>
      </c>
      <c r="K35" s="361">
        <f t="shared" ref="K35:M37" si="43">K164+K374+K504</f>
        <v>0</v>
      </c>
      <c r="L35" s="361">
        <f t="shared" si="43"/>
        <v>0</v>
      </c>
      <c r="M35" s="361">
        <f t="shared" si="43"/>
        <v>0</v>
      </c>
      <c r="N35" s="276">
        <f t="shared" ref="N35:N37" si="44">J35+K35-L35+M35</f>
        <v>50000</v>
      </c>
      <c r="O35" s="361">
        <f t="shared" ref="O35:R37" si="45">O164+O374+O504</f>
        <v>14700</v>
      </c>
      <c r="P35" s="361">
        <f t="shared" si="45"/>
        <v>11100</v>
      </c>
      <c r="Q35" s="361">
        <f t="shared" si="45"/>
        <v>11100</v>
      </c>
      <c r="R35" s="361">
        <f t="shared" si="45"/>
        <v>13100</v>
      </c>
      <c r="S35" s="342">
        <f t="shared" ref="S35:S37" si="46">SUM(O35:R35)</f>
        <v>50000</v>
      </c>
      <c r="T35" s="361">
        <f t="shared" ref="T35:W37" si="47">T164+T374+T504</f>
        <v>11000</v>
      </c>
      <c r="U35" s="361">
        <f t="shared" si="47"/>
        <v>11100</v>
      </c>
      <c r="V35" s="361">
        <f t="shared" si="47"/>
        <v>11100</v>
      </c>
      <c r="W35" s="361">
        <f t="shared" si="47"/>
        <v>16800</v>
      </c>
      <c r="X35" s="342">
        <f t="shared" ref="X35:X37" si="48">SUM(T35:W35)</f>
        <v>50000</v>
      </c>
      <c r="Y35" s="342">
        <f t="shared" ref="Y35:Y37" si="49">I35-N35</f>
        <v>0</v>
      </c>
      <c r="Z35" s="342">
        <f t="shared" ref="Z35:Z37" si="50">N35-S35</f>
        <v>0</v>
      </c>
      <c r="AA35" s="157">
        <f>AA164+AA374+AA504</f>
        <v>0</v>
      </c>
      <c r="AB35" s="318">
        <f t="shared" ref="AB35:AB37" si="51">+S35-X35-AA35</f>
        <v>0</v>
      </c>
    </row>
    <row r="36" spans="1:28" s="90" customFormat="1" ht="14.1" customHeight="1" x14ac:dyDescent="0.2">
      <c r="A36" s="301"/>
      <c r="B36" s="349" t="s">
        <v>309</v>
      </c>
      <c r="C36" s="101"/>
      <c r="D36" s="101"/>
      <c r="E36" s="101"/>
      <c r="F36" s="370" t="s">
        <v>310</v>
      </c>
      <c r="G36" s="361">
        <f t="shared" si="40"/>
        <v>134000</v>
      </c>
      <c r="H36" s="361">
        <f t="shared" si="40"/>
        <v>0</v>
      </c>
      <c r="I36" s="330">
        <f t="shared" si="41"/>
        <v>134000</v>
      </c>
      <c r="J36" s="330">
        <f t="shared" si="42"/>
        <v>134000</v>
      </c>
      <c r="K36" s="361">
        <f t="shared" si="43"/>
        <v>0</v>
      </c>
      <c r="L36" s="361">
        <f t="shared" si="43"/>
        <v>0</v>
      </c>
      <c r="M36" s="361">
        <f t="shared" si="43"/>
        <v>0</v>
      </c>
      <c r="N36" s="276">
        <f t="shared" si="44"/>
        <v>134000</v>
      </c>
      <c r="O36" s="361">
        <f t="shared" si="45"/>
        <v>47450</v>
      </c>
      <c r="P36" s="361">
        <f t="shared" si="45"/>
        <v>36375</v>
      </c>
      <c r="Q36" s="361">
        <f t="shared" si="45"/>
        <v>36375</v>
      </c>
      <c r="R36" s="361">
        <f t="shared" si="45"/>
        <v>13800</v>
      </c>
      <c r="S36" s="342">
        <f t="shared" si="46"/>
        <v>134000</v>
      </c>
      <c r="T36" s="361">
        <f t="shared" si="47"/>
        <v>35325</v>
      </c>
      <c r="U36" s="361">
        <f t="shared" si="47"/>
        <v>36375</v>
      </c>
      <c r="V36" s="361">
        <f t="shared" si="47"/>
        <v>36375</v>
      </c>
      <c r="W36" s="361">
        <f t="shared" si="47"/>
        <v>25925</v>
      </c>
      <c r="X36" s="342">
        <f t="shared" si="48"/>
        <v>134000</v>
      </c>
      <c r="Y36" s="342">
        <f t="shared" si="49"/>
        <v>0</v>
      </c>
      <c r="Z36" s="342">
        <f t="shared" si="50"/>
        <v>0</v>
      </c>
      <c r="AA36" s="157">
        <f>AA165+AA375+AA505</f>
        <v>0</v>
      </c>
      <c r="AB36" s="318">
        <f t="shared" si="51"/>
        <v>0</v>
      </c>
    </row>
    <row r="37" spans="1:28" s="90" customFormat="1" ht="14.1" customHeight="1" x14ac:dyDescent="0.2">
      <c r="A37" s="301"/>
      <c r="B37" s="349" t="s">
        <v>311</v>
      </c>
      <c r="C37" s="101"/>
      <c r="D37" s="101"/>
      <c r="E37" s="101"/>
      <c r="F37" s="370" t="s">
        <v>312</v>
      </c>
      <c r="G37" s="361">
        <f t="shared" si="40"/>
        <v>50000</v>
      </c>
      <c r="H37" s="361">
        <f t="shared" si="40"/>
        <v>0</v>
      </c>
      <c r="I37" s="330">
        <f t="shared" si="41"/>
        <v>50000</v>
      </c>
      <c r="J37" s="330">
        <f t="shared" si="42"/>
        <v>50000</v>
      </c>
      <c r="K37" s="361">
        <f t="shared" si="43"/>
        <v>0</v>
      </c>
      <c r="L37" s="361">
        <f t="shared" si="43"/>
        <v>0</v>
      </c>
      <c r="M37" s="361">
        <f t="shared" si="43"/>
        <v>0</v>
      </c>
      <c r="N37" s="276">
        <f t="shared" si="44"/>
        <v>50000</v>
      </c>
      <c r="O37" s="361">
        <f t="shared" si="45"/>
        <v>14700</v>
      </c>
      <c r="P37" s="361">
        <f t="shared" si="45"/>
        <v>11100</v>
      </c>
      <c r="Q37" s="361">
        <f t="shared" si="45"/>
        <v>11100</v>
      </c>
      <c r="R37" s="361">
        <f t="shared" si="45"/>
        <v>12150</v>
      </c>
      <c r="S37" s="342">
        <f t="shared" si="46"/>
        <v>49050</v>
      </c>
      <c r="T37" s="361">
        <f t="shared" si="47"/>
        <v>11000</v>
      </c>
      <c r="U37" s="361">
        <f t="shared" si="47"/>
        <v>11100</v>
      </c>
      <c r="V37" s="361">
        <f t="shared" si="47"/>
        <v>14800</v>
      </c>
      <c r="W37" s="361">
        <f t="shared" si="47"/>
        <v>12150</v>
      </c>
      <c r="X37" s="342">
        <f t="shared" si="48"/>
        <v>49050</v>
      </c>
      <c r="Y37" s="342">
        <f t="shared" si="49"/>
        <v>0</v>
      </c>
      <c r="Z37" s="342">
        <f t="shared" si="50"/>
        <v>950</v>
      </c>
      <c r="AA37" s="157">
        <f>AA166+AA376+AA506</f>
        <v>0</v>
      </c>
      <c r="AB37" s="318">
        <f t="shared" si="51"/>
        <v>0</v>
      </c>
    </row>
    <row r="38" spans="1:28" s="90" customFormat="1" ht="14.1" customHeight="1" x14ac:dyDescent="0.2">
      <c r="A38" s="301"/>
      <c r="B38" s="348" t="s">
        <v>313</v>
      </c>
      <c r="C38" s="101"/>
      <c r="D38" s="101"/>
      <c r="E38" s="101"/>
      <c r="F38" s="370"/>
      <c r="G38" s="321"/>
      <c r="H38" s="321"/>
      <c r="I38" s="321"/>
      <c r="J38" s="321"/>
      <c r="K38" s="321"/>
      <c r="L38" s="321"/>
      <c r="M38" s="321"/>
      <c r="N38" s="332"/>
      <c r="O38" s="321"/>
      <c r="P38" s="321"/>
      <c r="Q38" s="321"/>
      <c r="R38" s="321"/>
      <c r="S38" s="332"/>
      <c r="T38" s="321"/>
      <c r="U38" s="321"/>
      <c r="V38" s="321"/>
      <c r="W38" s="321"/>
      <c r="X38" s="332"/>
      <c r="Y38" s="332"/>
      <c r="Z38" s="332"/>
      <c r="AA38" s="332"/>
      <c r="AB38" s="302"/>
    </row>
    <row r="39" spans="1:28" s="90" customFormat="1" ht="14.1" customHeight="1" x14ac:dyDescent="0.2">
      <c r="A39" s="301"/>
      <c r="B39" s="349" t="s">
        <v>314</v>
      </c>
      <c r="C39" s="101"/>
      <c r="D39" s="101"/>
      <c r="E39" s="101"/>
      <c r="F39" s="370" t="s">
        <v>315</v>
      </c>
      <c r="G39" s="361">
        <f>G168+G378+G508</f>
        <v>35000</v>
      </c>
      <c r="H39" s="361">
        <f>H168+H378+H508</f>
        <v>0</v>
      </c>
      <c r="I39" s="330">
        <f t="shared" ref="I39" si="52">G39+H39</f>
        <v>35000</v>
      </c>
      <c r="J39" s="330">
        <f t="shared" ref="J39" si="53">I39</f>
        <v>35000</v>
      </c>
      <c r="K39" s="361">
        <f t="shared" ref="K39:M40" si="54">K168+K378+K508</f>
        <v>0</v>
      </c>
      <c r="L39" s="361">
        <f t="shared" si="54"/>
        <v>0</v>
      </c>
      <c r="M39" s="361">
        <f t="shared" si="54"/>
        <v>0</v>
      </c>
      <c r="N39" s="276">
        <f t="shared" ref="N39:N40" si="55">J39+K39-L39+M39</f>
        <v>35000</v>
      </c>
      <c r="O39" s="361">
        <f t="shared" ref="O39:R40" si="56">O168+O378+O508</f>
        <v>0</v>
      </c>
      <c r="P39" s="361">
        <f t="shared" si="56"/>
        <v>0</v>
      </c>
      <c r="Q39" s="361">
        <f t="shared" si="56"/>
        <v>0</v>
      </c>
      <c r="R39" s="361">
        <f t="shared" si="56"/>
        <v>0</v>
      </c>
      <c r="S39" s="342">
        <f t="shared" ref="S39" si="57">SUM(O39:R39)</f>
        <v>0</v>
      </c>
      <c r="T39" s="361">
        <f t="shared" ref="T39:W40" si="58">T168+T378+T508</f>
        <v>0</v>
      </c>
      <c r="U39" s="361">
        <f t="shared" si="58"/>
        <v>0</v>
      </c>
      <c r="V39" s="361">
        <f t="shared" si="58"/>
        <v>0</v>
      </c>
      <c r="W39" s="361">
        <f t="shared" si="58"/>
        <v>0</v>
      </c>
      <c r="X39" s="342">
        <f t="shared" ref="X39" si="59">SUM(T39:W39)</f>
        <v>0</v>
      </c>
      <c r="Y39" s="342">
        <f t="shared" ref="Y39" si="60">I39-N39</f>
        <v>0</v>
      </c>
      <c r="Z39" s="342">
        <f t="shared" ref="Z39" si="61">N39-S39</f>
        <v>35000</v>
      </c>
      <c r="AA39" s="157">
        <f>AA168+AA378+AA508</f>
        <v>0</v>
      </c>
      <c r="AB39" s="318">
        <f t="shared" ref="AB39" si="62">+S39-X39-AA39</f>
        <v>0</v>
      </c>
    </row>
    <row r="40" spans="1:28" s="90" customFormat="1" ht="14.1" customHeight="1" x14ac:dyDescent="0.2">
      <c r="A40" s="301"/>
      <c r="B40" s="349" t="s">
        <v>716</v>
      </c>
      <c r="C40" s="615"/>
      <c r="D40" s="615"/>
      <c r="E40" s="615"/>
      <c r="F40" s="370" t="s">
        <v>488</v>
      </c>
      <c r="G40" s="361">
        <f>G169+G379+G509</f>
        <v>86000</v>
      </c>
      <c r="H40" s="361">
        <f>H169+H379+H509</f>
        <v>0</v>
      </c>
      <c r="I40" s="361">
        <f>I169+I379+I509</f>
        <v>86000</v>
      </c>
      <c r="J40" s="361">
        <f>J169+J379+J509</f>
        <v>86000</v>
      </c>
      <c r="K40" s="361">
        <f t="shared" si="54"/>
        <v>0</v>
      </c>
      <c r="L40" s="361">
        <f t="shared" si="54"/>
        <v>0</v>
      </c>
      <c r="M40" s="361">
        <f t="shared" si="54"/>
        <v>0</v>
      </c>
      <c r="N40" s="276">
        <f t="shared" si="55"/>
        <v>86000</v>
      </c>
      <c r="O40" s="361">
        <f t="shared" si="56"/>
        <v>0</v>
      </c>
      <c r="P40" s="361">
        <f t="shared" si="56"/>
        <v>0</v>
      </c>
      <c r="Q40" s="361">
        <f t="shared" si="56"/>
        <v>0</v>
      </c>
      <c r="R40" s="361">
        <f t="shared" si="56"/>
        <v>0</v>
      </c>
      <c r="S40" s="361">
        <f>S169+S379+S509</f>
        <v>0</v>
      </c>
      <c r="T40" s="361">
        <f t="shared" si="58"/>
        <v>0</v>
      </c>
      <c r="U40" s="361">
        <f t="shared" si="58"/>
        <v>0</v>
      </c>
      <c r="V40" s="361">
        <f t="shared" si="58"/>
        <v>0</v>
      </c>
      <c r="W40" s="361">
        <f t="shared" si="58"/>
        <v>0</v>
      </c>
      <c r="X40" s="361">
        <f>X169+X379+X509</f>
        <v>0</v>
      </c>
      <c r="Y40" s="361">
        <f>Y169+Y379+Y509</f>
        <v>0</v>
      </c>
      <c r="Z40" s="361">
        <f>Z169+Z379+Z509</f>
        <v>86000</v>
      </c>
      <c r="AA40" s="157">
        <f>AA169+AA379+AA509</f>
        <v>0</v>
      </c>
      <c r="AB40" s="100">
        <f>AB169+AB379+AB509</f>
        <v>0</v>
      </c>
    </row>
    <row r="41" spans="1:28" s="90" customFormat="1" ht="14.1" customHeight="1" x14ac:dyDescent="0.2">
      <c r="A41" s="301"/>
      <c r="B41" s="349"/>
      <c r="C41" s="615"/>
      <c r="D41" s="615"/>
      <c r="E41" s="615"/>
      <c r="F41" s="370"/>
      <c r="G41" s="321"/>
      <c r="H41" s="321"/>
      <c r="I41" s="321"/>
      <c r="J41" s="321"/>
      <c r="K41" s="321"/>
      <c r="L41" s="321"/>
      <c r="M41" s="321"/>
      <c r="N41" s="321"/>
      <c r="O41" s="321"/>
      <c r="P41" s="321"/>
      <c r="Q41" s="321"/>
      <c r="R41" s="321"/>
      <c r="S41" s="321"/>
      <c r="T41" s="321"/>
      <c r="U41" s="321"/>
      <c r="V41" s="321"/>
      <c r="W41" s="321"/>
      <c r="X41" s="321"/>
      <c r="Y41" s="321"/>
      <c r="Z41" s="321"/>
      <c r="AA41" s="332"/>
      <c r="AB41" s="302"/>
    </row>
    <row r="42" spans="1:28" s="360" customFormat="1" ht="14.1" customHeight="1" x14ac:dyDescent="0.2">
      <c r="A42" s="356"/>
      <c r="B42" s="357" t="s">
        <v>316</v>
      </c>
      <c r="C42" s="358"/>
      <c r="D42" s="358"/>
      <c r="E42" s="358"/>
      <c r="F42" s="369"/>
      <c r="G42" s="359">
        <f>SUM(G44:G115)</f>
        <v>29212000</v>
      </c>
      <c r="H42" s="359">
        <f>SUM(H44:H115)</f>
        <v>0</v>
      </c>
      <c r="I42" s="359">
        <f t="shared" ref="I42:AB42" si="63">SUM(I44:I115)</f>
        <v>29212000</v>
      </c>
      <c r="J42" s="359">
        <f t="shared" si="63"/>
        <v>29212000</v>
      </c>
      <c r="K42" s="359">
        <f t="shared" si="63"/>
        <v>-975000</v>
      </c>
      <c r="L42" s="359">
        <f t="shared" si="63"/>
        <v>0</v>
      </c>
      <c r="M42" s="359">
        <f t="shared" si="63"/>
        <v>369216</v>
      </c>
      <c r="N42" s="359">
        <f t="shared" si="63"/>
        <v>28606216</v>
      </c>
      <c r="O42" s="359">
        <f t="shared" si="63"/>
        <v>2504663.2399999998</v>
      </c>
      <c r="P42" s="359">
        <f t="shared" si="63"/>
        <v>2175769.2000000002</v>
      </c>
      <c r="Q42" s="359">
        <f t="shared" si="63"/>
        <v>4613923.2999999989</v>
      </c>
      <c r="R42" s="359">
        <f t="shared" si="63"/>
        <v>14972902.780000003</v>
      </c>
      <c r="S42" s="359">
        <f t="shared" si="63"/>
        <v>24267258.520000003</v>
      </c>
      <c r="T42" s="359">
        <f t="shared" si="63"/>
        <v>2277759.3199999998</v>
      </c>
      <c r="U42" s="359">
        <f t="shared" si="63"/>
        <v>2401773.12</v>
      </c>
      <c r="V42" s="359">
        <f t="shared" si="63"/>
        <v>4394848.2999999989</v>
      </c>
      <c r="W42" s="359">
        <f t="shared" si="63"/>
        <v>12635312.330000002</v>
      </c>
      <c r="X42" s="359">
        <f t="shared" si="63"/>
        <v>21709693.07</v>
      </c>
      <c r="Y42" s="359">
        <f t="shared" si="63"/>
        <v>605784</v>
      </c>
      <c r="Z42" s="359">
        <f t="shared" si="63"/>
        <v>4338957.4800000004</v>
      </c>
      <c r="AA42" s="741">
        <f t="shared" ref="AA42" si="64">SUM(AA44:AA115)</f>
        <v>205</v>
      </c>
      <c r="AB42" s="736">
        <f t="shared" si="63"/>
        <v>2557360.4500000025</v>
      </c>
    </row>
    <row r="43" spans="1:28" s="90" customFormat="1" ht="14.1" customHeight="1" x14ac:dyDescent="0.2">
      <c r="A43" s="301"/>
      <c r="B43" s="348" t="s">
        <v>317</v>
      </c>
      <c r="C43" s="101"/>
      <c r="D43" s="101"/>
      <c r="E43" s="101"/>
      <c r="F43" s="370"/>
      <c r="G43" s="321"/>
      <c r="H43" s="321"/>
      <c r="I43" s="321"/>
      <c r="J43" s="321"/>
      <c r="K43" s="321"/>
      <c r="L43" s="321"/>
      <c r="M43" s="321"/>
      <c r="N43" s="332"/>
      <c r="O43" s="321"/>
      <c r="P43" s="321"/>
      <c r="Q43" s="321"/>
      <c r="R43" s="321"/>
      <c r="S43" s="332"/>
      <c r="T43" s="321"/>
      <c r="U43" s="321"/>
      <c r="V43" s="321"/>
      <c r="W43" s="321"/>
      <c r="X43" s="332"/>
      <c r="Y43" s="332"/>
      <c r="Z43" s="332"/>
      <c r="AA43" s="332"/>
      <c r="AB43" s="302"/>
    </row>
    <row r="44" spans="1:28" s="90" customFormat="1" ht="14.1" customHeight="1" x14ac:dyDescent="0.2">
      <c r="A44" s="301"/>
      <c r="B44" s="350" t="s">
        <v>318</v>
      </c>
      <c r="C44" s="101"/>
      <c r="D44" s="101"/>
      <c r="E44" s="101"/>
      <c r="F44" s="370" t="s">
        <v>319</v>
      </c>
      <c r="G44" s="361">
        <f>G173+G283+G383+G513</f>
        <v>9861000</v>
      </c>
      <c r="H44" s="361">
        <f>H173+H283+H383+H513</f>
        <v>0</v>
      </c>
      <c r="I44" s="330">
        <f t="shared" ref="I44:I45" si="65">G44+H44</f>
        <v>9861000</v>
      </c>
      <c r="J44" s="330">
        <f t="shared" ref="J44:J45" si="66">I44</f>
        <v>9861000</v>
      </c>
      <c r="K44" s="361">
        <f t="shared" ref="K44:M45" si="67">K173+K283+K383+K513</f>
        <v>-975000</v>
      </c>
      <c r="L44" s="361">
        <f t="shared" si="67"/>
        <v>0</v>
      </c>
      <c r="M44" s="361">
        <f t="shared" si="67"/>
        <v>0</v>
      </c>
      <c r="N44" s="276">
        <f t="shared" ref="N44:N45" si="68">J44+K44-L44+M44</f>
        <v>8886000</v>
      </c>
      <c r="O44" s="361">
        <f t="shared" ref="O44:R45" si="69">O173+O283+O383+O513</f>
        <v>505500.62</v>
      </c>
      <c r="P44" s="361">
        <f t="shared" si="69"/>
        <v>590765.72</v>
      </c>
      <c r="Q44" s="361">
        <f t="shared" si="69"/>
        <v>889930.18</v>
      </c>
      <c r="R44" s="361">
        <f t="shared" si="69"/>
        <v>6899803.4800000014</v>
      </c>
      <c r="S44" s="342">
        <f t="shared" ref="S44:S45" si="70">SUM(O44:R44)</f>
        <v>8886000.0000000019</v>
      </c>
      <c r="T44" s="361">
        <f t="shared" ref="T44:W45" si="71">T173+T283+T383+T513</f>
        <v>505500.62</v>
      </c>
      <c r="U44" s="361">
        <f t="shared" si="71"/>
        <v>590765.72</v>
      </c>
      <c r="V44" s="361">
        <f t="shared" si="71"/>
        <v>889930.17999999993</v>
      </c>
      <c r="W44" s="361">
        <f t="shared" si="71"/>
        <v>5256548.59</v>
      </c>
      <c r="X44" s="342">
        <f t="shared" ref="X44:X45" si="72">SUM(T44:W44)</f>
        <v>7242745.1099999994</v>
      </c>
      <c r="Y44" s="342">
        <f t="shared" ref="Y44:Y45" si="73">I44-N44</f>
        <v>975000</v>
      </c>
      <c r="Z44" s="342">
        <f t="shared" ref="Z44:Z45" si="74">N44-S44</f>
        <v>0</v>
      </c>
      <c r="AA44" s="157">
        <f>AA173+AA283+AA383+AA513</f>
        <v>0</v>
      </c>
      <c r="AB44" s="318">
        <f t="shared" ref="AB44:AB45" si="75">+S44-X44-AA44</f>
        <v>1643254.8900000025</v>
      </c>
    </row>
    <row r="45" spans="1:28" s="90" customFormat="1" ht="14.1" customHeight="1" x14ac:dyDescent="0.2">
      <c r="A45" s="301"/>
      <c r="B45" s="350" t="s">
        <v>320</v>
      </c>
      <c r="C45" s="101"/>
      <c r="D45" s="101"/>
      <c r="E45" s="101"/>
      <c r="F45" s="370" t="s">
        <v>321</v>
      </c>
      <c r="G45" s="361">
        <f>G174+G284+G384+G514</f>
        <v>0</v>
      </c>
      <c r="H45" s="361">
        <f>H174+H284+H384+H514</f>
        <v>0</v>
      </c>
      <c r="I45" s="330">
        <f t="shared" si="65"/>
        <v>0</v>
      </c>
      <c r="J45" s="330">
        <f t="shared" si="66"/>
        <v>0</v>
      </c>
      <c r="K45" s="361">
        <f t="shared" si="67"/>
        <v>0</v>
      </c>
      <c r="L45" s="361">
        <f t="shared" si="67"/>
        <v>0</v>
      </c>
      <c r="M45" s="361">
        <f t="shared" si="67"/>
        <v>0</v>
      </c>
      <c r="N45" s="276">
        <f t="shared" si="68"/>
        <v>0</v>
      </c>
      <c r="O45" s="361">
        <f t="shared" si="69"/>
        <v>0</v>
      </c>
      <c r="P45" s="361">
        <f t="shared" si="69"/>
        <v>0</v>
      </c>
      <c r="Q45" s="361">
        <f t="shared" si="69"/>
        <v>0</v>
      </c>
      <c r="R45" s="361">
        <f t="shared" si="69"/>
        <v>0</v>
      </c>
      <c r="S45" s="342">
        <f t="shared" si="70"/>
        <v>0</v>
      </c>
      <c r="T45" s="361">
        <f t="shared" si="71"/>
        <v>0</v>
      </c>
      <c r="U45" s="361">
        <f t="shared" si="71"/>
        <v>0</v>
      </c>
      <c r="V45" s="361">
        <f t="shared" si="71"/>
        <v>0</v>
      </c>
      <c r="W45" s="361">
        <f t="shared" si="71"/>
        <v>0</v>
      </c>
      <c r="X45" s="342">
        <f t="shared" si="72"/>
        <v>0</v>
      </c>
      <c r="Y45" s="342">
        <f t="shared" si="73"/>
        <v>0</v>
      </c>
      <c r="Z45" s="342">
        <f t="shared" si="74"/>
        <v>0</v>
      </c>
      <c r="AA45" s="157">
        <f>AA174+AA284+AA384+AA514</f>
        <v>0</v>
      </c>
      <c r="AB45" s="318">
        <f t="shared" si="75"/>
        <v>0</v>
      </c>
    </row>
    <row r="46" spans="1:28" s="90" customFormat="1" ht="14.1" customHeight="1" x14ac:dyDescent="0.2">
      <c r="A46" s="301"/>
      <c r="B46" s="351" t="s">
        <v>322</v>
      </c>
      <c r="C46" s="101"/>
      <c r="D46" s="101"/>
      <c r="E46" s="101"/>
      <c r="F46" s="370"/>
      <c r="G46" s="321"/>
      <c r="H46" s="321"/>
      <c r="I46" s="321"/>
      <c r="J46" s="321"/>
      <c r="K46" s="321"/>
      <c r="L46" s="321"/>
      <c r="M46" s="321"/>
      <c r="N46" s="332"/>
      <c r="O46" s="321"/>
      <c r="P46" s="321"/>
      <c r="Q46" s="321"/>
      <c r="R46" s="321"/>
      <c r="S46" s="332"/>
      <c r="T46" s="321"/>
      <c r="U46" s="321"/>
      <c r="V46" s="321"/>
      <c r="W46" s="321"/>
      <c r="X46" s="332"/>
      <c r="Y46" s="332"/>
      <c r="Z46" s="332"/>
      <c r="AA46" s="332"/>
      <c r="AB46" s="302"/>
    </row>
    <row r="47" spans="1:28" s="90" customFormat="1" ht="14.1" customHeight="1" x14ac:dyDescent="0.2">
      <c r="A47" s="301"/>
      <c r="B47" s="350" t="s">
        <v>323</v>
      </c>
      <c r="C47" s="101"/>
      <c r="D47" s="101"/>
      <c r="E47" s="101"/>
      <c r="F47" s="370" t="s">
        <v>324</v>
      </c>
      <c r="G47" s="361">
        <f t="shared" ref="G47:H49" si="76">G176+G286+G386+G516</f>
        <v>361000</v>
      </c>
      <c r="H47" s="361">
        <f t="shared" si="76"/>
        <v>0</v>
      </c>
      <c r="I47" s="330">
        <f t="shared" ref="I47:I49" si="77">G47+H47</f>
        <v>361000</v>
      </c>
      <c r="J47" s="330">
        <f t="shared" ref="J47:J49" si="78">I47</f>
        <v>361000</v>
      </c>
      <c r="K47" s="361">
        <f t="shared" ref="K47:M49" si="79">K176+K286+K386+K516</f>
        <v>0</v>
      </c>
      <c r="L47" s="361">
        <f t="shared" si="79"/>
        <v>0</v>
      </c>
      <c r="M47" s="361">
        <f t="shared" si="79"/>
        <v>0</v>
      </c>
      <c r="N47" s="276">
        <f t="shared" ref="N47:N49" si="80">J47+K47-L47+M47</f>
        <v>361000</v>
      </c>
      <c r="O47" s="361">
        <f t="shared" ref="O47:R49" si="81">O176+O286+O386+O516</f>
        <v>24249.3</v>
      </c>
      <c r="P47" s="361">
        <f t="shared" si="81"/>
        <v>0</v>
      </c>
      <c r="Q47" s="361">
        <f t="shared" si="81"/>
        <v>0</v>
      </c>
      <c r="R47" s="361">
        <f t="shared" si="81"/>
        <v>28001.84</v>
      </c>
      <c r="S47" s="342">
        <f t="shared" ref="S47:S49" si="82">SUM(O47:R47)</f>
        <v>52251.14</v>
      </c>
      <c r="T47" s="361">
        <f t="shared" ref="T47:W49" si="83">T176+T286+T386+T516</f>
        <v>24249.3</v>
      </c>
      <c r="U47" s="361">
        <f t="shared" si="83"/>
        <v>0</v>
      </c>
      <c r="V47" s="361">
        <f t="shared" si="83"/>
        <v>0</v>
      </c>
      <c r="W47" s="361">
        <f t="shared" si="83"/>
        <v>28001.84</v>
      </c>
      <c r="X47" s="342">
        <f t="shared" ref="X47:X49" si="84">SUM(T47:W47)</f>
        <v>52251.14</v>
      </c>
      <c r="Y47" s="342">
        <f t="shared" ref="Y47:Y49" si="85">I47-N47</f>
        <v>0</v>
      </c>
      <c r="Z47" s="342">
        <f t="shared" ref="Z47:Z49" si="86">N47-S47</f>
        <v>308748.86</v>
      </c>
      <c r="AA47" s="157">
        <f>AA176+AA286+AA386+AA516</f>
        <v>0</v>
      </c>
      <c r="AB47" s="318">
        <f t="shared" ref="AB47:AB49" si="87">+S47-X47-AA47</f>
        <v>0</v>
      </c>
    </row>
    <row r="48" spans="1:28" s="90" customFormat="1" ht="14.1" customHeight="1" x14ac:dyDescent="0.2">
      <c r="A48" s="301"/>
      <c r="B48" s="350" t="s">
        <v>720</v>
      </c>
      <c r="C48" s="718"/>
      <c r="D48" s="718"/>
      <c r="E48" s="718"/>
      <c r="F48" s="370" t="s">
        <v>721</v>
      </c>
      <c r="G48" s="361">
        <f t="shared" si="76"/>
        <v>0</v>
      </c>
      <c r="H48" s="361">
        <f t="shared" si="76"/>
        <v>0</v>
      </c>
      <c r="I48" s="330">
        <f t="shared" ref="I48" si="88">G48+H48</f>
        <v>0</v>
      </c>
      <c r="J48" s="330">
        <f t="shared" ref="J48" si="89">I48</f>
        <v>0</v>
      </c>
      <c r="K48" s="361">
        <f t="shared" si="79"/>
        <v>0</v>
      </c>
      <c r="L48" s="361">
        <f t="shared" si="79"/>
        <v>0</v>
      </c>
      <c r="M48" s="361">
        <f t="shared" si="79"/>
        <v>0</v>
      </c>
      <c r="N48" s="276">
        <f t="shared" si="80"/>
        <v>0</v>
      </c>
      <c r="O48" s="361">
        <f t="shared" si="81"/>
        <v>0</v>
      </c>
      <c r="P48" s="361">
        <f t="shared" si="81"/>
        <v>0</v>
      </c>
      <c r="Q48" s="361">
        <f t="shared" si="81"/>
        <v>0</v>
      </c>
      <c r="R48" s="361">
        <f t="shared" si="81"/>
        <v>0</v>
      </c>
      <c r="S48" s="342">
        <f t="shared" ref="S48" si="90">SUM(O48:R48)</f>
        <v>0</v>
      </c>
      <c r="T48" s="361">
        <f t="shared" si="83"/>
        <v>0</v>
      </c>
      <c r="U48" s="361">
        <f t="shared" si="83"/>
        <v>0</v>
      </c>
      <c r="V48" s="361">
        <f t="shared" si="83"/>
        <v>0</v>
      </c>
      <c r="W48" s="361">
        <f t="shared" si="83"/>
        <v>0</v>
      </c>
      <c r="X48" s="342">
        <f t="shared" ref="X48" si="91">SUM(T48:W48)</f>
        <v>0</v>
      </c>
      <c r="Y48" s="342">
        <f t="shared" ref="Y48" si="92">I48-N48</f>
        <v>0</v>
      </c>
      <c r="Z48" s="342">
        <f t="shared" ref="Z48" si="93">N48-S48</f>
        <v>0</v>
      </c>
      <c r="AA48" s="157">
        <f>AA177+AA287+AA387+AA517</f>
        <v>0</v>
      </c>
      <c r="AB48" s="318">
        <f t="shared" ref="AB48" si="94">+S48-X48-AA48</f>
        <v>0</v>
      </c>
    </row>
    <row r="49" spans="1:28" s="90" customFormat="1" ht="14.1" customHeight="1" x14ac:dyDescent="0.2">
      <c r="A49" s="301"/>
      <c r="B49" s="350" t="s">
        <v>325</v>
      </c>
      <c r="C49" s="101"/>
      <c r="D49" s="101"/>
      <c r="E49" s="101"/>
      <c r="F49" s="370" t="s">
        <v>326</v>
      </c>
      <c r="G49" s="361">
        <f t="shared" si="76"/>
        <v>0</v>
      </c>
      <c r="H49" s="361">
        <f t="shared" si="76"/>
        <v>0</v>
      </c>
      <c r="I49" s="330">
        <f t="shared" si="77"/>
        <v>0</v>
      </c>
      <c r="J49" s="330">
        <f t="shared" si="78"/>
        <v>0</v>
      </c>
      <c r="K49" s="361">
        <f t="shared" si="79"/>
        <v>0</v>
      </c>
      <c r="L49" s="361">
        <f t="shared" si="79"/>
        <v>0</v>
      </c>
      <c r="M49" s="361">
        <f t="shared" si="79"/>
        <v>105616</v>
      </c>
      <c r="N49" s="276">
        <f t="shared" si="80"/>
        <v>105616</v>
      </c>
      <c r="O49" s="361">
        <f t="shared" si="81"/>
        <v>0</v>
      </c>
      <c r="P49" s="361">
        <f t="shared" si="81"/>
        <v>23304.68</v>
      </c>
      <c r="Q49" s="361">
        <f t="shared" si="81"/>
        <v>9000</v>
      </c>
      <c r="R49" s="361">
        <f t="shared" si="81"/>
        <v>43627.18</v>
      </c>
      <c r="S49" s="342">
        <f t="shared" si="82"/>
        <v>75931.86</v>
      </c>
      <c r="T49" s="361">
        <f t="shared" si="83"/>
        <v>0</v>
      </c>
      <c r="U49" s="361">
        <f t="shared" si="83"/>
        <v>23304.68</v>
      </c>
      <c r="V49" s="361">
        <f t="shared" si="83"/>
        <v>9000</v>
      </c>
      <c r="W49" s="361">
        <f t="shared" si="83"/>
        <v>43627.18</v>
      </c>
      <c r="X49" s="342">
        <f t="shared" si="84"/>
        <v>75931.86</v>
      </c>
      <c r="Y49" s="342">
        <f t="shared" si="85"/>
        <v>-105616</v>
      </c>
      <c r="Z49" s="342">
        <f t="shared" si="86"/>
        <v>29684.14</v>
      </c>
      <c r="AA49" s="157">
        <f>AA178+AA288+AA388+AA518</f>
        <v>0</v>
      </c>
      <c r="AB49" s="318">
        <f t="shared" si="87"/>
        <v>0</v>
      </c>
    </row>
    <row r="50" spans="1:28" s="90" customFormat="1" ht="14.1" customHeight="1" x14ac:dyDescent="0.2">
      <c r="A50" s="301"/>
      <c r="B50" s="351" t="s">
        <v>327</v>
      </c>
      <c r="C50" s="101"/>
      <c r="D50" s="101"/>
      <c r="E50" s="101"/>
      <c r="F50" s="370"/>
      <c r="G50" s="321"/>
      <c r="H50" s="321"/>
      <c r="I50" s="321"/>
      <c r="J50" s="321"/>
      <c r="K50" s="321"/>
      <c r="L50" s="321"/>
      <c r="M50" s="321"/>
      <c r="N50" s="332"/>
      <c r="O50" s="321"/>
      <c r="P50" s="321"/>
      <c r="Q50" s="321"/>
      <c r="R50" s="321"/>
      <c r="S50" s="332"/>
      <c r="T50" s="321"/>
      <c r="U50" s="321"/>
      <c r="V50" s="321"/>
      <c r="W50" s="321"/>
      <c r="X50" s="332"/>
      <c r="Y50" s="332"/>
      <c r="Z50" s="332"/>
      <c r="AA50" s="332"/>
      <c r="AB50" s="302"/>
    </row>
    <row r="51" spans="1:28" s="90" customFormat="1" ht="14.1" customHeight="1" x14ac:dyDescent="0.2">
      <c r="A51" s="301"/>
      <c r="B51" s="350" t="s">
        <v>328</v>
      </c>
      <c r="C51" s="101"/>
      <c r="D51" s="101"/>
      <c r="E51" s="101"/>
      <c r="F51" s="370" t="s">
        <v>743</v>
      </c>
      <c r="G51" s="361">
        <f t="shared" ref="G51:H56" si="95">G180+G290+G390+G520</f>
        <v>2023000</v>
      </c>
      <c r="H51" s="361">
        <f t="shared" si="95"/>
        <v>0</v>
      </c>
      <c r="I51" s="330">
        <f t="shared" ref="I51:I56" si="96">G51+H51</f>
        <v>2023000</v>
      </c>
      <c r="J51" s="330">
        <f t="shared" ref="J51:J56" si="97">I51</f>
        <v>2023000</v>
      </c>
      <c r="K51" s="361">
        <f t="shared" ref="K51:M56" si="98">K180+K290+K390+K520</f>
        <v>0</v>
      </c>
      <c r="L51" s="361">
        <f t="shared" si="98"/>
        <v>0</v>
      </c>
      <c r="M51" s="361">
        <f t="shared" si="98"/>
        <v>0</v>
      </c>
      <c r="N51" s="276">
        <f t="shared" ref="N51:N56" si="99">J51+K51-L51+M51</f>
        <v>2023000</v>
      </c>
      <c r="O51" s="361">
        <f t="shared" ref="O51:R56" si="100">O180+O290+O390+O520</f>
        <v>72386.25</v>
      </c>
      <c r="P51" s="361">
        <f t="shared" si="100"/>
        <v>24434.75</v>
      </c>
      <c r="Q51" s="361">
        <f t="shared" si="100"/>
        <v>642283.75</v>
      </c>
      <c r="R51" s="361">
        <f t="shared" si="100"/>
        <v>1275895.25</v>
      </c>
      <c r="S51" s="342">
        <f t="shared" ref="S51:S56" si="101">SUM(O51:R51)</f>
        <v>2015000</v>
      </c>
      <c r="T51" s="361">
        <f t="shared" ref="T51:W56" si="102">T180+T290+T390+T520</f>
        <v>58049.25</v>
      </c>
      <c r="U51" s="361">
        <f t="shared" si="102"/>
        <v>38771.75</v>
      </c>
      <c r="V51" s="361">
        <f t="shared" si="102"/>
        <v>642283.75</v>
      </c>
      <c r="W51" s="361">
        <f t="shared" si="102"/>
        <v>960798.13</v>
      </c>
      <c r="X51" s="342">
        <f t="shared" ref="X51:X56" si="103">SUM(T51:W51)</f>
        <v>1699902.88</v>
      </c>
      <c r="Y51" s="342">
        <f t="shared" ref="Y51:Y56" si="104">I51-N51</f>
        <v>0</v>
      </c>
      <c r="Z51" s="342">
        <f t="shared" ref="Z51:Z56" si="105">N51-S51</f>
        <v>8000</v>
      </c>
      <c r="AA51" s="157">
        <f t="shared" ref="AA51:AA56" si="106">AA180+AA290+AA390+AA520</f>
        <v>0</v>
      </c>
      <c r="AB51" s="318">
        <f t="shared" ref="AB51:AB56" si="107">+S51-X51-AA51</f>
        <v>315097.12000000011</v>
      </c>
    </row>
    <row r="52" spans="1:28" s="90" customFormat="1" ht="14.1" customHeight="1" x14ac:dyDescent="0.2">
      <c r="A52" s="301"/>
      <c r="B52" s="350" t="s">
        <v>330</v>
      </c>
      <c r="C52" s="101"/>
      <c r="D52" s="101"/>
      <c r="E52" s="101"/>
      <c r="F52" s="370" t="s">
        <v>331</v>
      </c>
      <c r="G52" s="361">
        <f t="shared" si="95"/>
        <v>154000</v>
      </c>
      <c r="H52" s="361">
        <f t="shared" si="95"/>
        <v>0</v>
      </c>
      <c r="I52" s="330">
        <f t="shared" si="96"/>
        <v>154000</v>
      </c>
      <c r="J52" s="330">
        <f t="shared" si="97"/>
        <v>154000</v>
      </c>
      <c r="K52" s="361">
        <f t="shared" si="98"/>
        <v>0</v>
      </c>
      <c r="L52" s="361">
        <f t="shared" si="98"/>
        <v>0</v>
      </c>
      <c r="M52" s="361">
        <f t="shared" si="98"/>
        <v>0</v>
      </c>
      <c r="N52" s="276">
        <f t="shared" si="99"/>
        <v>154000</v>
      </c>
      <c r="O52" s="361">
        <f t="shared" si="100"/>
        <v>80832</v>
      </c>
      <c r="P52" s="361">
        <f t="shared" si="100"/>
        <v>0</v>
      </c>
      <c r="Q52" s="361">
        <f t="shared" si="100"/>
        <v>27825</v>
      </c>
      <c r="R52" s="361">
        <f t="shared" si="100"/>
        <v>45343</v>
      </c>
      <c r="S52" s="342">
        <f t="shared" si="101"/>
        <v>154000</v>
      </c>
      <c r="T52" s="361">
        <f t="shared" si="102"/>
        <v>33475</v>
      </c>
      <c r="U52" s="361">
        <f t="shared" si="102"/>
        <v>47357</v>
      </c>
      <c r="V52" s="361">
        <f t="shared" si="102"/>
        <v>27825</v>
      </c>
      <c r="W52" s="361">
        <f t="shared" si="102"/>
        <v>45343</v>
      </c>
      <c r="X52" s="342">
        <f t="shared" si="103"/>
        <v>154000</v>
      </c>
      <c r="Y52" s="342">
        <f t="shared" si="104"/>
        <v>0</v>
      </c>
      <c r="Z52" s="342">
        <f t="shared" si="105"/>
        <v>0</v>
      </c>
      <c r="AA52" s="157">
        <f t="shared" si="106"/>
        <v>0</v>
      </c>
      <c r="AB52" s="318">
        <f t="shared" si="107"/>
        <v>0</v>
      </c>
    </row>
    <row r="53" spans="1:28" s="90" customFormat="1" ht="14.1" customHeight="1" x14ac:dyDescent="0.2">
      <c r="A53" s="301"/>
      <c r="B53" s="350" t="s">
        <v>332</v>
      </c>
      <c r="C53" s="101"/>
      <c r="D53" s="101"/>
      <c r="E53" s="101"/>
      <c r="F53" s="370" t="s">
        <v>333</v>
      </c>
      <c r="G53" s="361">
        <f t="shared" si="95"/>
        <v>123000</v>
      </c>
      <c r="H53" s="361">
        <f t="shared" si="95"/>
        <v>0</v>
      </c>
      <c r="I53" s="330">
        <f t="shared" si="96"/>
        <v>123000</v>
      </c>
      <c r="J53" s="330">
        <f t="shared" si="97"/>
        <v>123000</v>
      </c>
      <c r="K53" s="361">
        <f t="shared" si="98"/>
        <v>0</v>
      </c>
      <c r="L53" s="361">
        <f t="shared" si="98"/>
        <v>0</v>
      </c>
      <c r="M53" s="361">
        <f t="shared" si="98"/>
        <v>0</v>
      </c>
      <c r="N53" s="276">
        <f t="shared" si="99"/>
        <v>123000</v>
      </c>
      <c r="O53" s="361">
        <f t="shared" si="100"/>
        <v>0</v>
      </c>
      <c r="P53" s="361">
        <f t="shared" si="100"/>
        <v>0</v>
      </c>
      <c r="Q53" s="361">
        <f t="shared" si="100"/>
        <v>0</v>
      </c>
      <c r="R53" s="361">
        <f t="shared" si="100"/>
        <v>123000</v>
      </c>
      <c r="S53" s="342">
        <f t="shared" si="101"/>
        <v>123000</v>
      </c>
      <c r="T53" s="361">
        <f t="shared" si="102"/>
        <v>0</v>
      </c>
      <c r="U53" s="361">
        <f t="shared" si="102"/>
        <v>0</v>
      </c>
      <c r="V53" s="361">
        <f t="shared" si="102"/>
        <v>0</v>
      </c>
      <c r="W53" s="361">
        <f t="shared" si="102"/>
        <v>123000</v>
      </c>
      <c r="X53" s="342">
        <f t="shared" si="103"/>
        <v>123000</v>
      </c>
      <c r="Y53" s="342">
        <f t="shared" si="104"/>
        <v>0</v>
      </c>
      <c r="Z53" s="342">
        <f t="shared" si="105"/>
        <v>0</v>
      </c>
      <c r="AA53" s="157">
        <f t="shared" si="106"/>
        <v>0</v>
      </c>
      <c r="AB53" s="318">
        <f t="shared" si="107"/>
        <v>0</v>
      </c>
    </row>
    <row r="54" spans="1:28" s="90" customFormat="1" ht="14.1" customHeight="1" x14ac:dyDescent="0.2">
      <c r="A54" s="301"/>
      <c r="B54" s="350" t="s">
        <v>334</v>
      </c>
      <c r="C54" s="101"/>
      <c r="D54" s="101"/>
      <c r="E54" s="101"/>
      <c r="F54" s="370" t="s">
        <v>335</v>
      </c>
      <c r="G54" s="361">
        <f t="shared" si="95"/>
        <v>300000</v>
      </c>
      <c r="H54" s="361">
        <f t="shared" si="95"/>
        <v>0</v>
      </c>
      <c r="I54" s="330">
        <f t="shared" si="96"/>
        <v>300000</v>
      </c>
      <c r="J54" s="330">
        <f t="shared" si="97"/>
        <v>300000</v>
      </c>
      <c r="K54" s="361">
        <f t="shared" si="98"/>
        <v>0</v>
      </c>
      <c r="L54" s="361">
        <f t="shared" si="98"/>
        <v>0</v>
      </c>
      <c r="M54" s="361">
        <f t="shared" si="98"/>
        <v>0</v>
      </c>
      <c r="N54" s="276">
        <f t="shared" si="99"/>
        <v>300000</v>
      </c>
      <c r="O54" s="361">
        <f t="shared" si="100"/>
        <v>6900</v>
      </c>
      <c r="P54" s="361">
        <f t="shared" si="100"/>
        <v>16197</v>
      </c>
      <c r="Q54" s="361">
        <f t="shared" si="100"/>
        <v>29533</v>
      </c>
      <c r="R54" s="361">
        <f t="shared" si="100"/>
        <v>247370</v>
      </c>
      <c r="S54" s="342">
        <f t="shared" si="101"/>
        <v>300000</v>
      </c>
      <c r="T54" s="361">
        <f t="shared" si="102"/>
        <v>6900</v>
      </c>
      <c r="U54" s="361">
        <f t="shared" si="102"/>
        <v>16197</v>
      </c>
      <c r="V54" s="361">
        <f t="shared" si="102"/>
        <v>29533</v>
      </c>
      <c r="W54" s="361">
        <f t="shared" si="102"/>
        <v>50054</v>
      </c>
      <c r="X54" s="342">
        <f t="shared" si="103"/>
        <v>102684</v>
      </c>
      <c r="Y54" s="342">
        <f t="shared" si="104"/>
        <v>0</v>
      </c>
      <c r="Z54" s="342">
        <f t="shared" si="105"/>
        <v>0</v>
      </c>
      <c r="AA54" s="157">
        <f t="shared" si="106"/>
        <v>0</v>
      </c>
      <c r="AB54" s="318">
        <f t="shared" si="107"/>
        <v>197316</v>
      </c>
    </row>
    <row r="55" spans="1:28" s="90" customFormat="1" ht="14.1" customHeight="1" x14ac:dyDescent="0.2">
      <c r="A55" s="301"/>
      <c r="B55" s="350" t="s">
        <v>336</v>
      </c>
      <c r="C55" s="101"/>
      <c r="D55" s="101"/>
      <c r="E55" s="101"/>
      <c r="F55" s="370" t="s">
        <v>337</v>
      </c>
      <c r="G55" s="361">
        <f t="shared" si="95"/>
        <v>1443000</v>
      </c>
      <c r="H55" s="361">
        <f t="shared" si="95"/>
        <v>0</v>
      </c>
      <c r="I55" s="330">
        <f t="shared" si="96"/>
        <v>1443000</v>
      </c>
      <c r="J55" s="330">
        <f t="shared" si="97"/>
        <v>1443000</v>
      </c>
      <c r="K55" s="361">
        <f t="shared" si="98"/>
        <v>0</v>
      </c>
      <c r="L55" s="361">
        <f t="shared" si="98"/>
        <v>0</v>
      </c>
      <c r="M55" s="361">
        <f t="shared" si="98"/>
        <v>0</v>
      </c>
      <c r="N55" s="276">
        <f t="shared" si="99"/>
        <v>1443000</v>
      </c>
      <c r="O55" s="361">
        <f t="shared" si="100"/>
        <v>41000</v>
      </c>
      <c r="P55" s="361">
        <f t="shared" si="100"/>
        <v>29900.69</v>
      </c>
      <c r="Q55" s="361">
        <f t="shared" si="100"/>
        <v>46084.32</v>
      </c>
      <c r="R55" s="361">
        <f t="shared" si="100"/>
        <v>57738</v>
      </c>
      <c r="S55" s="342">
        <f t="shared" si="101"/>
        <v>174723.01</v>
      </c>
      <c r="T55" s="361">
        <f t="shared" si="102"/>
        <v>41000</v>
      </c>
      <c r="U55" s="361">
        <f t="shared" si="102"/>
        <v>29900.69</v>
      </c>
      <c r="V55" s="361">
        <f t="shared" si="102"/>
        <v>46084.32</v>
      </c>
      <c r="W55" s="361">
        <f t="shared" si="102"/>
        <v>57738</v>
      </c>
      <c r="X55" s="342">
        <f t="shared" si="103"/>
        <v>174723.01</v>
      </c>
      <c r="Y55" s="342">
        <f t="shared" si="104"/>
        <v>0</v>
      </c>
      <c r="Z55" s="342">
        <f t="shared" si="105"/>
        <v>1268276.99</v>
      </c>
      <c r="AA55" s="157">
        <f t="shared" si="106"/>
        <v>0</v>
      </c>
      <c r="AB55" s="318">
        <f t="shared" si="107"/>
        <v>0</v>
      </c>
    </row>
    <row r="56" spans="1:28" s="90" customFormat="1" ht="14.1" customHeight="1" x14ac:dyDescent="0.2">
      <c r="A56" s="301"/>
      <c r="B56" s="350" t="s">
        <v>338</v>
      </c>
      <c r="C56" s="101"/>
      <c r="D56" s="101"/>
      <c r="E56" s="101"/>
      <c r="F56" s="370" t="s">
        <v>339</v>
      </c>
      <c r="G56" s="361">
        <f t="shared" si="95"/>
        <v>320000</v>
      </c>
      <c r="H56" s="361">
        <f t="shared" si="95"/>
        <v>0</v>
      </c>
      <c r="I56" s="330">
        <f t="shared" si="96"/>
        <v>320000</v>
      </c>
      <c r="J56" s="330">
        <f t="shared" si="97"/>
        <v>320000</v>
      </c>
      <c r="K56" s="361">
        <f t="shared" si="98"/>
        <v>0</v>
      </c>
      <c r="L56" s="361">
        <f t="shared" si="98"/>
        <v>0</v>
      </c>
      <c r="M56" s="361">
        <f t="shared" si="98"/>
        <v>0</v>
      </c>
      <c r="N56" s="276">
        <f t="shared" si="99"/>
        <v>320000</v>
      </c>
      <c r="O56" s="361">
        <f t="shared" si="100"/>
        <v>1900</v>
      </c>
      <c r="P56" s="361">
        <f t="shared" si="100"/>
        <v>10000</v>
      </c>
      <c r="Q56" s="361">
        <f t="shared" si="100"/>
        <v>211816.5</v>
      </c>
      <c r="R56" s="361">
        <f t="shared" si="100"/>
        <v>96283.5</v>
      </c>
      <c r="S56" s="342">
        <f t="shared" si="101"/>
        <v>320000</v>
      </c>
      <c r="T56" s="361">
        <f t="shared" si="102"/>
        <v>1900</v>
      </c>
      <c r="U56" s="361">
        <f t="shared" si="102"/>
        <v>10000</v>
      </c>
      <c r="V56" s="361">
        <f t="shared" si="102"/>
        <v>211816.5</v>
      </c>
      <c r="W56" s="361">
        <f t="shared" si="102"/>
        <v>0</v>
      </c>
      <c r="X56" s="342">
        <f t="shared" si="103"/>
        <v>223716.5</v>
      </c>
      <c r="Y56" s="342">
        <f t="shared" si="104"/>
        <v>0</v>
      </c>
      <c r="Z56" s="342">
        <f t="shared" si="105"/>
        <v>0</v>
      </c>
      <c r="AA56" s="157">
        <f t="shared" si="106"/>
        <v>0</v>
      </c>
      <c r="AB56" s="318">
        <f t="shared" si="107"/>
        <v>96283.5</v>
      </c>
    </row>
    <row r="57" spans="1:28" s="90" customFormat="1" ht="14.1" customHeight="1" x14ac:dyDescent="0.2">
      <c r="A57" s="301"/>
      <c r="B57" s="351" t="s">
        <v>340</v>
      </c>
      <c r="C57" s="101"/>
      <c r="D57" s="101"/>
      <c r="E57" s="101"/>
      <c r="F57" s="370"/>
      <c r="G57" s="321"/>
      <c r="H57" s="321"/>
      <c r="I57" s="321"/>
      <c r="J57" s="321"/>
      <c r="K57" s="321"/>
      <c r="L57" s="321"/>
      <c r="M57" s="321"/>
      <c r="N57" s="332"/>
      <c r="O57" s="321"/>
      <c r="P57" s="321"/>
      <c r="Q57" s="321"/>
      <c r="R57" s="321"/>
      <c r="S57" s="332"/>
      <c r="T57" s="321"/>
      <c r="U57" s="321"/>
      <c r="V57" s="321"/>
      <c r="W57" s="321"/>
      <c r="X57" s="332"/>
      <c r="Y57" s="332"/>
      <c r="Z57" s="332"/>
      <c r="AA57" s="332"/>
      <c r="AB57" s="302"/>
    </row>
    <row r="58" spans="1:28" s="90" customFormat="1" ht="14.1" customHeight="1" x14ac:dyDescent="0.2">
      <c r="A58" s="301"/>
      <c r="B58" s="350" t="s">
        <v>341</v>
      </c>
      <c r="C58" s="101"/>
      <c r="D58" s="101"/>
      <c r="E58" s="101"/>
      <c r="F58" s="370" t="s">
        <v>342</v>
      </c>
      <c r="G58" s="361">
        <f>G187+G297+G397+G527</f>
        <v>188000</v>
      </c>
      <c r="H58" s="361">
        <f>H187+H297+H397+H527</f>
        <v>0</v>
      </c>
      <c r="I58" s="330">
        <f t="shared" ref="I58:I59" si="108">G58+H58</f>
        <v>188000</v>
      </c>
      <c r="J58" s="330">
        <f t="shared" ref="J58:J59" si="109">I58</f>
        <v>188000</v>
      </c>
      <c r="K58" s="361">
        <f t="shared" ref="K58:M59" si="110">K187+K297+K397+K527</f>
        <v>0</v>
      </c>
      <c r="L58" s="361">
        <f t="shared" si="110"/>
        <v>0</v>
      </c>
      <c r="M58" s="361">
        <f t="shared" si="110"/>
        <v>0</v>
      </c>
      <c r="N58" s="276">
        <f t="shared" ref="N58:N59" si="111">J58+K58-L58+M58</f>
        <v>188000</v>
      </c>
      <c r="O58" s="361">
        <f t="shared" ref="O58:R59" si="112">O187+O297+O397+O527</f>
        <v>31867.24</v>
      </c>
      <c r="P58" s="361">
        <f t="shared" si="112"/>
        <v>17088.900000000001</v>
      </c>
      <c r="Q58" s="361">
        <f t="shared" si="112"/>
        <v>20062.27</v>
      </c>
      <c r="R58" s="361">
        <f t="shared" si="112"/>
        <v>118981.59</v>
      </c>
      <c r="S58" s="342">
        <f t="shared" ref="S58:S59" si="113">SUM(O58:R58)</f>
        <v>188000</v>
      </c>
      <c r="T58" s="361">
        <f t="shared" ref="T58:W59" si="114">T187+T297+T397+T527</f>
        <v>31867.24</v>
      </c>
      <c r="U58" s="361">
        <f t="shared" si="114"/>
        <v>17088.900000000001</v>
      </c>
      <c r="V58" s="361">
        <f t="shared" si="114"/>
        <v>20062.27</v>
      </c>
      <c r="W58" s="361">
        <f t="shared" si="114"/>
        <v>16783.73</v>
      </c>
      <c r="X58" s="342">
        <f t="shared" ref="X58:X59" si="115">SUM(T58:W58)</f>
        <v>85802.14</v>
      </c>
      <c r="Y58" s="342">
        <f t="shared" ref="Y58:Y59" si="116">I58-N58</f>
        <v>0</v>
      </c>
      <c r="Z58" s="342">
        <f t="shared" ref="Z58:Z59" si="117">N58-S58</f>
        <v>0</v>
      </c>
      <c r="AA58" s="157">
        <f>AA187+AA297+AA397+AA527</f>
        <v>0</v>
      </c>
      <c r="AB58" s="318">
        <f t="shared" ref="AB58:AB59" si="118">+S58-X58-AA58</f>
        <v>102197.86</v>
      </c>
    </row>
    <row r="59" spans="1:28" s="90" customFormat="1" ht="14.1" customHeight="1" x14ac:dyDescent="0.2">
      <c r="A59" s="301"/>
      <c r="B59" s="350" t="s">
        <v>343</v>
      </c>
      <c r="C59" s="101"/>
      <c r="D59" s="101"/>
      <c r="E59" s="101"/>
      <c r="F59" s="370" t="s">
        <v>344</v>
      </c>
      <c r="G59" s="361">
        <f>G188+G298+G398+G528</f>
        <v>2402000</v>
      </c>
      <c r="H59" s="361">
        <f>H188+H298+H398+H528</f>
        <v>0</v>
      </c>
      <c r="I59" s="330">
        <f t="shared" si="108"/>
        <v>2402000</v>
      </c>
      <c r="J59" s="330">
        <f t="shared" si="109"/>
        <v>2402000</v>
      </c>
      <c r="K59" s="361">
        <f t="shared" si="110"/>
        <v>0</v>
      </c>
      <c r="L59" s="361">
        <f t="shared" si="110"/>
        <v>0</v>
      </c>
      <c r="M59" s="361">
        <f t="shared" si="110"/>
        <v>0</v>
      </c>
      <c r="N59" s="276">
        <f t="shared" si="111"/>
        <v>2402000</v>
      </c>
      <c r="O59" s="361">
        <f t="shared" si="112"/>
        <v>734718.51</v>
      </c>
      <c r="P59" s="361">
        <f t="shared" si="112"/>
        <v>382920.67</v>
      </c>
      <c r="Q59" s="361">
        <f t="shared" si="112"/>
        <v>573206.14999999991</v>
      </c>
      <c r="R59" s="361">
        <f t="shared" si="112"/>
        <v>711154.66999999993</v>
      </c>
      <c r="S59" s="342">
        <f t="shared" si="113"/>
        <v>2402000</v>
      </c>
      <c r="T59" s="361">
        <f t="shared" si="114"/>
        <v>569508.59</v>
      </c>
      <c r="U59" s="361">
        <f t="shared" si="114"/>
        <v>548130.59</v>
      </c>
      <c r="V59" s="361">
        <f t="shared" si="114"/>
        <v>573206.14999999991</v>
      </c>
      <c r="W59" s="361">
        <f t="shared" si="114"/>
        <v>509603.58999999997</v>
      </c>
      <c r="X59" s="342">
        <f t="shared" si="115"/>
        <v>2200448.92</v>
      </c>
      <c r="Y59" s="342">
        <f t="shared" si="116"/>
        <v>0</v>
      </c>
      <c r="Z59" s="342">
        <f t="shared" si="117"/>
        <v>0</v>
      </c>
      <c r="AA59" s="157">
        <f>AA188+AA298+AA398+AA528</f>
        <v>0</v>
      </c>
      <c r="AB59" s="318">
        <f t="shared" si="118"/>
        <v>201551.08000000007</v>
      </c>
    </row>
    <row r="60" spans="1:28" s="90" customFormat="1" ht="14.1" customHeight="1" x14ac:dyDescent="0.2">
      <c r="A60" s="301"/>
      <c r="B60" s="351" t="s">
        <v>345</v>
      </c>
      <c r="C60" s="101"/>
      <c r="D60" s="101"/>
      <c r="E60" s="101"/>
      <c r="F60" s="370"/>
      <c r="G60" s="321"/>
      <c r="H60" s="321"/>
      <c r="I60" s="321"/>
      <c r="J60" s="321"/>
      <c r="K60" s="321"/>
      <c r="L60" s="321"/>
      <c r="M60" s="321"/>
      <c r="N60" s="332"/>
      <c r="O60" s="321"/>
      <c r="P60" s="321"/>
      <c r="Q60" s="321"/>
      <c r="R60" s="321"/>
      <c r="S60" s="332"/>
      <c r="T60" s="321"/>
      <c r="U60" s="321"/>
      <c r="V60" s="321"/>
      <c r="W60" s="321"/>
      <c r="X60" s="332"/>
      <c r="Y60" s="332"/>
      <c r="Z60" s="332"/>
      <c r="AA60" s="332"/>
      <c r="AB60" s="302"/>
    </row>
    <row r="61" spans="1:28" s="90" customFormat="1" ht="14.1" customHeight="1" x14ac:dyDescent="0.2">
      <c r="A61" s="301"/>
      <c r="B61" s="350" t="s">
        <v>346</v>
      </c>
      <c r="C61" s="101"/>
      <c r="D61" s="101"/>
      <c r="E61" s="101"/>
      <c r="F61" s="370" t="s">
        <v>347</v>
      </c>
      <c r="G61" s="361">
        <f t="shared" ref="G61:H65" si="119">G190+G300+G400+G530</f>
        <v>63000</v>
      </c>
      <c r="H61" s="361">
        <f t="shared" si="119"/>
        <v>0</v>
      </c>
      <c r="I61" s="330">
        <f t="shared" ref="I61:I65" si="120">G61+H61</f>
        <v>63000</v>
      </c>
      <c r="J61" s="330">
        <f t="shared" ref="J61:J65" si="121">I61</f>
        <v>63000</v>
      </c>
      <c r="K61" s="361">
        <f t="shared" ref="K61:M65" si="122">K190+K300+K400+K530</f>
        <v>0</v>
      </c>
      <c r="L61" s="361">
        <f t="shared" si="122"/>
        <v>0</v>
      </c>
      <c r="M61" s="361">
        <f t="shared" si="122"/>
        <v>0</v>
      </c>
      <c r="N61" s="276">
        <f t="shared" ref="N61:N65" si="123">J61+K61-L61+M61</f>
        <v>63000</v>
      </c>
      <c r="O61" s="361">
        <f t="shared" ref="O61:R65" si="124">O190+O300+O400+O530</f>
        <v>10688.2</v>
      </c>
      <c r="P61" s="361">
        <f t="shared" si="124"/>
        <v>7780</v>
      </c>
      <c r="Q61" s="361">
        <f t="shared" si="124"/>
        <v>13606.8</v>
      </c>
      <c r="R61" s="361">
        <f t="shared" si="124"/>
        <v>30925</v>
      </c>
      <c r="S61" s="342">
        <f t="shared" ref="S61:S65" si="125">SUM(O61:R61)</f>
        <v>63000</v>
      </c>
      <c r="T61" s="361">
        <f t="shared" ref="T61:W65" si="126">T190+T300+T400+T530</f>
        <v>10688.2</v>
      </c>
      <c r="U61" s="361">
        <f t="shared" si="126"/>
        <v>7780</v>
      </c>
      <c r="V61" s="361">
        <f t="shared" si="126"/>
        <v>13606.8</v>
      </c>
      <c r="W61" s="361">
        <f t="shared" si="126"/>
        <v>30925</v>
      </c>
      <c r="X61" s="342">
        <f t="shared" ref="X61:X65" si="127">SUM(T61:W61)</f>
        <v>63000</v>
      </c>
      <c r="Y61" s="342">
        <f t="shared" ref="Y61:Y65" si="128">I61-N61</f>
        <v>0</v>
      </c>
      <c r="Z61" s="342">
        <f t="shared" ref="Z61:Z65" si="129">N61-S61</f>
        <v>0</v>
      </c>
      <c r="AA61" s="157">
        <f>AA190+AA300+AA400+AA530</f>
        <v>0</v>
      </c>
      <c r="AB61" s="318">
        <f t="shared" ref="AB61:AB65" si="130">+S61-X61-AA61</f>
        <v>0</v>
      </c>
    </row>
    <row r="62" spans="1:28" s="90" customFormat="1" ht="14.1" customHeight="1" x14ac:dyDescent="0.2">
      <c r="A62" s="301"/>
      <c r="B62" s="350" t="s">
        <v>348</v>
      </c>
      <c r="C62" s="101"/>
      <c r="D62" s="101"/>
      <c r="E62" s="101"/>
      <c r="F62" s="370" t="s">
        <v>349</v>
      </c>
      <c r="G62" s="361">
        <f t="shared" si="119"/>
        <v>480000</v>
      </c>
      <c r="H62" s="361">
        <f t="shared" si="119"/>
        <v>0</v>
      </c>
      <c r="I62" s="330">
        <f t="shared" si="120"/>
        <v>480000</v>
      </c>
      <c r="J62" s="330">
        <f t="shared" si="121"/>
        <v>480000</v>
      </c>
      <c r="K62" s="361">
        <f t="shared" si="122"/>
        <v>0</v>
      </c>
      <c r="L62" s="361">
        <f t="shared" si="122"/>
        <v>0</v>
      </c>
      <c r="M62" s="361">
        <f t="shared" si="122"/>
        <v>0</v>
      </c>
      <c r="N62" s="276">
        <f t="shared" si="123"/>
        <v>480000</v>
      </c>
      <c r="O62" s="361">
        <f t="shared" si="124"/>
        <v>22800</v>
      </c>
      <c r="P62" s="361">
        <f t="shared" si="124"/>
        <v>20100</v>
      </c>
      <c r="Q62" s="361">
        <f t="shared" si="124"/>
        <v>26299</v>
      </c>
      <c r="R62" s="361">
        <f t="shared" si="124"/>
        <v>25198.5</v>
      </c>
      <c r="S62" s="342">
        <f t="shared" si="125"/>
        <v>94397.5</v>
      </c>
      <c r="T62" s="361">
        <f t="shared" si="126"/>
        <v>22800</v>
      </c>
      <c r="U62" s="361">
        <f t="shared" si="126"/>
        <v>20100</v>
      </c>
      <c r="V62" s="361">
        <f t="shared" si="126"/>
        <v>26299</v>
      </c>
      <c r="W62" s="361">
        <f t="shared" si="126"/>
        <v>25198.5</v>
      </c>
      <c r="X62" s="342">
        <f t="shared" si="127"/>
        <v>94397.5</v>
      </c>
      <c r="Y62" s="342">
        <f t="shared" si="128"/>
        <v>0</v>
      </c>
      <c r="Z62" s="342">
        <f t="shared" si="129"/>
        <v>385602.5</v>
      </c>
      <c r="AA62" s="157">
        <f>AA191+AA301+AA401+AA531</f>
        <v>0</v>
      </c>
      <c r="AB62" s="318">
        <f t="shared" si="130"/>
        <v>0</v>
      </c>
    </row>
    <row r="63" spans="1:28" s="90" customFormat="1" ht="14.1" customHeight="1" x14ac:dyDescent="0.2">
      <c r="A63" s="301"/>
      <c r="B63" s="350" t="s">
        <v>350</v>
      </c>
      <c r="C63" s="101"/>
      <c r="D63" s="101"/>
      <c r="E63" s="101"/>
      <c r="F63" s="370" t="s">
        <v>351</v>
      </c>
      <c r="G63" s="361">
        <f t="shared" si="119"/>
        <v>261000</v>
      </c>
      <c r="H63" s="361">
        <f t="shared" si="119"/>
        <v>0</v>
      </c>
      <c r="I63" s="330">
        <f t="shared" si="120"/>
        <v>261000</v>
      </c>
      <c r="J63" s="330">
        <f t="shared" si="121"/>
        <v>261000</v>
      </c>
      <c r="K63" s="361">
        <f t="shared" si="122"/>
        <v>0</v>
      </c>
      <c r="L63" s="361">
        <f t="shared" si="122"/>
        <v>0</v>
      </c>
      <c r="M63" s="361">
        <f t="shared" si="122"/>
        <v>0</v>
      </c>
      <c r="N63" s="276">
        <f t="shared" si="123"/>
        <v>261000</v>
      </c>
      <c r="O63" s="361">
        <f t="shared" si="124"/>
        <v>33770.07</v>
      </c>
      <c r="P63" s="361">
        <f t="shared" si="124"/>
        <v>27597.839999999997</v>
      </c>
      <c r="Q63" s="361">
        <f t="shared" si="124"/>
        <v>45202.27</v>
      </c>
      <c r="R63" s="361">
        <f t="shared" si="124"/>
        <v>60657.649999999994</v>
      </c>
      <c r="S63" s="342">
        <f t="shared" si="125"/>
        <v>167227.82999999999</v>
      </c>
      <c r="T63" s="361">
        <f t="shared" si="126"/>
        <v>33770.07</v>
      </c>
      <c r="U63" s="361">
        <f t="shared" si="126"/>
        <v>27597.839999999997</v>
      </c>
      <c r="V63" s="361">
        <f t="shared" si="126"/>
        <v>45202.27</v>
      </c>
      <c r="W63" s="361">
        <f t="shared" si="126"/>
        <v>60657.649999999994</v>
      </c>
      <c r="X63" s="342">
        <f t="shared" si="127"/>
        <v>167227.82999999999</v>
      </c>
      <c r="Y63" s="342">
        <f t="shared" si="128"/>
        <v>0</v>
      </c>
      <c r="Z63" s="342">
        <f t="shared" si="129"/>
        <v>93772.170000000013</v>
      </c>
      <c r="AA63" s="157">
        <f>AA192+AA302+AA402+AA532</f>
        <v>0</v>
      </c>
      <c r="AB63" s="318">
        <f t="shared" si="130"/>
        <v>0</v>
      </c>
    </row>
    <row r="64" spans="1:28" s="90" customFormat="1" ht="14.1" customHeight="1" x14ac:dyDescent="0.2">
      <c r="A64" s="301"/>
      <c r="B64" s="350" t="s">
        <v>352</v>
      </c>
      <c r="C64" s="101"/>
      <c r="D64" s="101"/>
      <c r="E64" s="101"/>
      <c r="F64" s="370" t="s">
        <v>353</v>
      </c>
      <c r="G64" s="361">
        <f t="shared" si="119"/>
        <v>101000</v>
      </c>
      <c r="H64" s="361">
        <f t="shared" si="119"/>
        <v>0</v>
      </c>
      <c r="I64" s="330">
        <f t="shared" si="120"/>
        <v>101000</v>
      </c>
      <c r="J64" s="330">
        <f t="shared" si="121"/>
        <v>101000</v>
      </c>
      <c r="K64" s="361">
        <f t="shared" si="122"/>
        <v>0</v>
      </c>
      <c r="L64" s="361">
        <f t="shared" si="122"/>
        <v>0</v>
      </c>
      <c r="M64" s="361">
        <f t="shared" si="122"/>
        <v>0</v>
      </c>
      <c r="N64" s="276">
        <f t="shared" si="123"/>
        <v>101000</v>
      </c>
      <c r="O64" s="361">
        <f t="shared" si="124"/>
        <v>29120</v>
      </c>
      <c r="P64" s="361">
        <f t="shared" si="124"/>
        <v>27440</v>
      </c>
      <c r="Q64" s="361">
        <f t="shared" si="124"/>
        <v>30300</v>
      </c>
      <c r="R64" s="361">
        <f t="shared" si="124"/>
        <v>14140</v>
      </c>
      <c r="S64" s="342">
        <f t="shared" si="125"/>
        <v>101000</v>
      </c>
      <c r="T64" s="361">
        <f t="shared" si="126"/>
        <v>29120</v>
      </c>
      <c r="U64" s="361">
        <f t="shared" si="126"/>
        <v>27440</v>
      </c>
      <c r="V64" s="361">
        <f t="shared" si="126"/>
        <v>30300</v>
      </c>
      <c r="W64" s="361">
        <f t="shared" si="126"/>
        <v>14140</v>
      </c>
      <c r="X64" s="342">
        <f t="shared" si="127"/>
        <v>101000</v>
      </c>
      <c r="Y64" s="342">
        <f t="shared" si="128"/>
        <v>0</v>
      </c>
      <c r="Z64" s="342">
        <f t="shared" si="129"/>
        <v>0</v>
      </c>
      <c r="AA64" s="157">
        <f>AA193+AA303+AA403+AA533</f>
        <v>0</v>
      </c>
      <c r="AB64" s="318">
        <f t="shared" si="130"/>
        <v>0</v>
      </c>
    </row>
    <row r="65" spans="1:28" s="90" customFormat="1" ht="14.1" customHeight="1" x14ac:dyDescent="0.2">
      <c r="A65" s="301"/>
      <c r="B65" s="350" t="s">
        <v>354</v>
      </c>
      <c r="C65" s="101"/>
      <c r="D65" s="101"/>
      <c r="E65" s="101"/>
      <c r="F65" s="370" t="s">
        <v>355</v>
      </c>
      <c r="G65" s="361">
        <f t="shared" si="119"/>
        <v>16000</v>
      </c>
      <c r="H65" s="361">
        <f t="shared" si="119"/>
        <v>0</v>
      </c>
      <c r="I65" s="330">
        <f t="shared" si="120"/>
        <v>16000</v>
      </c>
      <c r="J65" s="330">
        <f t="shared" si="121"/>
        <v>16000</v>
      </c>
      <c r="K65" s="361">
        <f t="shared" si="122"/>
        <v>0</v>
      </c>
      <c r="L65" s="361">
        <f t="shared" si="122"/>
        <v>0</v>
      </c>
      <c r="M65" s="361">
        <f t="shared" si="122"/>
        <v>0</v>
      </c>
      <c r="N65" s="276">
        <f t="shared" si="123"/>
        <v>16000</v>
      </c>
      <c r="O65" s="361">
        <f t="shared" si="124"/>
        <v>2929.19</v>
      </c>
      <c r="P65" s="361">
        <f t="shared" si="124"/>
        <v>4395.4799999999996</v>
      </c>
      <c r="Q65" s="361">
        <f t="shared" si="124"/>
        <v>3240</v>
      </c>
      <c r="R65" s="361">
        <f t="shared" si="124"/>
        <v>3240</v>
      </c>
      <c r="S65" s="342">
        <f t="shared" si="125"/>
        <v>13804.67</v>
      </c>
      <c r="T65" s="361">
        <f t="shared" si="126"/>
        <v>2929.19</v>
      </c>
      <c r="U65" s="361">
        <f t="shared" si="126"/>
        <v>4395.4799999999996</v>
      </c>
      <c r="V65" s="361">
        <f t="shared" si="126"/>
        <v>3240</v>
      </c>
      <c r="W65" s="361">
        <f t="shared" si="126"/>
        <v>3240</v>
      </c>
      <c r="X65" s="342">
        <f t="shared" si="127"/>
        <v>13804.67</v>
      </c>
      <c r="Y65" s="342">
        <f t="shared" si="128"/>
        <v>0</v>
      </c>
      <c r="Z65" s="342">
        <f t="shared" si="129"/>
        <v>2195.33</v>
      </c>
      <c r="AA65" s="157">
        <f>AA194+AA304+AA404+AA534</f>
        <v>0</v>
      </c>
      <c r="AB65" s="318">
        <f t="shared" si="130"/>
        <v>0</v>
      </c>
    </row>
    <row r="66" spans="1:28" s="90" customFormat="1" ht="14.1" customHeight="1" x14ac:dyDescent="0.2">
      <c r="A66" s="301"/>
      <c r="B66" s="351" t="s">
        <v>356</v>
      </c>
      <c r="C66" s="101"/>
      <c r="D66" s="101"/>
      <c r="E66" s="101"/>
      <c r="F66" s="370"/>
      <c r="G66" s="321"/>
      <c r="H66" s="321"/>
      <c r="I66" s="321"/>
      <c r="J66" s="321"/>
      <c r="K66" s="321"/>
      <c r="L66" s="321"/>
      <c r="M66" s="321"/>
      <c r="N66" s="332"/>
      <c r="O66" s="321"/>
      <c r="P66" s="321"/>
      <c r="Q66" s="321"/>
      <c r="R66" s="321"/>
      <c r="S66" s="332"/>
      <c r="T66" s="321"/>
      <c r="U66" s="321"/>
      <c r="V66" s="321"/>
      <c r="W66" s="321"/>
      <c r="X66" s="332"/>
      <c r="Y66" s="332"/>
      <c r="Z66" s="332"/>
      <c r="AA66" s="332"/>
      <c r="AB66" s="302"/>
    </row>
    <row r="67" spans="1:28" s="90" customFormat="1" ht="14.1" customHeight="1" x14ac:dyDescent="0.2">
      <c r="A67" s="301"/>
      <c r="B67" s="350" t="s">
        <v>357</v>
      </c>
      <c r="C67" s="101"/>
      <c r="D67" s="101"/>
      <c r="E67" s="101"/>
      <c r="F67" s="370" t="s">
        <v>358</v>
      </c>
      <c r="G67" s="361">
        <f>G196+G306+G406+G536</f>
        <v>98000</v>
      </c>
      <c r="H67" s="361">
        <f>H196+H306+H406+H536</f>
        <v>0</v>
      </c>
      <c r="I67" s="330">
        <f t="shared" ref="I67" si="131">G67+H67</f>
        <v>98000</v>
      </c>
      <c r="J67" s="330">
        <f t="shared" ref="J67" si="132">I67</f>
        <v>98000</v>
      </c>
      <c r="K67" s="361">
        <f>K196+K306+K406+K536</f>
        <v>0</v>
      </c>
      <c r="L67" s="361">
        <f>L196+L306+L406+L536</f>
        <v>0</v>
      </c>
      <c r="M67" s="361">
        <f>M196+M306+M406+M536</f>
        <v>16000</v>
      </c>
      <c r="N67" s="276">
        <f>J67+K67-L67+M67</f>
        <v>114000</v>
      </c>
      <c r="O67" s="361">
        <f>O196+O306+O406+O536</f>
        <v>40600</v>
      </c>
      <c r="P67" s="361">
        <f>P196+P306+P406+P536</f>
        <v>24600</v>
      </c>
      <c r="Q67" s="361">
        <f>Q196+Q306+Q406+Q536</f>
        <v>24600</v>
      </c>
      <c r="R67" s="361">
        <f>R196+R306+R406+R536</f>
        <v>24200</v>
      </c>
      <c r="S67" s="342">
        <f t="shared" ref="S67" si="133">SUM(O67:R67)</f>
        <v>114000</v>
      </c>
      <c r="T67" s="361">
        <f>T196+T306+T406+T536</f>
        <v>40600</v>
      </c>
      <c r="U67" s="361">
        <f>U196+U306+U406+U536</f>
        <v>24600</v>
      </c>
      <c r="V67" s="361">
        <f>V196+V306+V406+V536</f>
        <v>24600</v>
      </c>
      <c r="W67" s="361">
        <f>W196+W306+W406+W536</f>
        <v>24200</v>
      </c>
      <c r="X67" s="342">
        <f t="shared" ref="X67" si="134">SUM(T67:W67)</f>
        <v>114000</v>
      </c>
      <c r="Y67" s="342">
        <f t="shared" ref="Y67" si="135">I67-N67</f>
        <v>-16000</v>
      </c>
      <c r="Z67" s="342">
        <f t="shared" ref="Z67" si="136">N67-S67</f>
        <v>0</v>
      </c>
      <c r="AA67" s="157">
        <f>AA196+AA306+AA406+AA536</f>
        <v>0</v>
      </c>
      <c r="AB67" s="318">
        <f t="shared" ref="AB67" si="137">+S67-X67-AA67</f>
        <v>0</v>
      </c>
    </row>
    <row r="68" spans="1:28" s="90" customFormat="1" ht="14.1" customHeight="1" x14ac:dyDescent="0.2">
      <c r="A68" s="301"/>
      <c r="B68" s="351" t="s">
        <v>359</v>
      </c>
      <c r="C68" s="101"/>
      <c r="D68" s="101"/>
      <c r="E68" s="101"/>
      <c r="F68" s="370"/>
      <c r="G68" s="321"/>
      <c r="H68" s="321"/>
      <c r="I68" s="321"/>
      <c r="J68" s="321"/>
      <c r="K68" s="321"/>
      <c r="L68" s="321"/>
      <c r="M68" s="321"/>
      <c r="N68" s="332"/>
      <c r="O68" s="321"/>
      <c r="P68" s="321"/>
      <c r="Q68" s="321"/>
      <c r="R68" s="321"/>
      <c r="S68" s="332"/>
      <c r="T68" s="321"/>
      <c r="U68" s="321"/>
      <c r="V68" s="321"/>
      <c r="W68" s="321"/>
      <c r="X68" s="332"/>
      <c r="Y68" s="332"/>
      <c r="Z68" s="332"/>
      <c r="AA68" s="332"/>
      <c r="AB68" s="302"/>
    </row>
    <row r="69" spans="1:28" s="90" customFormat="1" ht="14.1" customHeight="1" x14ac:dyDescent="0.2">
      <c r="A69" s="301"/>
      <c r="B69" s="350" t="s">
        <v>360</v>
      </c>
      <c r="C69" s="101"/>
      <c r="D69" s="101"/>
      <c r="E69" s="101"/>
      <c r="F69" s="370" t="s">
        <v>361</v>
      </c>
      <c r="G69" s="361">
        <f t="shared" ref="G69:H72" si="138">G198+G308+G408+G538</f>
        <v>0</v>
      </c>
      <c r="H69" s="361">
        <f t="shared" si="138"/>
        <v>0</v>
      </c>
      <c r="I69" s="330">
        <f t="shared" ref="I69:I72" si="139">G69+H69</f>
        <v>0</v>
      </c>
      <c r="J69" s="330">
        <f t="shared" ref="J69:J72" si="140">I69</f>
        <v>0</v>
      </c>
      <c r="K69" s="361">
        <f t="shared" ref="K69:M72" si="141">K198+K308+K408+K538</f>
        <v>0</v>
      </c>
      <c r="L69" s="361">
        <f t="shared" si="141"/>
        <v>0</v>
      </c>
      <c r="M69" s="361">
        <f t="shared" si="141"/>
        <v>0</v>
      </c>
      <c r="N69" s="276">
        <f t="shared" ref="N69:N72" si="142">J69+K69-L69+M69</f>
        <v>0</v>
      </c>
      <c r="O69" s="361">
        <f t="shared" ref="O69:R72" si="143">O198+O308+O408+O538</f>
        <v>0</v>
      </c>
      <c r="P69" s="361">
        <f t="shared" si="143"/>
        <v>0</v>
      </c>
      <c r="Q69" s="361">
        <f t="shared" si="143"/>
        <v>0</v>
      </c>
      <c r="R69" s="361">
        <f t="shared" si="143"/>
        <v>0</v>
      </c>
      <c r="S69" s="342">
        <f t="shared" ref="S69:S72" si="144">SUM(O69:R69)</f>
        <v>0</v>
      </c>
      <c r="T69" s="361">
        <f t="shared" ref="T69:W72" si="145">T198+T308+T408+T538</f>
        <v>0</v>
      </c>
      <c r="U69" s="361">
        <f t="shared" si="145"/>
        <v>0</v>
      </c>
      <c r="V69" s="361">
        <f t="shared" si="145"/>
        <v>0</v>
      </c>
      <c r="W69" s="361">
        <f t="shared" si="145"/>
        <v>0</v>
      </c>
      <c r="X69" s="342">
        <f t="shared" ref="X69:X72" si="146">SUM(T69:W69)</f>
        <v>0</v>
      </c>
      <c r="Y69" s="342">
        <f t="shared" ref="Y69:Y72" si="147">I69-N69</f>
        <v>0</v>
      </c>
      <c r="Z69" s="342">
        <f t="shared" ref="Z69:Z72" si="148">N69-S69</f>
        <v>0</v>
      </c>
      <c r="AA69" s="157">
        <f>AA198+AA308+AA408+AA538</f>
        <v>0</v>
      </c>
      <c r="AB69" s="318">
        <f t="shared" ref="AB69:AB72" si="149">+S69-X69-AA69</f>
        <v>0</v>
      </c>
    </row>
    <row r="70" spans="1:28" s="90" customFormat="1" ht="14.1" customHeight="1" x14ac:dyDescent="0.2">
      <c r="A70" s="301"/>
      <c r="B70" s="350" t="s">
        <v>362</v>
      </c>
      <c r="C70" s="101"/>
      <c r="D70" s="101"/>
      <c r="E70" s="101"/>
      <c r="F70" s="370" t="s">
        <v>363</v>
      </c>
      <c r="G70" s="361">
        <f t="shared" si="138"/>
        <v>0</v>
      </c>
      <c r="H70" s="361">
        <f t="shared" si="138"/>
        <v>0</v>
      </c>
      <c r="I70" s="330">
        <f t="shared" si="139"/>
        <v>0</v>
      </c>
      <c r="J70" s="330">
        <f t="shared" si="140"/>
        <v>0</v>
      </c>
      <c r="K70" s="361">
        <f t="shared" si="141"/>
        <v>0</v>
      </c>
      <c r="L70" s="361">
        <f t="shared" si="141"/>
        <v>0</v>
      </c>
      <c r="M70" s="361">
        <f t="shared" si="141"/>
        <v>0</v>
      </c>
      <c r="N70" s="276">
        <f t="shared" si="142"/>
        <v>0</v>
      </c>
      <c r="O70" s="361">
        <f t="shared" si="143"/>
        <v>0</v>
      </c>
      <c r="P70" s="361">
        <f t="shared" si="143"/>
        <v>0</v>
      </c>
      <c r="Q70" s="361">
        <f t="shared" si="143"/>
        <v>0</v>
      </c>
      <c r="R70" s="361">
        <f t="shared" si="143"/>
        <v>0</v>
      </c>
      <c r="S70" s="342">
        <f t="shared" si="144"/>
        <v>0</v>
      </c>
      <c r="T70" s="361">
        <f t="shared" si="145"/>
        <v>0</v>
      </c>
      <c r="U70" s="361">
        <f t="shared" si="145"/>
        <v>0</v>
      </c>
      <c r="V70" s="361">
        <f t="shared" si="145"/>
        <v>0</v>
      </c>
      <c r="W70" s="361">
        <f t="shared" si="145"/>
        <v>0</v>
      </c>
      <c r="X70" s="342">
        <f t="shared" si="146"/>
        <v>0</v>
      </c>
      <c r="Y70" s="342">
        <f t="shared" si="147"/>
        <v>0</v>
      </c>
      <c r="Z70" s="342">
        <f t="shared" si="148"/>
        <v>0</v>
      </c>
      <c r="AA70" s="157">
        <f>AA199+AA309+AA409+AA539</f>
        <v>0</v>
      </c>
      <c r="AB70" s="318">
        <f t="shared" si="149"/>
        <v>0</v>
      </c>
    </row>
    <row r="71" spans="1:28" s="90" customFormat="1" ht="14.1" customHeight="1" x14ac:dyDescent="0.2">
      <c r="A71" s="301"/>
      <c r="B71" s="350" t="s">
        <v>722</v>
      </c>
      <c r="C71" s="101"/>
      <c r="D71" s="101"/>
      <c r="E71" s="101"/>
      <c r="F71" s="370" t="s">
        <v>723</v>
      </c>
      <c r="G71" s="361">
        <f t="shared" si="138"/>
        <v>0</v>
      </c>
      <c r="H71" s="361">
        <f t="shared" si="138"/>
        <v>0</v>
      </c>
      <c r="I71" s="330">
        <f t="shared" si="139"/>
        <v>0</v>
      </c>
      <c r="J71" s="330">
        <f t="shared" si="140"/>
        <v>0</v>
      </c>
      <c r="K71" s="361">
        <f t="shared" si="141"/>
        <v>0</v>
      </c>
      <c r="L71" s="361">
        <f t="shared" si="141"/>
        <v>0</v>
      </c>
      <c r="M71" s="361">
        <f t="shared" si="141"/>
        <v>0</v>
      </c>
      <c r="N71" s="276">
        <f t="shared" si="142"/>
        <v>0</v>
      </c>
      <c r="O71" s="361">
        <f t="shared" si="143"/>
        <v>0</v>
      </c>
      <c r="P71" s="361">
        <f t="shared" si="143"/>
        <v>0</v>
      </c>
      <c r="Q71" s="361">
        <f t="shared" si="143"/>
        <v>0</v>
      </c>
      <c r="R71" s="361">
        <f t="shared" si="143"/>
        <v>0</v>
      </c>
      <c r="S71" s="342">
        <f t="shared" si="144"/>
        <v>0</v>
      </c>
      <c r="T71" s="361">
        <f t="shared" si="145"/>
        <v>0</v>
      </c>
      <c r="U71" s="361">
        <f t="shared" si="145"/>
        <v>0</v>
      </c>
      <c r="V71" s="361">
        <f t="shared" si="145"/>
        <v>0</v>
      </c>
      <c r="W71" s="361">
        <f t="shared" si="145"/>
        <v>0</v>
      </c>
      <c r="X71" s="342">
        <f t="shared" si="146"/>
        <v>0</v>
      </c>
      <c r="Y71" s="342">
        <f t="shared" si="147"/>
        <v>0</v>
      </c>
      <c r="Z71" s="342">
        <f t="shared" si="148"/>
        <v>0</v>
      </c>
      <c r="AA71" s="157">
        <f>AA200+AA310+AA410+AA540</f>
        <v>0</v>
      </c>
      <c r="AB71" s="318">
        <f t="shared" si="149"/>
        <v>0</v>
      </c>
    </row>
    <row r="72" spans="1:28" s="90" customFormat="1" ht="14.1" customHeight="1" x14ac:dyDescent="0.2">
      <c r="A72" s="301"/>
      <c r="B72" s="350" t="s">
        <v>364</v>
      </c>
      <c r="C72" s="101"/>
      <c r="D72" s="101"/>
      <c r="E72" s="101"/>
      <c r="F72" s="370" t="s">
        <v>365</v>
      </c>
      <c r="G72" s="361">
        <f t="shared" si="138"/>
        <v>1622000</v>
      </c>
      <c r="H72" s="361">
        <f t="shared" si="138"/>
        <v>0</v>
      </c>
      <c r="I72" s="330">
        <f t="shared" si="139"/>
        <v>1622000</v>
      </c>
      <c r="J72" s="330">
        <f t="shared" si="140"/>
        <v>1622000</v>
      </c>
      <c r="K72" s="361">
        <f t="shared" si="141"/>
        <v>0</v>
      </c>
      <c r="L72" s="361">
        <f t="shared" si="141"/>
        <v>0</v>
      </c>
      <c r="M72" s="361">
        <f t="shared" si="141"/>
        <v>137500</v>
      </c>
      <c r="N72" s="276">
        <f t="shared" si="142"/>
        <v>1759500</v>
      </c>
      <c r="O72" s="361">
        <f t="shared" si="143"/>
        <v>351609.01</v>
      </c>
      <c r="P72" s="361">
        <f t="shared" si="143"/>
        <v>521194.12000000005</v>
      </c>
      <c r="Q72" s="361">
        <f t="shared" si="143"/>
        <v>581349.31999999995</v>
      </c>
      <c r="R72" s="361">
        <f t="shared" si="143"/>
        <v>205647.55000000002</v>
      </c>
      <c r="S72" s="342">
        <f t="shared" si="144"/>
        <v>1659800.0000000002</v>
      </c>
      <c r="T72" s="361">
        <f t="shared" si="145"/>
        <v>351609.01</v>
      </c>
      <c r="U72" s="361">
        <f t="shared" si="145"/>
        <v>520794.12000000011</v>
      </c>
      <c r="V72" s="361">
        <f t="shared" si="145"/>
        <v>535579.31999999995</v>
      </c>
      <c r="W72" s="361">
        <f t="shared" si="145"/>
        <v>251817.55000000002</v>
      </c>
      <c r="X72" s="342">
        <f t="shared" si="146"/>
        <v>1659800.0000000002</v>
      </c>
      <c r="Y72" s="342">
        <f t="shared" si="147"/>
        <v>-137500</v>
      </c>
      <c r="Z72" s="342">
        <f t="shared" si="148"/>
        <v>99699.999999999767</v>
      </c>
      <c r="AA72" s="157">
        <f>AA201+AA311+AA411+AA541</f>
        <v>0</v>
      </c>
      <c r="AB72" s="318">
        <f t="shared" si="149"/>
        <v>0</v>
      </c>
    </row>
    <row r="73" spans="1:28" s="90" customFormat="1" ht="14.1" customHeight="1" x14ac:dyDescent="0.2">
      <c r="A73" s="301"/>
      <c r="B73" s="351" t="s">
        <v>366</v>
      </c>
      <c r="C73" s="101"/>
      <c r="D73" s="101"/>
      <c r="E73" s="101"/>
      <c r="F73" s="370"/>
      <c r="G73" s="321"/>
      <c r="H73" s="321"/>
      <c r="I73" s="321"/>
      <c r="J73" s="321"/>
      <c r="K73" s="321"/>
      <c r="L73" s="321"/>
      <c r="M73" s="321"/>
      <c r="N73" s="332"/>
      <c r="O73" s="321"/>
      <c r="P73" s="321"/>
      <c r="Q73" s="321"/>
      <c r="R73" s="321"/>
      <c r="S73" s="332"/>
      <c r="T73" s="321"/>
      <c r="U73" s="321"/>
      <c r="V73" s="321"/>
      <c r="W73" s="321"/>
      <c r="X73" s="332"/>
      <c r="Y73" s="332"/>
      <c r="Z73" s="332"/>
      <c r="AA73" s="332"/>
      <c r="AB73" s="302"/>
    </row>
    <row r="74" spans="1:28" s="90" customFormat="1" ht="14.1" customHeight="1" x14ac:dyDescent="0.2">
      <c r="A74" s="301"/>
      <c r="B74" s="350" t="s">
        <v>366</v>
      </c>
      <c r="C74" s="101"/>
      <c r="D74" s="101"/>
      <c r="E74" s="101"/>
      <c r="F74" s="370" t="s">
        <v>367</v>
      </c>
      <c r="G74" s="361">
        <f t="shared" ref="G74:H78" si="150">G203+G313+G413+G543</f>
        <v>0</v>
      </c>
      <c r="H74" s="361">
        <f t="shared" si="150"/>
        <v>0</v>
      </c>
      <c r="I74" s="330">
        <f t="shared" ref="I74:I78" si="151">G74+H74</f>
        <v>0</v>
      </c>
      <c r="J74" s="330">
        <f t="shared" ref="J74:J78" si="152">I74</f>
        <v>0</v>
      </c>
      <c r="K74" s="361">
        <f t="shared" ref="K74:M78" si="153">K203+K313+K413+K543</f>
        <v>0</v>
      </c>
      <c r="L74" s="361">
        <f t="shared" si="153"/>
        <v>0</v>
      </c>
      <c r="M74" s="361">
        <f t="shared" si="153"/>
        <v>0</v>
      </c>
      <c r="N74" s="276">
        <f t="shared" ref="N74:N78" si="154">J74+K74-L74+M74</f>
        <v>0</v>
      </c>
      <c r="O74" s="361">
        <f t="shared" ref="O74:R78" si="155">O203+O313+O413+O543</f>
        <v>0</v>
      </c>
      <c r="P74" s="361">
        <f t="shared" si="155"/>
        <v>0</v>
      </c>
      <c r="Q74" s="361">
        <f t="shared" si="155"/>
        <v>0</v>
      </c>
      <c r="R74" s="361">
        <f t="shared" si="155"/>
        <v>0</v>
      </c>
      <c r="S74" s="342">
        <f t="shared" ref="S74:S78" si="156">SUM(O74:R74)</f>
        <v>0</v>
      </c>
      <c r="T74" s="361">
        <f t="shared" ref="T74:W78" si="157">T203+T313+T413+T543</f>
        <v>0</v>
      </c>
      <c r="U74" s="361">
        <f t="shared" si="157"/>
        <v>0</v>
      </c>
      <c r="V74" s="361">
        <f t="shared" si="157"/>
        <v>0</v>
      </c>
      <c r="W74" s="361">
        <f t="shared" si="157"/>
        <v>0</v>
      </c>
      <c r="X74" s="342">
        <f t="shared" ref="X74:X78" si="158">SUM(T74:W74)</f>
        <v>0</v>
      </c>
      <c r="Y74" s="342">
        <f t="shared" ref="Y74:Y78" si="159">I74-N74</f>
        <v>0</v>
      </c>
      <c r="Z74" s="342">
        <f t="shared" ref="Z74:Z78" si="160">N74-S74</f>
        <v>0</v>
      </c>
      <c r="AA74" s="157">
        <f>AA203+AA313+AA413+AA543</f>
        <v>0</v>
      </c>
      <c r="AB74" s="318">
        <f t="shared" ref="AB74:AB77" si="161">+S74-X74-AA74</f>
        <v>0</v>
      </c>
    </row>
    <row r="75" spans="1:28" s="90" customFormat="1" ht="14.1" customHeight="1" x14ac:dyDescent="0.2">
      <c r="A75" s="301"/>
      <c r="B75" s="350" t="s">
        <v>724</v>
      </c>
      <c r="C75" s="718"/>
      <c r="D75" s="718"/>
      <c r="E75" s="718"/>
      <c r="F75" s="370" t="s">
        <v>725</v>
      </c>
      <c r="G75" s="361">
        <f t="shared" si="150"/>
        <v>0</v>
      </c>
      <c r="H75" s="361">
        <f t="shared" si="150"/>
        <v>0</v>
      </c>
      <c r="I75" s="330">
        <f t="shared" ref="I75" si="162">G75+H75</f>
        <v>0</v>
      </c>
      <c r="J75" s="330">
        <f t="shared" ref="J75" si="163">I75</f>
        <v>0</v>
      </c>
      <c r="K75" s="361">
        <f t="shared" si="153"/>
        <v>0</v>
      </c>
      <c r="L75" s="361">
        <f t="shared" si="153"/>
        <v>0</v>
      </c>
      <c r="M75" s="361">
        <f t="shared" si="153"/>
        <v>0</v>
      </c>
      <c r="N75" s="276">
        <f t="shared" si="154"/>
        <v>0</v>
      </c>
      <c r="O75" s="361">
        <f t="shared" si="155"/>
        <v>0</v>
      </c>
      <c r="P75" s="361">
        <f t="shared" si="155"/>
        <v>0</v>
      </c>
      <c r="Q75" s="361">
        <f t="shared" si="155"/>
        <v>0</v>
      </c>
      <c r="R75" s="361">
        <f t="shared" si="155"/>
        <v>0</v>
      </c>
      <c r="S75" s="342">
        <f t="shared" ref="S75" si="164">SUM(O75:R75)</f>
        <v>0</v>
      </c>
      <c r="T75" s="361">
        <f t="shared" si="157"/>
        <v>0</v>
      </c>
      <c r="U75" s="361">
        <f t="shared" si="157"/>
        <v>0</v>
      </c>
      <c r="V75" s="361">
        <f t="shared" si="157"/>
        <v>0</v>
      </c>
      <c r="W75" s="361">
        <f t="shared" si="157"/>
        <v>0</v>
      </c>
      <c r="X75" s="342">
        <f t="shared" ref="X75" si="165">SUM(T75:W75)</f>
        <v>0</v>
      </c>
      <c r="Y75" s="342">
        <f t="shared" ref="Y75" si="166">I75-N75</f>
        <v>0</v>
      </c>
      <c r="Z75" s="342">
        <f t="shared" ref="Z75" si="167">N75-S75</f>
        <v>0</v>
      </c>
      <c r="AA75" s="157">
        <f>AA204+AA314+AA414+AA544</f>
        <v>0</v>
      </c>
      <c r="AB75" s="318">
        <f t="shared" ref="AB75" si="168">+S75-X75-AA75</f>
        <v>0</v>
      </c>
    </row>
    <row r="76" spans="1:28" s="90" customFormat="1" ht="14.1" customHeight="1" x14ac:dyDescent="0.2">
      <c r="A76" s="301"/>
      <c r="B76" s="350" t="s">
        <v>368</v>
      </c>
      <c r="C76" s="101"/>
      <c r="D76" s="101"/>
      <c r="E76" s="101"/>
      <c r="F76" s="370" t="s">
        <v>369</v>
      </c>
      <c r="G76" s="361">
        <f t="shared" si="150"/>
        <v>501000</v>
      </c>
      <c r="H76" s="361">
        <f t="shared" si="150"/>
        <v>0</v>
      </c>
      <c r="I76" s="330">
        <f t="shared" si="151"/>
        <v>501000</v>
      </c>
      <c r="J76" s="330">
        <f t="shared" si="152"/>
        <v>501000</v>
      </c>
      <c r="K76" s="361">
        <f t="shared" si="153"/>
        <v>0</v>
      </c>
      <c r="L76" s="361">
        <f t="shared" si="153"/>
        <v>0</v>
      </c>
      <c r="M76" s="361">
        <f t="shared" si="153"/>
        <v>0</v>
      </c>
      <c r="N76" s="276">
        <f t="shared" si="154"/>
        <v>501000</v>
      </c>
      <c r="O76" s="361">
        <f t="shared" si="155"/>
        <v>67554.350000000006</v>
      </c>
      <c r="P76" s="361">
        <f t="shared" si="155"/>
        <v>69323.44</v>
      </c>
      <c r="Q76" s="361">
        <f t="shared" si="155"/>
        <v>59487.330000000009</v>
      </c>
      <c r="R76" s="361">
        <f t="shared" si="155"/>
        <v>99671.360000000001</v>
      </c>
      <c r="S76" s="342">
        <f t="shared" si="156"/>
        <v>296036.48000000004</v>
      </c>
      <c r="T76" s="361">
        <f t="shared" si="157"/>
        <v>67554.350000000006</v>
      </c>
      <c r="U76" s="361">
        <f t="shared" si="157"/>
        <v>68823.44</v>
      </c>
      <c r="V76" s="361">
        <f t="shared" si="157"/>
        <v>59987.330000000009</v>
      </c>
      <c r="W76" s="361">
        <f t="shared" si="157"/>
        <v>99671.360000000001</v>
      </c>
      <c r="X76" s="342">
        <f t="shared" si="158"/>
        <v>296036.48000000004</v>
      </c>
      <c r="Y76" s="342">
        <f t="shared" si="159"/>
        <v>0</v>
      </c>
      <c r="Z76" s="342">
        <f t="shared" si="160"/>
        <v>204963.51999999996</v>
      </c>
      <c r="AA76" s="157">
        <f>AA205+AA315+AA415+AA545</f>
        <v>0</v>
      </c>
      <c r="AB76" s="318">
        <f t="shared" si="161"/>
        <v>0</v>
      </c>
    </row>
    <row r="77" spans="1:28" s="90" customFormat="1" ht="14.1" customHeight="1" x14ac:dyDescent="0.2">
      <c r="A77" s="301"/>
      <c r="B77" s="350" t="s">
        <v>370</v>
      </c>
      <c r="C77" s="101"/>
      <c r="D77" s="101"/>
      <c r="E77" s="101"/>
      <c r="F77" s="370" t="s">
        <v>371</v>
      </c>
      <c r="G77" s="361">
        <f t="shared" si="150"/>
        <v>656000</v>
      </c>
      <c r="H77" s="361">
        <f t="shared" si="150"/>
        <v>0</v>
      </c>
      <c r="I77" s="330">
        <f t="shared" si="151"/>
        <v>656000</v>
      </c>
      <c r="J77" s="330">
        <f t="shared" si="152"/>
        <v>656000</v>
      </c>
      <c r="K77" s="361">
        <f t="shared" si="153"/>
        <v>0</v>
      </c>
      <c r="L77" s="361">
        <f t="shared" si="153"/>
        <v>0</v>
      </c>
      <c r="M77" s="361">
        <f t="shared" si="153"/>
        <v>0</v>
      </c>
      <c r="N77" s="276">
        <f t="shared" si="154"/>
        <v>656000</v>
      </c>
      <c r="O77" s="361">
        <f t="shared" si="155"/>
        <v>0</v>
      </c>
      <c r="P77" s="361">
        <f t="shared" si="155"/>
        <v>0</v>
      </c>
      <c r="Q77" s="361">
        <f t="shared" si="155"/>
        <v>28177.48</v>
      </c>
      <c r="R77" s="361">
        <f t="shared" si="155"/>
        <v>216631.32</v>
      </c>
      <c r="S77" s="342">
        <f t="shared" si="156"/>
        <v>244808.80000000002</v>
      </c>
      <c r="T77" s="361">
        <f t="shared" si="157"/>
        <v>0</v>
      </c>
      <c r="U77" s="361">
        <f t="shared" si="157"/>
        <v>0</v>
      </c>
      <c r="V77" s="361">
        <f t="shared" si="157"/>
        <v>28177.48</v>
      </c>
      <c r="W77" s="361">
        <f t="shared" si="157"/>
        <v>216631.32</v>
      </c>
      <c r="X77" s="342">
        <f t="shared" si="158"/>
        <v>244808.80000000002</v>
      </c>
      <c r="Y77" s="342">
        <f t="shared" si="159"/>
        <v>0</v>
      </c>
      <c r="Z77" s="342">
        <f t="shared" si="160"/>
        <v>411191.19999999995</v>
      </c>
      <c r="AA77" s="157">
        <f>AA206+AA316+AA416+AA546</f>
        <v>0</v>
      </c>
      <c r="AB77" s="318">
        <f t="shared" si="161"/>
        <v>0</v>
      </c>
    </row>
    <row r="78" spans="1:28" s="90" customFormat="1" ht="14.1" customHeight="1" x14ac:dyDescent="0.2">
      <c r="A78" s="301"/>
      <c r="B78" s="350" t="s">
        <v>372</v>
      </c>
      <c r="C78" s="101"/>
      <c r="D78" s="101"/>
      <c r="E78" s="101"/>
      <c r="F78" s="370" t="s">
        <v>373</v>
      </c>
      <c r="G78" s="361">
        <f t="shared" si="150"/>
        <v>2497000</v>
      </c>
      <c r="H78" s="361">
        <f t="shared" si="150"/>
        <v>0</v>
      </c>
      <c r="I78" s="330">
        <f t="shared" si="151"/>
        <v>2497000</v>
      </c>
      <c r="J78" s="330">
        <f t="shared" si="152"/>
        <v>2497000</v>
      </c>
      <c r="K78" s="361">
        <f t="shared" si="153"/>
        <v>-684469.27</v>
      </c>
      <c r="L78" s="361">
        <f t="shared" si="153"/>
        <v>0</v>
      </c>
      <c r="M78" s="361">
        <f t="shared" si="153"/>
        <v>0</v>
      </c>
      <c r="N78" s="276">
        <f t="shared" si="154"/>
        <v>1812530.73</v>
      </c>
      <c r="O78" s="361">
        <f t="shared" si="155"/>
        <v>59267.199999999997</v>
      </c>
      <c r="P78" s="361">
        <f t="shared" si="155"/>
        <v>102114.02</v>
      </c>
      <c r="Q78" s="361">
        <f t="shared" si="155"/>
        <v>377736.53</v>
      </c>
      <c r="R78" s="361">
        <f t="shared" si="155"/>
        <v>1216566.0099999998</v>
      </c>
      <c r="S78" s="342">
        <f t="shared" si="156"/>
        <v>1755683.7599999998</v>
      </c>
      <c r="T78" s="361">
        <f t="shared" si="157"/>
        <v>59267.199999999997</v>
      </c>
      <c r="U78" s="361">
        <f t="shared" si="157"/>
        <v>102114.01999999999</v>
      </c>
      <c r="V78" s="361">
        <f t="shared" si="157"/>
        <v>377536.53</v>
      </c>
      <c r="W78" s="361">
        <f t="shared" si="157"/>
        <v>1216566.0099999998</v>
      </c>
      <c r="X78" s="342">
        <f t="shared" si="158"/>
        <v>1755483.7599999998</v>
      </c>
      <c r="Y78" s="342">
        <f t="shared" si="159"/>
        <v>684469.27</v>
      </c>
      <c r="Z78" s="342">
        <f t="shared" si="160"/>
        <v>56846.970000000205</v>
      </c>
      <c r="AA78" s="157">
        <f>AA207+AA317+AA417+AA547</f>
        <v>200</v>
      </c>
      <c r="AB78" s="318">
        <f>+S78-X78-AA78</f>
        <v>0</v>
      </c>
    </row>
    <row r="79" spans="1:28" s="90" customFormat="1" ht="14.1" customHeight="1" x14ac:dyDescent="0.2">
      <c r="A79" s="301"/>
      <c r="B79" s="351" t="s">
        <v>374</v>
      </c>
      <c r="C79" s="101"/>
      <c r="D79" s="101"/>
      <c r="E79" s="101"/>
      <c r="F79" s="370"/>
      <c r="G79" s="321"/>
      <c r="H79" s="321"/>
      <c r="I79" s="321"/>
      <c r="J79" s="321"/>
      <c r="K79" s="321"/>
      <c r="L79" s="321"/>
      <c r="M79" s="321"/>
      <c r="N79" s="332"/>
      <c r="O79" s="321"/>
      <c r="P79" s="321"/>
      <c r="Q79" s="321"/>
      <c r="R79" s="321"/>
      <c r="S79" s="332"/>
      <c r="T79" s="321"/>
      <c r="U79" s="321"/>
      <c r="V79" s="321"/>
      <c r="W79" s="321"/>
      <c r="X79" s="332"/>
      <c r="Y79" s="332"/>
      <c r="Z79" s="332"/>
      <c r="AA79" s="332"/>
      <c r="AB79" s="302"/>
    </row>
    <row r="80" spans="1:28" s="90" customFormat="1" ht="14.1" customHeight="1" x14ac:dyDescent="0.2">
      <c r="A80" s="301"/>
      <c r="B80" s="350" t="s">
        <v>375</v>
      </c>
      <c r="C80" s="101"/>
      <c r="D80" s="101"/>
      <c r="E80" s="101"/>
      <c r="F80" s="370" t="s">
        <v>376</v>
      </c>
      <c r="G80" s="361">
        <f t="shared" ref="G80:H97" si="169">G209+G319+G419+G549</f>
        <v>0</v>
      </c>
      <c r="H80" s="361">
        <f t="shared" si="169"/>
        <v>0</v>
      </c>
      <c r="I80" s="330">
        <f t="shared" ref="I80:I97" si="170">G80+H80</f>
        <v>0</v>
      </c>
      <c r="J80" s="330">
        <f t="shared" ref="J80:J97" si="171">I80</f>
        <v>0</v>
      </c>
      <c r="K80" s="361">
        <f t="shared" ref="K80:M97" si="172">K209+K319+K419+K549</f>
        <v>0</v>
      </c>
      <c r="L80" s="361">
        <f t="shared" si="172"/>
        <v>0</v>
      </c>
      <c r="M80" s="361">
        <f t="shared" si="172"/>
        <v>0</v>
      </c>
      <c r="N80" s="276">
        <f t="shared" ref="N80:N97" si="173">J80+K80-L80+M80</f>
        <v>0</v>
      </c>
      <c r="O80" s="361">
        <f t="shared" ref="O80:R97" si="174">O209+O319+O419+O549</f>
        <v>0</v>
      </c>
      <c r="P80" s="361">
        <f t="shared" si="174"/>
        <v>0</v>
      </c>
      <c r="Q80" s="361">
        <f t="shared" si="174"/>
        <v>0</v>
      </c>
      <c r="R80" s="361">
        <f t="shared" si="174"/>
        <v>0</v>
      </c>
      <c r="S80" s="342">
        <f t="shared" ref="S80:S97" si="175">SUM(O80:R80)</f>
        <v>0</v>
      </c>
      <c r="T80" s="361">
        <f t="shared" ref="T80:W97" si="176">T209+T319+T419+T549</f>
        <v>0</v>
      </c>
      <c r="U80" s="361">
        <f t="shared" si="176"/>
        <v>0</v>
      </c>
      <c r="V80" s="361">
        <f t="shared" si="176"/>
        <v>0</v>
      </c>
      <c r="W80" s="361">
        <f t="shared" si="176"/>
        <v>0</v>
      </c>
      <c r="X80" s="342">
        <f t="shared" ref="X80:X97" si="177">SUM(T80:W80)</f>
        <v>0</v>
      </c>
      <c r="Y80" s="342">
        <f t="shared" ref="Y80:Y97" si="178">I80-N80</f>
        <v>0</v>
      </c>
      <c r="Z80" s="342">
        <f t="shared" ref="Z80:Z97" si="179">N80-S80</f>
        <v>0</v>
      </c>
      <c r="AA80" s="157">
        <f t="shared" ref="AA80:AA97" si="180">AA209+AA319+AA419+AA549</f>
        <v>0</v>
      </c>
      <c r="AB80" s="318">
        <f t="shared" ref="AB80:AB97" si="181">+S80-X80-AA80</f>
        <v>0</v>
      </c>
    </row>
    <row r="81" spans="1:28" s="90" customFormat="1" ht="14.1" customHeight="1" x14ac:dyDescent="0.2">
      <c r="A81" s="301"/>
      <c r="B81" s="350" t="s">
        <v>377</v>
      </c>
      <c r="C81" s="101"/>
      <c r="D81" s="101"/>
      <c r="E81" s="101"/>
      <c r="F81" s="370" t="s">
        <v>378</v>
      </c>
      <c r="G81" s="361">
        <f t="shared" si="169"/>
        <v>264000</v>
      </c>
      <c r="H81" s="361">
        <f t="shared" si="169"/>
        <v>0</v>
      </c>
      <c r="I81" s="330">
        <f t="shared" si="170"/>
        <v>264000</v>
      </c>
      <c r="J81" s="330">
        <f t="shared" si="171"/>
        <v>264000</v>
      </c>
      <c r="K81" s="361">
        <f t="shared" si="172"/>
        <v>684469.27</v>
      </c>
      <c r="L81" s="361">
        <f t="shared" si="172"/>
        <v>0</v>
      </c>
      <c r="M81" s="361">
        <f t="shared" si="172"/>
        <v>0</v>
      </c>
      <c r="N81" s="276">
        <f t="shared" si="173"/>
        <v>948469.27</v>
      </c>
      <c r="O81" s="361">
        <f t="shared" si="174"/>
        <v>1468.65</v>
      </c>
      <c r="P81" s="361">
        <f t="shared" si="174"/>
        <v>900</v>
      </c>
      <c r="Q81" s="361">
        <f t="shared" si="174"/>
        <v>1145.6300000000001</v>
      </c>
      <c r="R81" s="361">
        <f t="shared" si="174"/>
        <v>944954.99</v>
      </c>
      <c r="S81" s="342">
        <f t="shared" si="175"/>
        <v>948469.27</v>
      </c>
      <c r="T81" s="361">
        <f t="shared" si="176"/>
        <v>1468.65</v>
      </c>
      <c r="U81" s="361">
        <f t="shared" si="176"/>
        <v>900</v>
      </c>
      <c r="V81" s="361">
        <f t="shared" si="176"/>
        <v>1145.6300000000001</v>
      </c>
      <c r="W81" s="361">
        <f t="shared" si="176"/>
        <v>944954.99</v>
      </c>
      <c r="X81" s="342">
        <f t="shared" si="177"/>
        <v>948469.27</v>
      </c>
      <c r="Y81" s="342">
        <f t="shared" si="178"/>
        <v>-684469.27</v>
      </c>
      <c r="Z81" s="342">
        <f t="shared" si="179"/>
        <v>0</v>
      </c>
      <c r="AA81" s="157">
        <f t="shared" si="180"/>
        <v>0</v>
      </c>
      <c r="AB81" s="318">
        <f t="shared" si="181"/>
        <v>0</v>
      </c>
    </row>
    <row r="82" spans="1:28" s="90" customFormat="1" ht="14.1" customHeight="1" x14ac:dyDescent="0.2">
      <c r="A82" s="301"/>
      <c r="B82" s="350" t="s">
        <v>379</v>
      </c>
      <c r="C82" s="101"/>
      <c r="D82" s="101"/>
      <c r="E82" s="101"/>
      <c r="F82" s="370" t="s">
        <v>380</v>
      </c>
      <c r="G82" s="361">
        <f t="shared" si="169"/>
        <v>0</v>
      </c>
      <c r="H82" s="361">
        <f t="shared" si="169"/>
        <v>0</v>
      </c>
      <c r="I82" s="330">
        <f t="shared" si="170"/>
        <v>0</v>
      </c>
      <c r="J82" s="330">
        <f t="shared" si="171"/>
        <v>0</v>
      </c>
      <c r="K82" s="361">
        <f t="shared" si="172"/>
        <v>0</v>
      </c>
      <c r="L82" s="361">
        <f t="shared" si="172"/>
        <v>0</v>
      </c>
      <c r="M82" s="361">
        <f t="shared" si="172"/>
        <v>0</v>
      </c>
      <c r="N82" s="276">
        <f t="shared" si="173"/>
        <v>0</v>
      </c>
      <c r="O82" s="361">
        <f t="shared" si="174"/>
        <v>0</v>
      </c>
      <c r="P82" s="361">
        <f t="shared" si="174"/>
        <v>0</v>
      </c>
      <c r="Q82" s="361">
        <f t="shared" si="174"/>
        <v>0</v>
      </c>
      <c r="R82" s="361">
        <f t="shared" si="174"/>
        <v>0</v>
      </c>
      <c r="S82" s="342">
        <f t="shared" si="175"/>
        <v>0</v>
      </c>
      <c r="T82" s="361">
        <f t="shared" si="176"/>
        <v>0</v>
      </c>
      <c r="U82" s="361">
        <f t="shared" si="176"/>
        <v>0</v>
      </c>
      <c r="V82" s="361">
        <f t="shared" si="176"/>
        <v>0</v>
      </c>
      <c r="W82" s="361">
        <f t="shared" si="176"/>
        <v>0</v>
      </c>
      <c r="X82" s="342">
        <f t="shared" si="177"/>
        <v>0</v>
      </c>
      <c r="Y82" s="342">
        <f t="shared" si="178"/>
        <v>0</v>
      </c>
      <c r="Z82" s="342">
        <f t="shared" si="179"/>
        <v>0</v>
      </c>
      <c r="AA82" s="157">
        <f t="shared" si="180"/>
        <v>0</v>
      </c>
      <c r="AB82" s="318">
        <f t="shared" si="181"/>
        <v>0</v>
      </c>
    </row>
    <row r="83" spans="1:28" s="90" customFormat="1" ht="14.1" customHeight="1" x14ac:dyDescent="0.2">
      <c r="A83" s="301"/>
      <c r="B83" s="350" t="s">
        <v>381</v>
      </c>
      <c r="C83" s="101"/>
      <c r="D83" s="101"/>
      <c r="E83" s="101"/>
      <c r="F83" s="370" t="s">
        <v>382</v>
      </c>
      <c r="G83" s="361">
        <f t="shared" si="169"/>
        <v>0</v>
      </c>
      <c r="H83" s="361">
        <f t="shared" si="169"/>
        <v>0</v>
      </c>
      <c r="I83" s="330">
        <f t="shared" si="170"/>
        <v>0</v>
      </c>
      <c r="J83" s="330">
        <f t="shared" si="171"/>
        <v>0</v>
      </c>
      <c r="K83" s="361">
        <f t="shared" si="172"/>
        <v>0</v>
      </c>
      <c r="L83" s="361">
        <f t="shared" si="172"/>
        <v>0</v>
      </c>
      <c r="M83" s="361">
        <f t="shared" si="172"/>
        <v>0</v>
      </c>
      <c r="N83" s="276">
        <f t="shared" si="173"/>
        <v>0</v>
      </c>
      <c r="O83" s="361">
        <f t="shared" si="174"/>
        <v>0</v>
      </c>
      <c r="P83" s="361">
        <f t="shared" si="174"/>
        <v>0</v>
      </c>
      <c r="Q83" s="361">
        <f t="shared" si="174"/>
        <v>0</v>
      </c>
      <c r="R83" s="361">
        <f t="shared" si="174"/>
        <v>0</v>
      </c>
      <c r="S83" s="342">
        <f t="shared" si="175"/>
        <v>0</v>
      </c>
      <c r="T83" s="361">
        <f t="shared" si="176"/>
        <v>0</v>
      </c>
      <c r="U83" s="361">
        <f t="shared" si="176"/>
        <v>0</v>
      </c>
      <c r="V83" s="361">
        <f t="shared" si="176"/>
        <v>0</v>
      </c>
      <c r="W83" s="361">
        <f t="shared" si="176"/>
        <v>0</v>
      </c>
      <c r="X83" s="342">
        <f t="shared" si="177"/>
        <v>0</v>
      </c>
      <c r="Y83" s="342">
        <f t="shared" si="178"/>
        <v>0</v>
      </c>
      <c r="Z83" s="342">
        <f t="shared" si="179"/>
        <v>0</v>
      </c>
      <c r="AA83" s="157">
        <f t="shared" si="180"/>
        <v>0</v>
      </c>
      <c r="AB83" s="318">
        <f t="shared" si="181"/>
        <v>0</v>
      </c>
    </row>
    <row r="84" spans="1:28" s="90" customFormat="1" ht="14.1" customHeight="1" x14ac:dyDescent="0.2">
      <c r="A84" s="301"/>
      <c r="B84" s="350" t="s">
        <v>383</v>
      </c>
      <c r="C84" s="101"/>
      <c r="D84" s="101"/>
      <c r="E84" s="101"/>
      <c r="F84" s="370" t="s">
        <v>384</v>
      </c>
      <c r="G84" s="361">
        <f t="shared" si="169"/>
        <v>0</v>
      </c>
      <c r="H84" s="361">
        <f t="shared" si="169"/>
        <v>0</v>
      </c>
      <c r="I84" s="330">
        <f t="shared" si="170"/>
        <v>0</v>
      </c>
      <c r="J84" s="330">
        <f t="shared" si="171"/>
        <v>0</v>
      </c>
      <c r="K84" s="361">
        <f t="shared" si="172"/>
        <v>0</v>
      </c>
      <c r="L84" s="361">
        <f t="shared" si="172"/>
        <v>0</v>
      </c>
      <c r="M84" s="361">
        <f t="shared" si="172"/>
        <v>0</v>
      </c>
      <c r="N84" s="276">
        <f t="shared" si="173"/>
        <v>0</v>
      </c>
      <c r="O84" s="361">
        <f t="shared" si="174"/>
        <v>0</v>
      </c>
      <c r="P84" s="361">
        <f t="shared" si="174"/>
        <v>0</v>
      </c>
      <c r="Q84" s="361">
        <f t="shared" si="174"/>
        <v>0</v>
      </c>
      <c r="R84" s="361">
        <f t="shared" si="174"/>
        <v>0</v>
      </c>
      <c r="S84" s="342">
        <f t="shared" si="175"/>
        <v>0</v>
      </c>
      <c r="T84" s="361">
        <f t="shared" si="176"/>
        <v>0</v>
      </c>
      <c r="U84" s="361">
        <f t="shared" si="176"/>
        <v>0</v>
      </c>
      <c r="V84" s="361">
        <f t="shared" si="176"/>
        <v>0</v>
      </c>
      <c r="W84" s="361">
        <f t="shared" si="176"/>
        <v>0</v>
      </c>
      <c r="X84" s="342">
        <f t="shared" si="177"/>
        <v>0</v>
      </c>
      <c r="Y84" s="342">
        <f t="shared" si="178"/>
        <v>0</v>
      </c>
      <c r="Z84" s="342">
        <f t="shared" si="179"/>
        <v>0</v>
      </c>
      <c r="AA84" s="157">
        <f t="shared" si="180"/>
        <v>0</v>
      </c>
      <c r="AB84" s="318">
        <f t="shared" si="181"/>
        <v>0</v>
      </c>
    </row>
    <row r="85" spans="1:28" s="90" customFormat="1" ht="14.1" customHeight="1" x14ac:dyDescent="0.2">
      <c r="A85" s="301"/>
      <c r="B85" s="350" t="s">
        <v>385</v>
      </c>
      <c r="C85" s="101"/>
      <c r="D85" s="101"/>
      <c r="E85" s="101"/>
      <c r="F85" s="370" t="s">
        <v>386</v>
      </c>
      <c r="G85" s="361">
        <f t="shared" si="169"/>
        <v>0</v>
      </c>
      <c r="H85" s="361">
        <f t="shared" si="169"/>
        <v>0</v>
      </c>
      <c r="I85" s="330">
        <f t="shared" si="170"/>
        <v>0</v>
      </c>
      <c r="J85" s="330">
        <f t="shared" si="171"/>
        <v>0</v>
      </c>
      <c r="K85" s="361">
        <f t="shared" si="172"/>
        <v>0</v>
      </c>
      <c r="L85" s="361">
        <f t="shared" si="172"/>
        <v>0</v>
      </c>
      <c r="M85" s="361">
        <f t="shared" si="172"/>
        <v>0</v>
      </c>
      <c r="N85" s="276">
        <f t="shared" si="173"/>
        <v>0</v>
      </c>
      <c r="O85" s="361">
        <f t="shared" si="174"/>
        <v>0</v>
      </c>
      <c r="P85" s="361">
        <f t="shared" si="174"/>
        <v>0</v>
      </c>
      <c r="Q85" s="361">
        <f t="shared" si="174"/>
        <v>0</v>
      </c>
      <c r="R85" s="361">
        <f t="shared" si="174"/>
        <v>0</v>
      </c>
      <c r="S85" s="342">
        <f t="shared" si="175"/>
        <v>0</v>
      </c>
      <c r="T85" s="361">
        <f t="shared" si="176"/>
        <v>0</v>
      </c>
      <c r="U85" s="361">
        <f t="shared" si="176"/>
        <v>0</v>
      </c>
      <c r="V85" s="361">
        <f t="shared" si="176"/>
        <v>0</v>
      </c>
      <c r="W85" s="361">
        <f t="shared" si="176"/>
        <v>0</v>
      </c>
      <c r="X85" s="342">
        <f t="shared" si="177"/>
        <v>0</v>
      </c>
      <c r="Y85" s="342">
        <f t="shared" si="178"/>
        <v>0</v>
      </c>
      <c r="Z85" s="342">
        <f t="shared" si="179"/>
        <v>0</v>
      </c>
      <c r="AA85" s="157">
        <f t="shared" si="180"/>
        <v>0</v>
      </c>
      <c r="AB85" s="318">
        <f t="shared" si="181"/>
        <v>0</v>
      </c>
    </row>
    <row r="86" spans="1:28" s="90" customFormat="1" ht="14.1" customHeight="1" x14ac:dyDescent="0.2">
      <c r="A86" s="301"/>
      <c r="B86" s="350" t="s">
        <v>726</v>
      </c>
      <c r="C86" s="101"/>
      <c r="D86" s="101"/>
      <c r="E86" s="101"/>
      <c r="F86" s="370" t="s">
        <v>387</v>
      </c>
      <c r="G86" s="361">
        <f t="shared" si="169"/>
        <v>218000</v>
      </c>
      <c r="H86" s="361">
        <f t="shared" si="169"/>
        <v>0</v>
      </c>
      <c r="I86" s="330">
        <f t="shared" si="170"/>
        <v>218000</v>
      </c>
      <c r="J86" s="330">
        <f t="shared" si="171"/>
        <v>218000</v>
      </c>
      <c r="K86" s="361">
        <f t="shared" si="172"/>
        <v>0</v>
      </c>
      <c r="L86" s="361">
        <f t="shared" si="172"/>
        <v>0</v>
      </c>
      <c r="M86" s="361">
        <f t="shared" si="172"/>
        <v>0</v>
      </c>
      <c r="N86" s="276">
        <f t="shared" si="173"/>
        <v>218000</v>
      </c>
      <c r="O86" s="361">
        <f t="shared" si="174"/>
        <v>2380</v>
      </c>
      <c r="P86" s="361">
        <f t="shared" si="174"/>
        <v>4580</v>
      </c>
      <c r="Q86" s="361">
        <f t="shared" si="174"/>
        <v>23254</v>
      </c>
      <c r="R86" s="361">
        <f t="shared" si="174"/>
        <v>117070</v>
      </c>
      <c r="S86" s="342">
        <f t="shared" si="175"/>
        <v>147284</v>
      </c>
      <c r="T86" s="361">
        <f t="shared" si="176"/>
        <v>2380</v>
      </c>
      <c r="U86" s="361">
        <f t="shared" si="176"/>
        <v>4580</v>
      </c>
      <c r="V86" s="361">
        <f t="shared" si="176"/>
        <v>23254</v>
      </c>
      <c r="W86" s="361">
        <f t="shared" si="176"/>
        <v>117070</v>
      </c>
      <c r="X86" s="342">
        <f t="shared" si="177"/>
        <v>147284</v>
      </c>
      <c r="Y86" s="342">
        <f t="shared" si="178"/>
        <v>0</v>
      </c>
      <c r="Z86" s="342">
        <f t="shared" si="179"/>
        <v>70716</v>
      </c>
      <c r="AA86" s="157">
        <f t="shared" si="180"/>
        <v>0</v>
      </c>
      <c r="AB86" s="318">
        <f t="shared" si="181"/>
        <v>0</v>
      </c>
    </row>
    <row r="87" spans="1:28" s="90" customFormat="1" ht="14.1" customHeight="1" x14ac:dyDescent="0.2">
      <c r="A87" s="301"/>
      <c r="B87" s="350" t="s">
        <v>388</v>
      </c>
      <c r="C87" s="101"/>
      <c r="D87" s="101"/>
      <c r="E87" s="101"/>
      <c r="F87" s="370" t="s">
        <v>389</v>
      </c>
      <c r="G87" s="361">
        <f t="shared" si="169"/>
        <v>0</v>
      </c>
      <c r="H87" s="361">
        <f t="shared" si="169"/>
        <v>0</v>
      </c>
      <c r="I87" s="330">
        <f t="shared" si="170"/>
        <v>0</v>
      </c>
      <c r="J87" s="330">
        <f t="shared" si="171"/>
        <v>0</v>
      </c>
      <c r="K87" s="361">
        <f t="shared" si="172"/>
        <v>0</v>
      </c>
      <c r="L87" s="361">
        <f t="shared" si="172"/>
        <v>0</v>
      </c>
      <c r="M87" s="361">
        <f t="shared" si="172"/>
        <v>0</v>
      </c>
      <c r="N87" s="276">
        <f t="shared" si="173"/>
        <v>0</v>
      </c>
      <c r="O87" s="361">
        <f t="shared" si="174"/>
        <v>0</v>
      </c>
      <c r="P87" s="361">
        <f t="shared" si="174"/>
        <v>0</v>
      </c>
      <c r="Q87" s="361">
        <f t="shared" si="174"/>
        <v>0</v>
      </c>
      <c r="R87" s="361">
        <f t="shared" si="174"/>
        <v>0</v>
      </c>
      <c r="S87" s="342">
        <f t="shared" si="175"/>
        <v>0</v>
      </c>
      <c r="T87" s="361">
        <f t="shared" si="176"/>
        <v>0</v>
      </c>
      <c r="U87" s="361">
        <f t="shared" si="176"/>
        <v>0</v>
      </c>
      <c r="V87" s="361">
        <f t="shared" si="176"/>
        <v>0</v>
      </c>
      <c r="W87" s="361">
        <f t="shared" si="176"/>
        <v>0</v>
      </c>
      <c r="X87" s="342">
        <f t="shared" si="177"/>
        <v>0</v>
      </c>
      <c r="Y87" s="342">
        <f t="shared" si="178"/>
        <v>0</v>
      </c>
      <c r="Z87" s="342">
        <f t="shared" si="179"/>
        <v>0</v>
      </c>
      <c r="AA87" s="157">
        <f t="shared" si="180"/>
        <v>0</v>
      </c>
      <c r="AB87" s="318">
        <f t="shared" si="181"/>
        <v>0</v>
      </c>
    </row>
    <row r="88" spans="1:28" s="90" customFormat="1" ht="14.1" customHeight="1" x14ac:dyDescent="0.2">
      <c r="A88" s="301"/>
      <c r="B88" s="350" t="s">
        <v>390</v>
      </c>
      <c r="C88" s="101"/>
      <c r="D88" s="101"/>
      <c r="E88" s="101"/>
      <c r="F88" s="370" t="s">
        <v>391</v>
      </c>
      <c r="G88" s="361">
        <f t="shared" si="169"/>
        <v>0</v>
      </c>
      <c r="H88" s="361">
        <f t="shared" si="169"/>
        <v>0</v>
      </c>
      <c r="I88" s="330">
        <f t="shared" si="170"/>
        <v>0</v>
      </c>
      <c r="J88" s="330">
        <f t="shared" si="171"/>
        <v>0</v>
      </c>
      <c r="K88" s="361">
        <f t="shared" si="172"/>
        <v>0</v>
      </c>
      <c r="L88" s="361">
        <f t="shared" si="172"/>
        <v>0</v>
      </c>
      <c r="M88" s="361">
        <f t="shared" si="172"/>
        <v>0</v>
      </c>
      <c r="N88" s="276">
        <f t="shared" si="173"/>
        <v>0</v>
      </c>
      <c r="O88" s="361">
        <f t="shared" si="174"/>
        <v>0</v>
      </c>
      <c r="P88" s="361">
        <f t="shared" si="174"/>
        <v>0</v>
      </c>
      <c r="Q88" s="361">
        <f t="shared" si="174"/>
        <v>0</v>
      </c>
      <c r="R88" s="361">
        <f t="shared" si="174"/>
        <v>0</v>
      </c>
      <c r="S88" s="342">
        <f t="shared" si="175"/>
        <v>0</v>
      </c>
      <c r="T88" s="361">
        <f t="shared" si="176"/>
        <v>0</v>
      </c>
      <c r="U88" s="361">
        <f t="shared" si="176"/>
        <v>0</v>
      </c>
      <c r="V88" s="361">
        <f t="shared" si="176"/>
        <v>0</v>
      </c>
      <c r="W88" s="361">
        <f t="shared" si="176"/>
        <v>0</v>
      </c>
      <c r="X88" s="342">
        <f t="shared" si="177"/>
        <v>0</v>
      </c>
      <c r="Y88" s="342">
        <f t="shared" si="178"/>
        <v>0</v>
      </c>
      <c r="Z88" s="342">
        <f t="shared" si="179"/>
        <v>0</v>
      </c>
      <c r="AA88" s="157">
        <f t="shared" si="180"/>
        <v>0</v>
      </c>
      <c r="AB88" s="318">
        <f t="shared" si="181"/>
        <v>0</v>
      </c>
    </row>
    <row r="89" spans="1:28" s="90" customFormat="1" ht="14.1" customHeight="1" x14ac:dyDescent="0.2">
      <c r="A89" s="301"/>
      <c r="B89" s="350" t="s">
        <v>392</v>
      </c>
      <c r="C89" s="101"/>
      <c r="D89" s="101"/>
      <c r="E89" s="101"/>
      <c r="F89" s="370" t="s">
        <v>393</v>
      </c>
      <c r="G89" s="361">
        <f t="shared" si="169"/>
        <v>0</v>
      </c>
      <c r="H89" s="361">
        <f t="shared" si="169"/>
        <v>0</v>
      </c>
      <c r="I89" s="330">
        <f t="shared" si="170"/>
        <v>0</v>
      </c>
      <c r="J89" s="330">
        <f t="shared" si="171"/>
        <v>0</v>
      </c>
      <c r="K89" s="361">
        <f t="shared" si="172"/>
        <v>0</v>
      </c>
      <c r="L89" s="361">
        <f t="shared" si="172"/>
        <v>0</v>
      </c>
      <c r="M89" s="361">
        <f t="shared" si="172"/>
        <v>0</v>
      </c>
      <c r="N89" s="276">
        <f t="shared" si="173"/>
        <v>0</v>
      </c>
      <c r="O89" s="361">
        <f t="shared" si="174"/>
        <v>0</v>
      </c>
      <c r="P89" s="361">
        <f t="shared" si="174"/>
        <v>0</v>
      </c>
      <c r="Q89" s="361">
        <f t="shared" si="174"/>
        <v>0</v>
      </c>
      <c r="R89" s="361">
        <f t="shared" si="174"/>
        <v>0</v>
      </c>
      <c r="S89" s="342">
        <f t="shared" si="175"/>
        <v>0</v>
      </c>
      <c r="T89" s="361">
        <f t="shared" si="176"/>
        <v>0</v>
      </c>
      <c r="U89" s="361">
        <f t="shared" si="176"/>
        <v>0</v>
      </c>
      <c r="V89" s="361">
        <f t="shared" si="176"/>
        <v>0</v>
      </c>
      <c r="W89" s="361">
        <f t="shared" si="176"/>
        <v>0</v>
      </c>
      <c r="X89" s="342">
        <f t="shared" si="177"/>
        <v>0</v>
      </c>
      <c r="Y89" s="342">
        <f t="shared" si="178"/>
        <v>0</v>
      </c>
      <c r="Z89" s="342">
        <f t="shared" si="179"/>
        <v>0</v>
      </c>
      <c r="AA89" s="157">
        <f t="shared" si="180"/>
        <v>0</v>
      </c>
      <c r="AB89" s="318">
        <f t="shared" si="181"/>
        <v>0</v>
      </c>
    </row>
    <row r="90" spans="1:28" s="90" customFormat="1" ht="14.1" customHeight="1" x14ac:dyDescent="0.2">
      <c r="A90" s="301"/>
      <c r="B90" s="350" t="s">
        <v>394</v>
      </c>
      <c r="C90" s="101"/>
      <c r="D90" s="101"/>
      <c r="E90" s="101"/>
      <c r="F90" s="370" t="s">
        <v>395</v>
      </c>
      <c r="G90" s="361">
        <f t="shared" si="169"/>
        <v>0</v>
      </c>
      <c r="H90" s="361">
        <f t="shared" si="169"/>
        <v>0</v>
      </c>
      <c r="I90" s="330">
        <f t="shared" si="170"/>
        <v>0</v>
      </c>
      <c r="J90" s="330">
        <f t="shared" si="171"/>
        <v>0</v>
      </c>
      <c r="K90" s="361">
        <f t="shared" si="172"/>
        <v>0</v>
      </c>
      <c r="L90" s="361">
        <f t="shared" si="172"/>
        <v>0</v>
      </c>
      <c r="M90" s="361">
        <f t="shared" si="172"/>
        <v>0</v>
      </c>
      <c r="N90" s="276">
        <f t="shared" si="173"/>
        <v>0</v>
      </c>
      <c r="O90" s="361">
        <f t="shared" si="174"/>
        <v>0</v>
      </c>
      <c r="P90" s="361">
        <f t="shared" si="174"/>
        <v>0</v>
      </c>
      <c r="Q90" s="361">
        <f t="shared" si="174"/>
        <v>0</v>
      </c>
      <c r="R90" s="361">
        <f t="shared" si="174"/>
        <v>0</v>
      </c>
      <c r="S90" s="342">
        <f t="shared" si="175"/>
        <v>0</v>
      </c>
      <c r="T90" s="361">
        <f t="shared" si="176"/>
        <v>0</v>
      </c>
      <c r="U90" s="361">
        <f t="shared" si="176"/>
        <v>0</v>
      </c>
      <c r="V90" s="361">
        <f t="shared" si="176"/>
        <v>0</v>
      </c>
      <c r="W90" s="361">
        <f t="shared" si="176"/>
        <v>0</v>
      </c>
      <c r="X90" s="342">
        <f t="shared" si="177"/>
        <v>0</v>
      </c>
      <c r="Y90" s="342">
        <f t="shared" si="178"/>
        <v>0</v>
      </c>
      <c r="Z90" s="342">
        <f t="shared" si="179"/>
        <v>0</v>
      </c>
      <c r="AA90" s="157">
        <f t="shared" si="180"/>
        <v>0</v>
      </c>
      <c r="AB90" s="318">
        <f t="shared" si="181"/>
        <v>0</v>
      </c>
    </row>
    <row r="91" spans="1:28" s="90" customFormat="1" ht="14.1" customHeight="1" x14ac:dyDescent="0.2">
      <c r="A91" s="301"/>
      <c r="B91" s="350" t="s">
        <v>396</v>
      </c>
      <c r="C91" s="101"/>
      <c r="D91" s="101"/>
      <c r="E91" s="101"/>
      <c r="F91" s="370" t="s">
        <v>397</v>
      </c>
      <c r="G91" s="361">
        <f t="shared" si="169"/>
        <v>0</v>
      </c>
      <c r="H91" s="361">
        <f t="shared" si="169"/>
        <v>0</v>
      </c>
      <c r="I91" s="330">
        <f t="shared" si="170"/>
        <v>0</v>
      </c>
      <c r="J91" s="330">
        <f t="shared" si="171"/>
        <v>0</v>
      </c>
      <c r="K91" s="361">
        <f t="shared" si="172"/>
        <v>0</v>
      </c>
      <c r="L91" s="361">
        <f t="shared" si="172"/>
        <v>0</v>
      </c>
      <c r="M91" s="361">
        <f t="shared" si="172"/>
        <v>0</v>
      </c>
      <c r="N91" s="276">
        <f t="shared" si="173"/>
        <v>0</v>
      </c>
      <c r="O91" s="361">
        <f t="shared" si="174"/>
        <v>0</v>
      </c>
      <c r="P91" s="361">
        <f t="shared" si="174"/>
        <v>0</v>
      </c>
      <c r="Q91" s="361">
        <f t="shared" si="174"/>
        <v>0</v>
      </c>
      <c r="R91" s="361">
        <f t="shared" si="174"/>
        <v>0</v>
      </c>
      <c r="S91" s="342">
        <f t="shared" si="175"/>
        <v>0</v>
      </c>
      <c r="T91" s="361">
        <f t="shared" si="176"/>
        <v>0</v>
      </c>
      <c r="U91" s="361">
        <f t="shared" si="176"/>
        <v>0</v>
      </c>
      <c r="V91" s="361">
        <f t="shared" si="176"/>
        <v>0</v>
      </c>
      <c r="W91" s="361">
        <f t="shared" si="176"/>
        <v>0</v>
      </c>
      <c r="X91" s="342">
        <f t="shared" si="177"/>
        <v>0</v>
      </c>
      <c r="Y91" s="342">
        <f t="shared" si="178"/>
        <v>0</v>
      </c>
      <c r="Z91" s="342">
        <f t="shared" si="179"/>
        <v>0</v>
      </c>
      <c r="AA91" s="157">
        <f t="shared" si="180"/>
        <v>0</v>
      </c>
      <c r="AB91" s="318">
        <f t="shared" si="181"/>
        <v>0</v>
      </c>
    </row>
    <row r="92" spans="1:28" s="90" customFormat="1" ht="14.1" customHeight="1" x14ac:dyDescent="0.2">
      <c r="A92" s="301"/>
      <c r="B92" s="350" t="s">
        <v>398</v>
      </c>
      <c r="C92" s="101"/>
      <c r="D92" s="101"/>
      <c r="E92" s="101"/>
      <c r="F92" s="370" t="s">
        <v>399</v>
      </c>
      <c r="G92" s="361">
        <f t="shared" si="169"/>
        <v>522000</v>
      </c>
      <c r="H92" s="361">
        <f t="shared" si="169"/>
        <v>0</v>
      </c>
      <c r="I92" s="330">
        <f t="shared" si="170"/>
        <v>522000</v>
      </c>
      <c r="J92" s="330">
        <f t="shared" si="171"/>
        <v>522000</v>
      </c>
      <c r="K92" s="361">
        <f t="shared" si="172"/>
        <v>0</v>
      </c>
      <c r="L92" s="361">
        <f t="shared" si="172"/>
        <v>0</v>
      </c>
      <c r="M92" s="361">
        <f t="shared" si="172"/>
        <v>38000</v>
      </c>
      <c r="N92" s="276">
        <f t="shared" si="173"/>
        <v>560000</v>
      </c>
      <c r="O92" s="361">
        <f t="shared" si="174"/>
        <v>25342.75</v>
      </c>
      <c r="P92" s="361">
        <f t="shared" si="174"/>
        <v>82190.44</v>
      </c>
      <c r="Q92" s="361">
        <f t="shared" si="174"/>
        <v>87007.75</v>
      </c>
      <c r="R92" s="361">
        <f t="shared" si="174"/>
        <v>166619.71</v>
      </c>
      <c r="S92" s="342">
        <f t="shared" si="175"/>
        <v>361160.65</v>
      </c>
      <c r="T92" s="361">
        <f t="shared" si="176"/>
        <v>25342.75</v>
      </c>
      <c r="U92" s="361">
        <f t="shared" si="176"/>
        <v>82190.439999999988</v>
      </c>
      <c r="V92" s="361">
        <f t="shared" si="176"/>
        <v>87007.75</v>
      </c>
      <c r="W92" s="361">
        <f t="shared" si="176"/>
        <v>166619.71</v>
      </c>
      <c r="X92" s="342">
        <f t="shared" si="177"/>
        <v>361160.65</v>
      </c>
      <c r="Y92" s="342">
        <f t="shared" si="178"/>
        <v>-38000</v>
      </c>
      <c r="Z92" s="342">
        <f t="shared" si="179"/>
        <v>198839.34999999998</v>
      </c>
      <c r="AA92" s="157">
        <f t="shared" si="180"/>
        <v>0</v>
      </c>
      <c r="AB92" s="318">
        <f t="shared" si="181"/>
        <v>0</v>
      </c>
    </row>
    <row r="93" spans="1:28" s="90" customFormat="1" ht="14.1" customHeight="1" x14ac:dyDescent="0.2">
      <c r="A93" s="301"/>
      <c r="B93" s="350" t="s">
        <v>400</v>
      </c>
      <c r="C93" s="101"/>
      <c r="D93" s="101"/>
      <c r="E93" s="101"/>
      <c r="F93" s="370" t="s">
        <v>401</v>
      </c>
      <c r="G93" s="361">
        <f t="shared" si="169"/>
        <v>0</v>
      </c>
      <c r="H93" s="361">
        <f t="shared" si="169"/>
        <v>0</v>
      </c>
      <c r="I93" s="330">
        <f t="shared" si="170"/>
        <v>0</v>
      </c>
      <c r="J93" s="330">
        <f t="shared" si="171"/>
        <v>0</v>
      </c>
      <c r="K93" s="361">
        <f t="shared" si="172"/>
        <v>0</v>
      </c>
      <c r="L93" s="361">
        <f t="shared" si="172"/>
        <v>0</v>
      </c>
      <c r="M93" s="361">
        <f t="shared" si="172"/>
        <v>0</v>
      </c>
      <c r="N93" s="276">
        <f t="shared" si="173"/>
        <v>0</v>
      </c>
      <c r="O93" s="361">
        <f t="shared" si="174"/>
        <v>0</v>
      </c>
      <c r="P93" s="361">
        <f t="shared" si="174"/>
        <v>0</v>
      </c>
      <c r="Q93" s="361">
        <f t="shared" si="174"/>
        <v>0</v>
      </c>
      <c r="R93" s="361">
        <f t="shared" si="174"/>
        <v>0</v>
      </c>
      <c r="S93" s="342">
        <f t="shared" si="175"/>
        <v>0</v>
      </c>
      <c r="T93" s="361">
        <f t="shared" si="176"/>
        <v>0</v>
      </c>
      <c r="U93" s="361">
        <f t="shared" si="176"/>
        <v>0</v>
      </c>
      <c r="V93" s="361">
        <f t="shared" si="176"/>
        <v>0</v>
      </c>
      <c r="W93" s="361">
        <f t="shared" si="176"/>
        <v>0</v>
      </c>
      <c r="X93" s="342">
        <f t="shared" si="177"/>
        <v>0</v>
      </c>
      <c r="Y93" s="342">
        <f t="shared" si="178"/>
        <v>0</v>
      </c>
      <c r="Z93" s="342">
        <f t="shared" si="179"/>
        <v>0</v>
      </c>
      <c r="AA93" s="157">
        <f t="shared" si="180"/>
        <v>0</v>
      </c>
      <c r="AB93" s="318">
        <f t="shared" si="181"/>
        <v>0</v>
      </c>
    </row>
    <row r="94" spans="1:28" s="90" customFormat="1" ht="14.1" customHeight="1" x14ac:dyDescent="0.2">
      <c r="A94" s="301"/>
      <c r="B94" s="350" t="s">
        <v>402</v>
      </c>
      <c r="C94" s="101"/>
      <c r="D94" s="101"/>
      <c r="E94" s="101"/>
      <c r="F94" s="370" t="s">
        <v>403</v>
      </c>
      <c r="G94" s="361">
        <f t="shared" si="169"/>
        <v>0</v>
      </c>
      <c r="H94" s="361">
        <f t="shared" si="169"/>
        <v>0</v>
      </c>
      <c r="I94" s="330">
        <f t="shared" si="170"/>
        <v>0</v>
      </c>
      <c r="J94" s="330">
        <f t="shared" si="171"/>
        <v>0</v>
      </c>
      <c r="K94" s="361">
        <f t="shared" si="172"/>
        <v>0</v>
      </c>
      <c r="L94" s="361">
        <f t="shared" si="172"/>
        <v>0</v>
      </c>
      <c r="M94" s="361">
        <f t="shared" si="172"/>
        <v>0</v>
      </c>
      <c r="N94" s="276">
        <f t="shared" si="173"/>
        <v>0</v>
      </c>
      <c r="O94" s="361">
        <f t="shared" si="174"/>
        <v>0</v>
      </c>
      <c r="P94" s="361">
        <f t="shared" si="174"/>
        <v>0</v>
      </c>
      <c r="Q94" s="361">
        <f t="shared" si="174"/>
        <v>0</v>
      </c>
      <c r="R94" s="361">
        <f t="shared" si="174"/>
        <v>0</v>
      </c>
      <c r="S94" s="342">
        <f t="shared" si="175"/>
        <v>0</v>
      </c>
      <c r="T94" s="361">
        <f t="shared" si="176"/>
        <v>0</v>
      </c>
      <c r="U94" s="361">
        <f t="shared" si="176"/>
        <v>0</v>
      </c>
      <c r="V94" s="361">
        <f t="shared" si="176"/>
        <v>0</v>
      </c>
      <c r="W94" s="361">
        <f t="shared" si="176"/>
        <v>0</v>
      </c>
      <c r="X94" s="342">
        <f t="shared" si="177"/>
        <v>0</v>
      </c>
      <c r="Y94" s="342">
        <f t="shared" si="178"/>
        <v>0</v>
      </c>
      <c r="Z94" s="342">
        <f t="shared" si="179"/>
        <v>0</v>
      </c>
      <c r="AA94" s="157">
        <f t="shared" si="180"/>
        <v>0</v>
      </c>
      <c r="AB94" s="318">
        <f t="shared" si="181"/>
        <v>0</v>
      </c>
    </row>
    <row r="95" spans="1:28" s="90" customFormat="1" ht="14.1" customHeight="1" x14ac:dyDescent="0.2">
      <c r="A95" s="301"/>
      <c r="B95" s="350" t="s">
        <v>404</v>
      </c>
      <c r="C95" s="101"/>
      <c r="D95" s="101"/>
      <c r="E95" s="101"/>
      <c r="F95" s="370" t="s">
        <v>405</v>
      </c>
      <c r="G95" s="361">
        <f t="shared" si="169"/>
        <v>0</v>
      </c>
      <c r="H95" s="361">
        <f t="shared" si="169"/>
        <v>0</v>
      </c>
      <c r="I95" s="330">
        <f t="shared" si="170"/>
        <v>0</v>
      </c>
      <c r="J95" s="330">
        <f t="shared" si="171"/>
        <v>0</v>
      </c>
      <c r="K95" s="361">
        <f t="shared" si="172"/>
        <v>0</v>
      </c>
      <c r="L95" s="361">
        <f t="shared" si="172"/>
        <v>0</v>
      </c>
      <c r="M95" s="361">
        <f t="shared" si="172"/>
        <v>0</v>
      </c>
      <c r="N95" s="276">
        <f t="shared" si="173"/>
        <v>0</v>
      </c>
      <c r="O95" s="361">
        <f t="shared" si="174"/>
        <v>0</v>
      </c>
      <c r="P95" s="361">
        <f t="shared" si="174"/>
        <v>0</v>
      </c>
      <c r="Q95" s="361">
        <f t="shared" si="174"/>
        <v>0</v>
      </c>
      <c r="R95" s="361">
        <f t="shared" si="174"/>
        <v>0</v>
      </c>
      <c r="S95" s="342">
        <f t="shared" si="175"/>
        <v>0</v>
      </c>
      <c r="T95" s="361">
        <f t="shared" si="176"/>
        <v>0</v>
      </c>
      <c r="U95" s="361">
        <f t="shared" si="176"/>
        <v>0</v>
      </c>
      <c r="V95" s="361">
        <f t="shared" si="176"/>
        <v>0</v>
      </c>
      <c r="W95" s="361">
        <f t="shared" si="176"/>
        <v>0</v>
      </c>
      <c r="X95" s="342">
        <f t="shared" si="177"/>
        <v>0</v>
      </c>
      <c r="Y95" s="342">
        <f t="shared" si="178"/>
        <v>0</v>
      </c>
      <c r="Z95" s="342">
        <f t="shared" si="179"/>
        <v>0</v>
      </c>
      <c r="AA95" s="157">
        <f t="shared" si="180"/>
        <v>0</v>
      </c>
      <c r="AB95" s="318">
        <f t="shared" si="181"/>
        <v>0</v>
      </c>
    </row>
    <row r="96" spans="1:28" s="90" customFormat="1" ht="14.1" customHeight="1" x14ac:dyDescent="0.2">
      <c r="A96" s="301"/>
      <c r="B96" s="350" t="s">
        <v>727</v>
      </c>
      <c r="C96" s="718"/>
      <c r="D96" s="718"/>
      <c r="E96" s="718"/>
      <c r="F96" s="370" t="s">
        <v>728</v>
      </c>
      <c r="G96" s="361">
        <f t="shared" si="169"/>
        <v>0</v>
      </c>
      <c r="H96" s="361">
        <f t="shared" si="169"/>
        <v>0</v>
      </c>
      <c r="I96" s="330">
        <f t="shared" ref="I96" si="182">G96+H96</f>
        <v>0</v>
      </c>
      <c r="J96" s="330">
        <f t="shared" ref="J96" si="183">I96</f>
        <v>0</v>
      </c>
      <c r="K96" s="361">
        <f t="shared" si="172"/>
        <v>0</v>
      </c>
      <c r="L96" s="361">
        <f t="shared" si="172"/>
        <v>0</v>
      </c>
      <c r="M96" s="361">
        <f t="shared" si="172"/>
        <v>0</v>
      </c>
      <c r="N96" s="276">
        <f t="shared" si="173"/>
        <v>0</v>
      </c>
      <c r="O96" s="361">
        <f t="shared" si="174"/>
        <v>0</v>
      </c>
      <c r="P96" s="361">
        <f t="shared" si="174"/>
        <v>0</v>
      </c>
      <c r="Q96" s="361">
        <f t="shared" si="174"/>
        <v>0</v>
      </c>
      <c r="R96" s="361">
        <f t="shared" si="174"/>
        <v>0</v>
      </c>
      <c r="S96" s="342">
        <f t="shared" ref="S96" si="184">SUM(O96:R96)</f>
        <v>0</v>
      </c>
      <c r="T96" s="361">
        <f t="shared" si="176"/>
        <v>0</v>
      </c>
      <c r="U96" s="361">
        <f t="shared" si="176"/>
        <v>0</v>
      </c>
      <c r="V96" s="361">
        <f t="shared" si="176"/>
        <v>0</v>
      </c>
      <c r="W96" s="361">
        <f t="shared" si="176"/>
        <v>0</v>
      </c>
      <c r="X96" s="342">
        <f t="shared" ref="X96" si="185">SUM(T96:W96)</f>
        <v>0</v>
      </c>
      <c r="Y96" s="342">
        <f t="shared" ref="Y96" si="186">I96-N96</f>
        <v>0</v>
      </c>
      <c r="Z96" s="342">
        <f t="shared" ref="Z96" si="187">N96-S96</f>
        <v>0</v>
      </c>
      <c r="AA96" s="157">
        <f t="shared" si="180"/>
        <v>0</v>
      </c>
      <c r="AB96" s="318">
        <f t="shared" ref="AB96" si="188">+S96-X96-AA96</f>
        <v>0</v>
      </c>
    </row>
    <row r="97" spans="1:28" s="90" customFormat="1" ht="14.1" customHeight="1" x14ac:dyDescent="0.2">
      <c r="A97" s="301"/>
      <c r="B97" s="350" t="s">
        <v>406</v>
      </c>
      <c r="C97" s="101"/>
      <c r="D97" s="101"/>
      <c r="E97" s="101"/>
      <c r="F97" s="370" t="s">
        <v>407</v>
      </c>
      <c r="G97" s="361">
        <f t="shared" si="169"/>
        <v>0</v>
      </c>
      <c r="H97" s="361">
        <f t="shared" si="169"/>
        <v>0</v>
      </c>
      <c r="I97" s="330">
        <f t="shared" si="170"/>
        <v>0</v>
      </c>
      <c r="J97" s="330">
        <f t="shared" si="171"/>
        <v>0</v>
      </c>
      <c r="K97" s="361">
        <f t="shared" si="172"/>
        <v>0</v>
      </c>
      <c r="L97" s="361">
        <f t="shared" si="172"/>
        <v>0</v>
      </c>
      <c r="M97" s="361">
        <f t="shared" si="172"/>
        <v>0</v>
      </c>
      <c r="N97" s="276">
        <f t="shared" si="173"/>
        <v>0</v>
      </c>
      <c r="O97" s="361">
        <f t="shared" si="174"/>
        <v>0</v>
      </c>
      <c r="P97" s="361">
        <f t="shared" si="174"/>
        <v>0</v>
      </c>
      <c r="Q97" s="361">
        <f t="shared" si="174"/>
        <v>0</v>
      </c>
      <c r="R97" s="361">
        <f t="shared" si="174"/>
        <v>0</v>
      </c>
      <c r="S97" s="342">
        <f t="shared" si="175"/>
        <v>0</v>
      </c>
      <c r="T97" s="361">
        <f t="shared" si="176"/>
        <v>0</v>
      </c>
      <c r="U97" s="361">
        <f t="shared" si="176"/>
        <v>0</v>
      </c>
      <c r="V97" s="361">
        <f t="shared" si="176"/>
        <v>0</v>
      </c>
      <c r="W97" s="361">
        <f t="shared" si="176"/>
        <v>0</v>
      </c>
      <c r="X97" s="342">
        <f t="shared" si="177"/>
        <v>0</v>
      </c>
      <c r="Y97" s="342">
        <f t="shared" si="178"/>
        <v>0</v>
      </c>
      <c r="Z97" s="342">
        <f t="shared" si="179"/>
        <v>0</v>
      </c>
      <c r="AA97" s="157">
        <f t="shared" si="180"/>
        <v>0</v>
      </c>
      <c r="AB97" s="318">
        <f t="shared" si="181"/>
        <v>0</v>
      </c>
    </row>
    <row r="98" spans="1:28" s="90" customFormat="1" ht="14.1" customHeight="1" x14ac:dyDescent="0.2">
      <c r="A98" s="301"/>
      <c r="B98" s="351" t="s">
        <v>408</v>
      </c>
      <c r="C98" s="101"/>
      <c r="D98" s="101"/>
      <c r="E98" s="101"/>
      <c r="F98" s="370"/>
      <c r="G98" s="321"/>
      <c r="H98" s="321"/>
      <c r="I98" s="321"/>
      <c r="J98" s="321"/>
      <c r="K98" s="321"/>
      <c r="L98" s="321"/>
      <c r="M98" s="321"/>
      <c r="N98" s="332"/>
      <c r="O98" s="321"/>
      <c r="P98" s="321"/>
      <c r="Q98" s="321"/>
      <c r="R98" s="321"/>
      <c r="S98" s="332"/>
      <c r="T98" s="321"/>
      <c r="U98" s="321"/>
      <c r="V98" s="321"/>
      <c r="W98" s="321"/>
      <c r="X98" s="332"/>
      <c r="Y98" s="332"/>
      <c r="Z98" s="332"/>
      <c r="AA98" s="332"/>
      <c r="AB98" s="302"/>
    </row>
    <row r="99" spans="1:28" s="90" customFormat="1" ht="14.1" customHeight="1" x14ac:dyDescent="0.2">
      <c r="A99" s="301"/>
      <c r="B99" s="350" t="s">
        <v>409</v>
      </c>
      <c r="C99" s="101"/>
      <c r="D99" s="101"/>
      <c r="E99" s="101"/>
      <c r="F99" s="370" t="s">
        <v>410</v>
      </c>
      <c r="G99" s="361">
        <f t="shared" ref="G99:H101" si="189">G228+G338+G438+G568</f>
        <v>13000</v>
      </c>
      <c r="H99" s="361">
        <f t="shared" si="189"/>
        <v>0</v>
      </c>
      <c r="I99" s="330">
        <f t="shared" ref="I99:I101" si="190">G99+H99</f>
        <v>13000</v>
      </c>
      <c r="J99" s="330">
        <f t="shared" ref="J99:J101" si="191">I99</f>
        <v>13000</v>
      </c>
      <c r="K99" s="361">
        <f t="shared" ref="K99:M101" si="192">K228+K338+K438+K568</f>
        <v>0</v>
      </c>
      <c r="L99" s="361">
        <f t="shared" si="192"/>
        <v>0</v>
      </c>
      <c r="M99" s="361">
        <f t="shared" si="192"/>
        <v>840</v>
      </c>
      <c r="N99" s="276">
        <f t="shared" ref="N99:N101" si="193">J99+K99-L99+M99</f>
        <v>13840</v>
      </c>
      <c r="O99" s="361">
        <f t="shared" ref="O99:R101" si="194">O228+O338+O438+O568</f>
        <v>0</v>
      </c>
      <c r="P99" s="361">
        <f t="shared" si="194"/>
        <v>0</v>
      </c>
      <c r="Q99" s="361">
        <f t="shared" si="194"/>
        <v>3229.0600000000004</v>
      </c>
      <c r="R99" s="361">
        <f t="shared" si="194"/>
        <v>6185.3</v>
      </c>
      <c r="S99" s="342">
        <f t="shared" ref="S99:S101" si="195">SUM(O99:R99)</f>
        <v>9414.36</v>
      </c>
      <c r="T99" s="361">
        <f t="shared" ref="T99:W101" si="196">T228+T338+T438+T568</f>
        <v>0</v>
      </c>
      <c r="U99" s="361">
        <f t="shared" si="196"/>
        <v>0</v>
      </c>
      <c r="V99" s="361">
        <f t="shared" si="196"/>
        <v>3229.0600000000004</v>
      </c>
      <c r="W99" s="361">
        <f t="shared" si="196"/>
        <v>6185.3</v>
      </c>
      <c r="X99" s="342">
        <f t="shared" ref="X99:X101" si="197">SUM(T99:W99)</f>
        <v>9414.36</v>
      </c>
      <c r="Y99" s="342">
        <f t="shared" ref="Y99:Y101" si="198">I99-N99</f>
        <v>-840</v>
      </c>
      <c r="Z99" s="342">
        <f t="shared" ref="Z99:Z101" si="199">N99-S99</f>
        <v>4425.6399999999994</v>
      </c>
      <c r="AA99" s="157">
        <f>AA228+AA338+AA438+AA568</f>
        <v>0</v>
      </c>
      <c r="AB99" s="318">
        <f t="shared" ref="AB99:AB101" si="200">+S99-X99-AA99</f>
        <v>0</v>
      </c>
    </row>
    <row r="100" spans="1:28" s="90" customFormat="1" ht="14.1" customHeight="1" x14ac:dyDescent="0.2">
      <c r="A100" s="301"/>
      <c r="B100" s="350" t="s">
        <v>411</v>
      </c>
      <c r="C100" s="101"/>
      <c r="D100" s="101"/>
      <c r="E100" s="101"/>
      <c r="F100" s="370" t="s">
        <v>412</v>
      </c>
      <c r="G100" s="361">
        <f t="shared" si="189"/>
        <v>38000</v>
      </c>
      <c r="H100" s="361">
        <f t="shared" si="189"/>
        <v>0</v>
      </c>
      <c r="I100" s="330">
        <f t="shared" si="190"/>
        <v>38000</v>
      </c>
      <c r="J100" s="330">
        <f t="shared" si="191"/>
        <v>38000</v>
      </c>
      <c r="K100" s="361">
        <f t="shared" si="192"/>
        <v>0</v>
      </c>
      <c r="L100" s="361">
        <f t="shared" si="192"/>
        <v>0</v>
      </c>
      <c r="M100" s="361">
        <f t="shared" si="192"/>
        <v>6760</v>
      </c>
      <c r="N100" s="276">
        <f t="shared" si="193"/>
        <v>44760</v>
      </c>
      <c r="O100" s="361">
        <f t="shared" si="194"/>
        <v>14107.5</v>
      </c>
      <c r="P100" s="361">
        <f t="shared" si="194"/>
        <v>16886.25</v>
      </c>
      <c r="Q100" s="361">
        <f t="shared" si="194"/>
        <v>0</v>
      </c>
      <c r="R100" s="361">
        <f t="shared" si="194"/>
        <v>0</v>
      </c>
      <c r="S100" s="342">
        <f t="shared" si="195"/>
        <v>30993.75</v>
      </c>
      <c r="T100" s="361">
        <f t="shared" si="196"/>
        <v>14107.5</v>
      </c>
      <c r="U100" s="361">
        <f t="shared" si="196"/>
        <v>16886.25</v>
      </c>
      <c r="V100" s="361">
        <f t="shared" si="196"/>
        <v>0</v>
      </c>
      <c r="W100" s="361">
        <f t="shared" si="196"/>
        <v>0</v>
      </c>
      <c r="X100" s="342">
        <f t="shared" si="197"/>
        <v>30993.75</v>
      </c>
      <c r="Y100" s="342">
        <f t="shared" si="198"/>
        <v>-6760</v>
      </c>
      <c r="Z100" s="342">
        <f t="shared" si="199"/>
        <v>13766.25</v>
      </c>
      <c r="AA100" s="157">
        <f>AA229+AA339+AA439+AA569</f>
        <v>0</v>
      </c>
      <c r="AB100" s="318">
        <f t="shared" si="200"/>
        <v>0</v>
      </c>
    </row>
    <row r="101" spans="1:28" s="90" customFormat="1" ht="14.1" customHeight="1" x14ac:dyDescent="0.2">
      <c r="A101" s="301"/>
      <c r="B101" s="350" t="s">
        <v>413</v>
      </c>
      <c r="C101" s="101"/>
      <c r="D101" s="101"/>
      <c r="E101" s="101"/>
      <c r="F101" s="370" t="s">
        <v>414</v>
      </c>
      <c r="G101" s="361">
        <f t="shared" si="189"/>
        <v>157000</v>
      </c>
      <c r="H101" s="361">
        <f t="shared" si="189"/>
        <v>0</v>
      </c>
      <c r="I101" s="330">
        <f t="shared" si="190"/>
        <v>157000</v>
      </c>
      <c r="J101" s="330">
        <f t="shared" si="191"/>
        <v>157000</v>
      </c>
      <c r="K101" s="361">
        <f t="shared" si="192"/>
        <v>0</v>
      </c>
      <c r="L101" s="361">
        <f t="shared" si="192"/>
        <v>0</v>
      </c>
      <c r="M101" s="361">
        <f t="shared" si="192"/>
        <v>2500</v>
      </c>
      <c r="N101" s="276">
        <f t="shared" si="193"/>
        <v>159500</v>
      </c>
      <c r="O101" s="361">
        <f t="shared" si="194"/>
        <v>0</v>
      </c>
      <c r="P101" s="361">
        <f t="shared" si="194"/>
        <v>0</v>
      </c>
      <c r="Q101" s="361">
        <f t="shared" si="194"/>
        <v>85136.61</v>
      </c>
      <c r="R101" s="361">
        <f t="shared" si="194"/>
        <v>8758.2999999999993</v>
      </c>
      <c r="S101" s="342">
        <f t="shared" si="195"/>
        <v>93894.91</v>
      </c>
      <c r="T101" s="361">
        <f t="shared" si="196"/>
        <v>0</v>
      </c>
      <c r="U101" s="361">
        <f t="shared" si="196"/>
        <v>0</v>
      </c>
      <c r="V101" s="361">
        <f t="shared" si="196"/>
        <v>85136.61</v>
      </c>
      <c r="W101" s="361">
        <f t="shared" si="196"/>
        <v>8758.2999999999993</v>
      </c>
      <c r="X101" s="342">
        <f t="shared" si="197"/>
        <v>93894.91</v>
      </c>
      <c r="Y101" s="342">
        <f t="shared" si="198"/>
        <v>-2500</v>
      </c>
      <c r="Z101" s="342">
        <f t="shared" si="199"/>
        <v>65605.09</v>
      </c>
      <c r="AA101" s="157">
        <f>AA230+AA340+AA440+AA570</f>
        <v>0</v>
      </c>
      <c r="AB101" s="318">
        <f t="shared" si="200"/>
        <v>0</v>
      </c>
    </row>
    <row r="102" spans="1:28" s="90" customFormat="1" ht="14.1" customHeight="1" x14ac:dyDescent="0.2">
      <c r="A102" s="301"/>
      <c r="B102" s="351" t="s">
        <v>415</v>
      </c>
      <c r="C102" s="101"/>
      <c r="D102" s="101"/>
      <c r="E102" s="101"/>
      <c r="F102" s="370"/>
      <c r="G102" s="321"/>
      <c r="H102" s="321"/>
      <c r="I102" s="321"/>
      <c r="J102" s="321"/>
      <c r="K102" s="321"/>
      <c r="L102" s="321"/>
      <c r="M102" s="321"/>
      <c r="N102" s="332"/>
      <c r="O102" s="321"/>
      <c r="P102" s="321"/>
      <c r="Q102" s="321"/>
      <c r="R102" s="321"/>
      <c r="S102" s="332"/>
      <c r="T102" s="321"/>
      <c r="U102" s="321"/>
      <c r="V102" s="321"/>
      <c r="W102" s="321"/>
      <c r="X102" s="332"/>
      <c r="Y102" s="332"/>
      <c r="Z102" s="332"/>
      <c r="AA102" s="332"/>
      <c r="AB102" s="302"/>
    </row>
    <row r="103" spans="1:28" s="90" customFormat="1" ht="14.1" customHeight="1" x14ac:dyDescent="0.2">
      <c r="A103" s="301"/>
      <c r="B103" s="350" t="s">
        <v>416</v>
      </c>
      <c r="C103" s="101"/>
      <c r="D103" s="101"/>
      <c r="E103" s="101"/>
      <c r="F103" s="370" t="s">
        <v>417</v>
      </c>
      <c r="G103" s="361">
        <f t="shared" ref="G103:H115" si="201">G232+G342+G442+G572</f>
        <v>0</v>
      </c>
      <c r="H103" s="361">
        <f t="shared" si="201"/>
        <v>0</v>
      </c>
      <c r="I103" s="330">
        <f t="shared" ref="I103:I112" si="202">G103+H103</f>
        <v>0</v>
      </c>
      <c r="J103" s="330">
        <f t="shared" ref="J103:J112" si="203">I103</f>
        <v>0</v>
      </c>
      <c r="K103" s="361">
        <f t="shared" ref="K103:M115" si="204">K232+K342+K442+K572</f>
        <v>0</v>
      </c>
      <c r="L103" s="361">
        <f t="shared" si="204"/>
        <v>0</v>
      </c>
      <c r="M103" s="361">
        <f t="shared" si="204"/>
        <v>0</v>
      </c>
      <c r="N103" s="276">
        <f t="shared" ref="N103:N115" si="205">J103+K103-L103+M103</f>
        <v>0</v>
      </c>
      <c r="O103" s="361">
        <f t="shared" ref="O103:R115" si="206">O232+O342+O442+O572</f>
        <v>0</v>
      </c>
      <c r="P103" s="361">
        <f t="shared" si="206"/>
        <v>0</v>
      </c>
      <c r="Q103" s="361">
        <f t="shared" si="206"/>
        <v>0</v>
      </c>
      <c r="R103" s="361">
        <f t="shared" si="206"/>
        <v>0</v>
      </c>
      <c r="S103" s="342">
        <f t="shared" ref="S103:S112" si="207">SUM(O103:R103)</f>
        <v>0</v>
      </c>
      <c r="T103" s="361">
        <f t="shared" ref="T103:W115" si="208">T232+T342+T442+T572</f>
        <v>0</v>
      </c>
      <c r="U103" s="361">
        <f t="shared" si="208"/>
        <v>0</v>
      </c>
      <c r="V103" s="361">
        <f t="shared" si="208"/>
        <v>0</v>
      </c>
      <c r="W103" s="361">
        <f t="shared" si="208"/>
        <v>0</v>
      </c>
      <c r="X103" s="342">
        <f t="shared" ref="X103:X112" si="209">SUM(T103:W103)</f>
        <v>0</v>
      </c>
      <c r="Y103" s="342">
        <f t="shared" ref="Y103:Y112" si="210">I103-N103</f>
        <v>0</v>
      </c>
      <c r="Z103" s="342">
        <f t="shared" ref="Z103:Z112" si="211">N103-S103</f>
        <v>0</v>
      </c>
      <c r="AA103" s="157">
        <f t="shared" ref="AA103:AA115" si="212">AA232+AA342+AA442+AA572</f>
        <v>0</v>
      </c>
      <c r="AB103" s="318">
        <f t="shared" ref="AB103:AB112" si="213">+S103-X103-AA103</f>
        <v>0</v>
      </c>
    </row>
    <row r="104" spans="1:28" s="90" customFormat="1" ht="14.1" customHeight="1" x14ac:dyDescent="0.2">
      <c r="A104" s="301"/>
      <c r="B104" s="350" t="s">
        <v>418</v>
      </c>
      <c r="C104" s="101"/>
      <c r="D104" s="101"/>
      <c r="E104" s="101"/>
      <c r="F104" s="370" t="s">
        <v>419</v>
      </c>
      <c r="G104" s="361">
        <f t="shared" si="201"/>
        <v>54000</v>
      </c>
      <c r="H104" s="361">
        <f t="shared" si="201"/>
        <v>0</v>
      </c>
      <c r="I104" s="330">
        <f t="shared" si="202"/>
        <v>54000</v>
      </c>
      <c r="J104" s="330">
        <f t="shared" si="203"/>
        <v>54000</v>
      </c>
      <c r="K104" s="361">
        <f t="shared" si="204"/>
        <v>0</v>
      </c>
      <c r="L104" s="361">
        <f t="shared" si="204"/>
        <v>0</v>
      </c>
      <c r="M104" s="361">
        <f t="shared" si="204"/>
        <v>0</v>
      </c>
      <c r="N104" s="276">
        <f t="shared" si="205"/>
        <v>54000</v>
      </c>
      <c r="O104" s="361">
        <f t="shared" si="206"/>
        <v>0</v>
      </c>
      <c r="P104" s="361">
        <f t="shared" si="206"/>
        <v>0</v>
      </c>
      <c r="Q104" s="361">
        <f t="shared" si="206"/>
        <v>0</v>
      </c>
      <c r="R104" s="361">
        <f t="shared" si="206"/>
        <v>0</v>
      </c>
      <c r="S104" s="342">
        <f t="shared" si="207"/>
        <v>0</v>
      </c>
      <c r="T104" s="361">
        <f t="shared" si="208"/>
        <v>0</v>
      </c>
      <c r="U104" s="361">
        <f t="shared" si="208"/>
        <v>0</v>
      </c>
      <c r="V104" s="361">
        <f t="shared" si="208"/>
        <v>0</v>
      </c>
      <c r="W104" s="361">
        <f t="shared" si="208"/>
        <v>0</v>
      </c>
      <c r="X104" s="342">
        <f t="shared" si="209"/>
        <v>0</v>
      </c>
      <c r="Y104" s="342">
        <f t="shared" si="210"/>
        <v>0</v>
      </c>
      <c r="Z104" s="342">
        <f t="shared" si="211"/>
        <v>54000</v>
      </c>
      <c r="AA104" s="157">
        <f t="shared" si="212"/>
        <v>0</v>
      </c>
      <c r="AB104" s="318">
        <f t="shared" si="213"/>
        <v>0</v>
      </c>
    </row>
    <row r="105" spans="1:28" s="90" customFormat="1" ht="14.1" customHeight="1" x14ac:dyDescent="0.2">
      <c r="A105" s="301"/>
      <c r="B105" s="350" t="s">
        <v>420</v>
      </c>
      <c r="C105" s="101"/>
      <c r="D105" s="101"/>
      <c r="E105" s="101"/>
      <c r="F105" s="370" t="s">
        <v>421</v>
      </c>
      <c r="G105" s="361">
        <f t="shared" si="201"/>
        <v>393000</v>
      </c>
      <c r="H105" s="361">
        <f t="shared" si="201"/>
        <v>0</v>
      </c>
      <c r="I105" s="330">
        <f t="shared" si="202"/>
        <v>393000</v>
      </c>
      <c r="J105" s="330">
        <f t="shared" si="203"/>
        <v>393000</v>
      </c>
      <c r="K105" s="361">
        <f t="shared" si="204"/>
        <v>0</v>
      </c>
      <c r="L105" s="361">
        <f t="shared" si="204"/>
        <v>0</v>
      </c>
      <c r="M105" s="361">
        <f t="shared" si="204"/>
        <v>0</v>
      </c>
      <c r="N105" s="276">
        <f t="shared" si="205"/>
        <v>393000</v>
      </c>
      <c r="O105" s="361">
        <f t="shared" si="206"/>
        <v>0</v>
      </c>
      <c r="P105" s="361">
        <f t="shared" si="206"/>
        <v>0</v>
      </c>
      <c r="Q105" s="361">
        <f t="shared" si="206"/>
        <v>1848</v>
      </c>
      <c r="R105" s="361">
        <f t="shared" si="206"/>
        <v>3920</v>
      </c>
      <c r="S105" s="342">
        <f t="shared" si="207"/>
        <v>5768</v>
      </c>
      <c r="T105" s="361">
        <f t="shared" si="208"/>
        <v>0</v>
      </c>
      <c r="U105" s="361">
        <f t="shared" si="208"/>
        <v>0</v>
      </c>
      <c r="V105" s="361">
        <f t="shared" si="208"/>
        <v>1848</v>
      </c>
      <c r="W105" s="361">
        <f t="shared" si="208"/>
        <v>3920</v>
      </c>
      <c r="X105" s="342">
        <f t="shared" si="209"/>
        <v>5768</v>
      </c>
      <c r="Y105" s="342">
        <f t="shared" si="210"/>
        <v>0</v>
      </c>
      <c r="Z105" s="342">
        <f t="shared" si="211"/>
        <v>387232</v>
      </c>
      <c r="AA105" s="157">
        <f t="shared" si="212"/>
        <v>0</v>
      </c>
      <c r="AB105" s="318">
        <f t="shared" si="213"/>
        <v>0</v>
      </c>
    </row>
    <row r="106" spans="1:28" s="90" customFormat="1" ht="14.1" customHeight="1" x14ac:dyDescent="0.2">
      <c r="A106" s="301"/>
      <c r="B106" s="350" t="s">
        <v>422</v>
      </c>
      <c r="C106" s="101"/>
      <c r="D106" s="101"/>
      <c r="E106" s="101"/>
      <c r="F106" s="370" t="s">
        <v>423</v>
      </c>
      <c r="G106" s="361">
        <f t="shared" si="201"/>
        <v>1913000</v>
      </c>
      <c r="H106" s="361">
        <f t="shared" si="201"/>
        <v>0</v>
      </c>
      <c r="I106" s="330">
        <f t="shared" si="202"/>
        <v>1913000</v>
      </c>
      <c r="J106" s="330">
        <f t="shared" si="203"/>
        <v>1913000</v>
      </c>
      <c r="K106" s="361">
        <f t="shared" si="204"/>
        <v>0</v>
      </c>
      <c r="L106" s="361">
        <f t="shared" si="204"/>
        <v>0</v>
      </c>
      <c r="M106" s="361">
        <f t="shared" si="204"/>
        <v>62000</v>
      </c>
      <c r="N106" s="276">
        <f t="shared" si="205"/>
        <v>1975000</v>
      </c>
      <c r="O106" s="361">
        <f t="shared" si="206"/>
        <v>272886</v>
      </c>
      <c r="P106" s="361">
        <f t="shared" si="206"/>
        <v>39110</v>
      </c>
      <c r="Q106" s="361">
        <f t="shared" si="206"/>
        <v>623178.75</v>
      </c>
      <c r="R106" s="361">
        <f t="shared" si="206"/>
        <v>1006189</v>
      </c>
      <c r="S106" s="342">
        <f t="shared" si="207"/>
        <v>1941363.75</v>
      </c>
      <c r="T106" s="361">
        <f t="shared" si="208"/>
        <v>272886</v>
      </c>
      <c r="U106" s="361">
        <f t="shared" si="208"/>
        <v>39110</v>
      </c>
      <c r="V106" s="361">
        <f t="shared" si="208"/>
        <v>449573.75</v>
      </c>
      <c r="W106" s="361">
        <f t="shared" si="208"/>
        <v>1179789</v>
      </c>
      <c r="X106" s="342">
        <f t="shared" si="209"/>
        <v>1941358.75</v>
      </c>
      <c r="Y106" s="342">
        <f t="shared" si="210"/>
        <v>-62000</v>
      </c>
      <c r="Z106" s="342">
        <f t="shared" si="211"/>
        <v>33636.25</v>
      </c>
      <c r="AA106" s="157">
        <f t="shared" si="212"/>
        <v>5</v>
      </c>
      <c r="AB106" s="318">
        <f t="shared" si="213"/>
        <v>0</v>
      </c>
    </row>
    <row r="107" spans="1:28" s="90" customFormat="1" ht="14.1" customHeight="1" x14ac:dyDescent="0.2">
      <c r="A107" s="301"/>
      <c r="B107" s="350" t="s">
        <v>424</v>
      </c>
      <c r="C107" s="101"/>
      <c r="D107" s="101"/>
      <c r="E107" s="101"/>
      <c r="F107" s="370" t="s">
        <v>425</v>
      </c>
      <c r="G107" s="361">
        <f t="shared" si="201"/>
        <v>2147000</v>
      </c>
      <c r="H107" s="361">
        <f t="shared" si="201"/>
        <v>0</v>
      </c>
      <c r="I107" s="330">
        <f t="shared" si="202"/>
        <v>2147000</v>
      </c>
      <c r="J107" s="330">
        <f t="shared" si="203"/>
        <v>2147000</v>
      </c>
      <c r="K107" s="361">
        <f t="shared" si="204"/>
        <v>0</v>
      </c>
      <c r="L107" s="361">
        <f t="shared" si="204"/>
        <v>0</v>
      </c>
      <c r="M107" s="361">
        <f t="shared" si="204"/>
        <v>0</v>
      </c>
      <c r="N107" s="276">
        <f t="shared" si="205"/>
        <v>2147000</v>
      </c>
      <c r="O107" s="361">
        <f t="shared" si="206"/>
        <v>67666.399999999994</v>
      </c>
      <c r="P107" s="361">
        <f t="shared" si="206"/>
        <v>129585.2</v>
      </c>
      <c r="Q107" s="361">
        <f t="shared" si="206"/>
        <v>149383.6</v>
      </c>
      <c r="R107" s="361">
        <f t="shared" si="206"/>
        <v>1172734.5799999998</v>
      </c>
      <c r="S107" s="342">
        <f t="shared" si="207"/>
        <v>1519369.7799999998</v>
      </c>
      <c r="T107" s="361">
        <f t="shared" si="208"/>
        <v>67666.399999999994</v>
      </c>
      <c r="U107" s="361">
        <f t="shared" si="208"/>
        <v>129585.2</v>
      </c>
      <c r="V107" s="361">
        <f t="shared" si="208"/>
        <v>149383.6</v>
      </c>
      <c r="W107" s="361">
        <f t="shared" si="208"/>
        <v>1172734.5799999998</v>
      </c>
      <c r="X107" s="342">
        <f t="shared" si="209"/>
        <v>1519369.7799999998</v>
      </c>
      <c r="Y107" s="342">
        <f t="shared" si="210"/>
        <v>0</v>
      </c>
      <c r="Z107" s="342">
        <f t="shared" si="211"/>
        <v>627630.2200000002</v>
      </c>
      <c r="AA107" s="157">
        <f t="shared" si="212"/>
        <v>0</v>
      </c>
      <c r="AB107" s="318">
        <f t="shared" si="213"/>
        <v>0</v>
      </c>
    </row>
    <row r="108" spans="1:28" s="90" customFormat="1" ht="14.1" customHeight="1" x14ac:dyDescent="0.2">
      <c r="A108" s="301"/>
      <c r="B108" s="350" t="s">
        <v>426</v>
      </c>
      <c r="C108" s="101"/>
      <c r="D108" s="101"/>
      <c r="E108" s="101"/>
      <c r="F108" s="370" t="s">
        <v>427</v>
      </c>
      <c r="G108" s="361">
        <f t="shared" si="201"/>
        <v>0</v>
      </c>
      <c r="H108" s="361">
        <f t="shared" si="201"/>
        <v>0</v>
      </c>
      <c r="I108" s="330">
        <f t="shared" si="202"/>
        <v>0</v>
      </c>
      <c r="J108" s="330">
        <f t="shared" si="203"/>
        <v>0</v>
      </c>
      <c r="K108" s="361">
        <f t="shared" si="204"/>
        <v>0</v>
      </c>
      <c r="L108" s="361">
        <f t="shared" si="204"/>
        <v>0</v>
      </c>
      <c r="M108" s="361">
        <f t="shared" si="204"/>
        <v>0</v>
      </c>
      <c r="N108" s="276">
        <f t="shared" si="205"/>
        <v>0</v>
      </c>
      <c r="O108" s="361">
        <f t="shared" si="206"/>
        <v>0</v>
      </c>
      <c r="P108" s="361">
        <f t="shared" si="206"/>
        <v>0</v>
      </c>
      <c r="Q108" s="361">
        <f t="shared" si="206"/>
        <v>0</v>
      </c>
      <c r="R108" s="361">
        <f t="shared" si="206"/>
        <v>0</v>
      </c>
      <c r="S108" s="342">
        <f t="shared" si="207"/>
        <v>0</v>
      </c>
      <c r="T108" s="361">
        <f t="shared" si="208"/>
        <v>0</v>
      </c>
      <c r="U108" s="361">
        <f t="shared" si="208"/>
        <v>0</v>
      </c>
      <c r="V108" s="361">
        <f t="shared" si="208"/>
        <v>0</v>
      </c>
      <c r="W108" s="361">
        <f t="shared" si="208"/>
        <v>0</v>
      </c>
      <c r="X108" s="342">
        <f t="shared" si="209"/>
        <v>0</v>
      </c>
      <c r="Y108" s="342">
        <f t="shared" si="210"/>
        <v>0</v>
      </c>
      <c r="Z108" s="342">
        <f t="shared" si="211"/>
        <v>0</v>
      </c>
      <c r="AA108" s="157">
        <f t="shared" si="212"/>
        <v>0</v>
      </c>
      <c r="AB108" s="318">
        <f t="shared" si="213"/>
        <v>0</v>
      </c>
    </row>
    <row r="109" spans="1:28" s="90" customFormat="1" ht="14.1" customHeight="1" x14ac:dyDescent="0.2">
      <c r="A109" s="301"/>
      <c r="B109" s="350" t="s">
        <v>428</v>
      </c>
      <c r="C109" s="101"/>
      <c r="D109" s="101"/>
      <c r="E109" s="101"/>
      <c r="F109" s="370" t="s">
        <v>429</v>
      </c>
      <c r="G109" s="361">
        <f t="shared" si="201"/>
        <v>0</v>
      </c>
      <c r="H109" s="361">
        <f t="shared" si="201"/>
        <v>0</v>
      </c>
      <c r="I109" s="330">
        <f t="shared" si="202"/>
        <v>0</v>
      </c>
      <c r="J109" s="330">
        <f t="shared" si="203"/>
        <v>0</v>
      </c>
      <c r="K109" s="361">
        <f t="shared" si="204"/>
        <v>0</v>
      </c>
      <c r="L109" s="361">
        <f t="shared" si="204"/>
        <v>0</v>
      </c>
      <c r="M109" s="361">
        <f t="shared" si="204"/>
        <v>0</v>
      </c>
      <c r="N109" s="276">
        <f t="shared" si="205"/>
        <v>0</v>
      </c>
      <c r="O109" s="361">
        <f t="shared" si="206"/>
        <v>0</v>
      </c>
      <c r="P109" s="361">
        <f t="shared" si="206"/>
        <v>0</v>
      </c>
      <c r="Q109" s="361">
        <f t="shared" si="206"/>
        <v>0</v>
      </c>
      <c r="R109" s="361">
        <f t="shared" si="206"/>
        <v>0</v>
      </c>
      <c r="S109" s="342">
        <f t="shared" si="207"/>
        <v>0</v>
      </c>
      <c r="T109" s="361">
        <f t="shared" si="208"/>
        <v>0</v>
      </c>
      <c r="U109" s="361">
        <f t="shared" si="208"/>
        <v>0</v>
      </c>
      <c r="V109" s="361">
        <f t="shared" si="208"/>
        <v>0</v>
      </c>
      <c r="W109" s="361">
        <f t="shared" si="208"/>
        <v>0</v>
      </c>
      <c r="X109" s="342">
        <f t="shared" si="209"/>
        <v>0</v>
      </c>
      <c r="Y109" s="342">
        <f t="shared" si="210"/>
        <v>0</v>
      </c>
      <c r="Z109" s="342">
        <f t="shared" si="211"/>
        <v>0</v>
      </c>
      <c r="AA109" s="157">
        <f t="shared" si="212"/>
        <v>0</v>
      </c>
      <c r="AB109" s="318">
        <f t="shared" si="213"/>
        <v>0</v>
      </c>
    </row>
    <row r="110" spans="1:28" s="90" customFormat="1" ht="14.1" customHeight="1" x14ac:dyDescent="0.2">
      <c r="A110" s="301"/>
      <c r="B110" s="350" t="s">
        <v>718</v>
      </c>
      <c r="C110" s="615"/>
      <c r="D110" s="615"/>
      <c r="E110" s="615"/>
      <c r="F110" s="370" t="s">
        <v>719</v>
      </c>
      <c r="G110" s="361">
        <f t="shared" si="201"/>
        <v>0</v>
      </c>
      <c r="H110" s="361">
        <f t="shared" si="201"/>
        <v>0</v>
      </c>
      <c r="I110" s="330">
        <f t="shared" si="202"/>
        <v>0</v>
      </c>
      <c r="J110" s="330">
        <f t="shared" si="203"/>
        <v>0</v>
      </c>
      <c r="K110" s="361">
        <f t="shared" si="204"/>
        <v>0</v>
      </c>
      <c r="L110" s="361">
        <f t="shared" si="204"/>
        <v>0</v>
      </c>
      <c r="M110" s="361">
        <f t="shared" si="204"/>
        <v>0</v>
      </c>
      <c r="N110" s="276">
        <f t="shared" si="205"/>
        <v>0</v>
      </c>
      <c r="O110" s="361">
        <f t="shared" si="206"/>
        <v>0</v>
      </c>
      <c r="P110" s="361">
        <f t="shared" si="206"/>
        <v>0</v>
      </c>
      <c r="Q110" s="361">
        <f t="shared" si="206"/>
        <v>0</v>
      </c>
      <c r="R110" s="361">
        <f t="shared" si="206"/>
        <v>0</v>
      </c>
      <c r="S110" s="342">
        <f t="shared" si="207"/>
        <v>0</v>
      </c>
      <c r="T110" s="361">
        <f t="shared" si="208"/>
        <v>0</v>
      </c>
      <c r="U110" s="361">
        <f t="shared" si="208"/>
        <v>0</v>
      </c>
      <c r="V110" s="361">
        <f t="shared" si="208"/>
        <v>0</v>
      </c>
      <c r="W110" s="361">
        <f t="shared" si="208"/>
        <v>0</v>
      </c>
      <c r="X110" s="342">
        <f t="shared" si="209"/>
        <v>0</v>
      </c>
      <c r="Y110" s="342">
        <f t="shared" si="210"/>
        <v>0</v>
      </c>
      <c r="Z110" s="342">
        <f t="shared" si="211"/>
        <v>0</v>
      </c>
      <c r="AA110" s="157">
        <f t="shared" si="212"/>
        <v>0</v>
      </c>
      <c r="AB110" s="318">
        <f t="shared" si="213"/>
        <v>0</v>
      </c>
    </row>
    <row r="111" spans="1:28" s="90" customFormat="1" ht="14.1" customHeight="1" x14ac:dyDescent="0.2">
      <c r="A111" s="301"/>
      <c r="B111" s="350" t="s">
        <v>432</v>
      </c>
      <c r="C111" s="101"/>
      <c r="D111" s="101"/>
      <c r="E111" s="101"/>
      <c r="F111" s="370" t="s">
        <v>433</v>
      </c>
      <c r="G111" s="361">
        <f t="shared" si="201"/>
        <v>0</v>
      </c>
      <c r="H111" s="361">
        <f t="shared" si="201"/>
        <v>0</v>
      </c>
      <c r="I111" s="330">
        <f t="shared" si="202"/>
        <v>0</v>
      </c>
      <c r="J111" s="330">
        <f t="shared" si="203"/>
        <v>0</v>
      </c>
      <c r="K111" s="361">
        <f t="shared" si="204"/>
        <v>0</v>
      </c>
      <c r="L111" s="361">
        <f t="shared" si="204"/>
        <v>0</v>
      </c>
      <c r="M111" s="361">
        <f t="shared" si="204"/>
        <v>0</v>
      </c>
      <c r="N111" s="276">
        <f t="shared" si="205"/>
        <v>0</v>
      </c>
      <c r="O111" s="361">
        <f t="shared" si="206"/>
        <v>0</v>
      </c>
      <c r="P111" s="361">
        <f t="shared" si="206"/>
        <v>0</v>
      </c>
      <c r="Q111" s="361">
        <f t="shared" si="206"/>
        <v>0</v>
      </c>
      <c r="R111" s="361">
        <f t="shared" si="206"/>
        <v>0</v>
      </c>
      <c r="S111" s="342">
        <f t="shared" si="207"/>
        <v>0</v>
      </c>
      <c r="T111" s="361">
        <f t="shared" si="208"/>
        <v>0</v>
      </c>
      <c r="U111" s="361">
        <f t="shared" si="208"/>
        <v>0</v>
      </c>
      <c r="V111" s="361">
        <f t="shared" si="208"/>
        <v>0</v>
      </c>
      <c r="W111" s="361">
        <f t="shared" si="208"/>
        <v>0</v>
      </c>
      <c r="X111" s="342">
        <f t="shared" si="209"/>
        <v>0</v>
      </c>
      <c r="Y111" s="342">
        <f t="shared" si="210"/>
        <v>0</v>
      </c>
      <c r="Z111" s="342">
        <f t="shared" si="211"/>
        <v>0</v>
      </c>
      <c r="AA111" s="157">
        <f t="shared" si="212"/>
        <v>0</v>
      </c>
      <c r="AB111" s="318">
        <f t="shared" si="213"/>
        <v>0</v>
      </c>
    </row>
    <row r="112" spans="1:28" s="90" customFormat="1" ht="14.1" customHeight="1" x14ac:dyDescent="0.2">
      <c r="A112" s="301"/>
      <c r="B112" s="350" t="s">
        <v>730</v>
      </c>
      <c r="C112" s="744"/>
      <c r="D112" s="744"/>
      <c r="E112" s="744"/>
      <c r="F112" s="370" t="s">
        <v>733</v>
      </c>
      <c r="G112" s="361">
        <f t="shared" si="201"/>
        <v>0</v>
      </c>
      <c r="H112" s="361">
        <f t="shared" si="201"/>
        <v>0</v>
      </c>
      <c r="I112" s="330">
        <f t="shared" si="202"/>
        <v>0</v>
      </c>
      <c r="J112" s="330">
        <f t="shared" si="203"/>
        <v>0</v>
      </c>
      <c r="K112" s="361">
        <f t="shared" si="204"/>
        <v>0</v>
      </c>
      <c r="L112" s="361">
        <f t="shared" si="204"/>
        <v>0</v>
      </c>
      <c r="M112" s="361">
        <f t="shared" si="204"/>
        <v>0</v>
      </c>
      <c r="N112" s="276">
        <f t="shared" si="205"/>
        <v>0</v>
      </c>
      <c r="O112" s="361">
        <f t="shared" si="206"/>
        <v>0</v>
      </c>
      <c r="P112" s="361">
        <f t="shared" si="206"/>
        <v>0</v>
      </c>
      <c r="Q112" s="361">
        <f t="shared" si="206"/>
        <v>0</v>
      </c>
      <c r="R112" s="361">
        <f t="shared" si="206"/>
        <v>0</v>
      </c>
      <c r="S112" s="342">
        <f t="shared" si="207"/>
        <v>0</v>
      </c>
      <c r="T112" s="361">
        <f t="shared" si="208"/>
        <v>0</v>
      </c>
      <c r="U112" s="361">
        <f t="shared" si="208"/>
        <v>0</v>
      </c>
      <c r="V112" s="361">
        <f t="shared" si="208"/>
        <v>0</v>
      </c>
      <c r="W112" s="361">
        <f t="shared" si="208"/>
        <v>0</v>
      </c>
      <c r="X112" s="342">
        <f t="shared" si="209"/>
        <v>0</v>
      </c>
      <c r="Y112" s="342">
        <f t="shared" si="210"/>
        <v>0</v>
      </c>
      <c r="Z112" s="342">
        <f t="shared" si="211"/>
        <v>0</v>
      </c>
      <c r="AA112" s="157">
        <f t="shared" si="212"/>
        <v>0</v>
      </c>
      <c r="AB112" s="318">
        <f t="shared" si="213"/>
        <v>0</v>
      </c>
    </row>
    <row r="113" spans="1:28" s="90" customFormat="1" ht="14.1" customHeight="1" x14ac:dyDescent="0.2">
      <c r="A113" s="301"/>
      <c r="B113" s="350" t="s">
        <v>737</v>
      </c>
      <c r="C113" s="744"/>
      <c r="D113" s="744"/>
      <c r="E113" s="744"/>
      <c r="F113" s="370" t="s">
        <v>738</v>
      </c>
      <c r="G113" s="361">
        <f t="shared" si="201"/>
        <v>23000</v>
      </c>
      <c r="H113" s="361">
        <f t="shared" si="201"/>
        <v>0</v>
      </c>
      <c r="I113" s="330">
        <f t="shared" ref="I113:I115" si="214">G113+H113</f>
        <v>23000</v>
      </c>
      <c r="J113" s="330">
        <f t="shared" ref="J113:J115" si="215">I113</f>
        <v>23000</v>
      </c>
      <c r="K113" s="361">
        <f t="shared" si="204"/>
        <v>0</v>
      </c>
      <c r="L113" s="361">
        <f t="shared" si="204"/>
        <v>0</v>
      </c>
      <c r="M113" s="361">
        <f t="shared" si="204"/>
        <v>0</v>
      </c>
      <c r="N113" s="276">
        <f t="shared" si="205"/>
        <v>23000</v>
      </c>
      <c r="O113" s="361">
        <f t="shared" si="206"/>
        <v>3120</v>
      </c>
      <c r="P113" s="361">
        <f t="shared" si="206"/>
        <v>3360</v>
      </c>
      <c r="Q113" s="361">
        <f t="shared" si="206"/>
        <v>0</v>
      </c>
      <c r="R113" s="361">
        <f t="shared" si="206"/>
        <v>2395</v>
      </c>
      <c r="S113" s="342">
        <f t="shared" ref="S113:S115" si="216">SUM(O113:R113)</f>
        <v>8875</v>
      </c>
      <c r="T113" s="361">
        <f t="shared" si="208"/>
        <v>3120</v>
      </c>
      <c r="U113" s="361">
        <f t="shared" si="208"/>
        <v>3360</v>
      </c>
      <c r="V113" s="361">
        <f t="shared" si="208"/>
        <v>0</v>
      </c>
      <c r="W113" s="361">
        <f t="shared" si="208"/>
        <v>735</v>
      </c>
      <c r="X113" s="342">
        <f t="shared" ref="X113:X115" si="217">SUM(T113:W113)</f>
        <v>7215</v>
      </c>
      <c r="Y113" s="342">
        <f t="shared" ref="Y113:Y115" si="218">I113-N113</f>
        <v>0</v>
      </c>
      <c r="Z113" s="342">
        <f t="shared" ref="Z113:Z115" si="219">N113-S113</f>
        <v>14125</v>
      </c>
      <c r="AA113" s="157">
        <f t="shared" si="212"/>
        <v>0</v>
      </c>
      <c r="AB113" s="318">
        <f t="shared" ref="AB113:AB115" si="220">+S113-X113-AA113</f>
        <v>1660</v>
      </c>
    </row>
    <row r="114" spans="1:28" s="90" customFormat="1" ht="14.1" customHeight="1" x14ac:dyDescent="0.2">
      <c r="A114" s="301"/>
      <c r="B114" s="350" t="s">
        <v>434</v>
      </c>
      <c r="C114" s="718"/>
      <c r="D114" s="718"/>
      <c r="E114" s="718"/>
      <c r="F114" s="370" t="s">
        <v>435</v>
      </c>
      <c r="G114" s="361">
        <f t="shared" si="201"/>
        <v>0</v>
      </c>
      <c r="H114" s="361">
        <f t="shared" si="201"/>
        <v>0</v>
      </c>
      <c r="I114" s="330">
        <f t="shared" si="214"/>
        <v>0</v>
      </c>
      <c r="J114" s="330">
        <f t="shared" si="215"/>
        <v>0</v>
      </c>
      <c r="K114" s="361">
        <f t="shared" si="204"/>
        <v>0</v>
      </c>
      <c r="L114" s="361">
        <f t="shared" si="204"/>
        <v>0</v>
      </c>
      <c r="M114" s="361">
        <f t="shared" si="204"/>
        <v>0</v>
      </c>
      <c r="N114" s="276">
        <f t="shared" si="205"/>
        <v>0</v>
      </c>
      <c r="O114" s="361">
        <f t="shared" si="206"/>
        <v>0</v>
      </c>
      <c r="P114" s="361">
        <f t="shared" si="206"/>
        <v>0</v>
      </c>
      <c r="Q114" s="361">
        <f t="shared" si="206"/>
        <v>0</v>
      </c>
      <c r="R114" s="361">
        <f t="shared" si="206"/>
        <v>0</v>
      </c>
      <c r="S114" s="342">
        <f t="shared" si="216"/>
        <v>0</v>
      </c>
      <c r="T114" s="361">
        <f t="shared" si="208"/>
        <v>0</v>
      </c>
      <c r="U114" s="361">
        <f t="shared" si="208"/>
        <v>0</v>
      </c>
      <c r="V114" s="361">
        <f t="shared" si="208"/>
        <v>0</v>
      </c>
      <c r="W114" s="361">
        <f t="shared" si="208"/>
        <v>0</v>
      </c>
      <c r="X114" s="342">
        <f t="shared" si="217"/>
        <v>0</v>
      </c>
      <c r="Y114" s="342">
        <f t="shared" si="218"/>
        <v>0</v>
      </c>
      <c r="Z114" s="342">
        <f t="shared" si="219"/>
        <v>0</v>
      </c>
      <c r="AA114" s="157">
        <f t="shared" si="212"/>
        <v>0</v>
      </c>
      <c r="AB114" s="318">
        <f t="shared" si="220"/>
        <v>0</v>
      </c>
    </row>
    <row r="115" spans="1:28" s="90" customFormat="1" ht="14.1" customHeight="1" x14ac:dyDescent="0.2">
      <c r="A115" s="301"/>
      <c r="B115" s="350" t="s">
        <v>732</v>
      </c>
      <c r="C115" s="101"/>
      <c r="D115" s="101"/>
      <c r="E115" s="101"/>
      <c r="F115" s="370" t="s">
        <v>731</v>
      </c>
      <c r="G115" s="361">
        <f t="shared" si="201"/>
        <v>0</v>
      </c>
      <c r="H115" s="361">
        <f t="shared" si="201"/>
        <v>0</v>
      </c>
      <c r="I115" s="330">
        <f t="shared" si="214"/>
        <v>0</v>
      </c>
      <c r="J115" s="330">
        <f t="shared" si="215"/>
        <v>0</v>
      </c>
      <c r="K115" s="361">
        <f t="shared" si="204"/>
        <v>0</v>
      </c>
      <c r="L115" s="361">
        <f t="shared" si="204"/>
        <v>0</v>
      </c>
      <c r="M115" s="361">
        <f t="shared" si="204"/>
        <v>0</v>
      </c>
      <c r="N115" s="276">
        <f t="shared" si="205"/>
        <v>0</v>
      </c>
      <c r="O115" s="361">
        <f t="shared" si="206"/>
        <v>0</v>
      </c>
      <c r="P115" s="361">
        <f t="shared" si="206"/>
        <v>0</v>
      </c>
      <c r="Q115" s="361">
        <f t="shared" si="206"/>
        <v>0</v>
      </c>
      <c r="R115" s="361">
        <f t="shared" si="206"/>
        <v>0</v>
      </c>
      <c r="S115" s="342">
        <f t="shared" si="216"/>
        <v>0</v>
      </c>
      <c r="T115" s="361">
        <f t="shared" si="208"/>
        <v>0</v>
      </c>
      <c r="U115" s="361">
        <f t="shared" si="208"/>
        <v>0</v>
      </c>
      <c r="V115" s="361">
        <f t="shared" si="208"/>
        <v>0</v>
      </c>
      <c r="W115" s="361">
        <f t="shared" si="208"/>
        <v>0</v>
      </c>
      <c r="X115" s="342">
        <f t="shared" si="217"/>
        <v>0</v>
      </c>
      <c r="Y115" s="342">
        <f t="shared" si="218"/>
        <v>0</v>
      </c>
      <c r="Z115" s="342">
        <f t="shared" si="219"/>
        <v>0</v>
      </c>
      <c r="AA115" s="157">
        <f t="shared" si="212"/>
        <v>0</v>
      </c>
      <c r="AB115" s="318">
        <f t="shared" si="220"/>
        <v>0</v>
      </c>
    </row>
    <row r="116" spans="1:28" s="90" customFormat="1" ht="14.1" customHeight="1" x14ac:dyDescent="0.2">
      <c r="A116" s="301"/>
      <c r="B116" s="15"/>
      <c r="C116" s="101"/>
      <c r="D116" s="101"/>
      <c r="E116" s="101"/>
      <c r="F116" s="370"/>
      <c r="G116" s="321"/>
      <c r="H116" s="321"/>
      <c r="I116" s="321"/>
      <c r="J116" s="321"/>
      <c r="K116" s="321"/>
      <c r="L116" s="321"/>
      <c r="M116" s="321"/>
      <c r="N116" s="332"/>
      <c r="O116" s="321"/>
      <c r="P116" s="321"/>
      <c r="Q116" s="321"/>
      <c r="R116" s="321"/>
      <c r="S116" s="332"/>
      <c r="T116" s="321"/>
      <c r="U116" s="321"/>
      <c r="V116" s="321"/>
      <c r="W116" s="321"/>
      <c r="X116" s="332"/>
      <c r="Y116" s="332"/>
      <c r="Z116" s="332"/>
      <c r="AA116" s="332"/>
      <c r="AB116" s="302"/>
    </row>
    <row r="117" spans="1:28" s="360" customFormat="1" ht="14.1" customHeight="1" x14ac:dyDescent="0.2">
      <c r="A117" s="356"/>
      <c r="B117" s="357" t="s">
        <v>436</v>
      </c>
      <c r="C117" s="358"/>
      <c r="D117" s="358"/>
      <c r="E117" s="358"/>
      <c r="F117" s="369"/>
      <c r="G117" s="359">
        <f>SUM(G120:G144)</f>
        <v>1400000</v>
      </c>
      <c r="H117" s="359">
        <f>SUM(H120:H144)</f>
        <v>0</v>
      </c>
      <c r="I117" s="359">
        <f t="shared" ref="I117:AB117" si="221">SUM(I120:I144)</f>
        <v>1400000</v>
      </c>
      <c r="J117" s="359">
        <f t="shared" si="221"/>
        <v>1400000</v>
      </c>
      <c r="K117" s="359">
        <f t="shared" si="221"/>
        <v>0</v>
      </c>
      <c r="L117" s="359">
        <f t="shared" si="221"/>
        <v>0</v>
      </c>
      <c r="M117" s="359">
        <f t="shared" si="221"/>
        <v>190000</v>
      </c>
      <c r="N117" s="359">
        <f t="shared" si="221"/>
        <v>1590000</v>
      </c>
      <c r="O117" s="359">
        <f t="shared" si="221"/>
        <v>0</v>
      </c>
      <c r="P117" s="359">
        <f t="shared" si="221"/>
        <v>0</v>
      </c>
      <c r="Q117" s="359">
        <f t="shared" si="221"/>
        <v>1532049.84</v>
      </c>
      <c r="R117" s="359">
        <f t="shared" si="221"/>
        <v>0</v>
      </c>
      <c r="S117" s="359">
        <f t="shared" si="221"/>
        <v>1532049.84</v>
      </c>
      <c r="T117" s="359">
        <f t="shared" si="221"/>
        <v>0</v>
      </c>
      <c r="U117" s="359">
        <f t="shared" si="221"/>
        <v>0</v>
      </c>
      <c r="V117" s="359">
        <f t="shared" si="221"/>
        <v>1532049.84</v>
      </c>
      <c r="W117" s="359">
        <f t="shared" si="221"/>
        <v>0</v>
      </c>
      <c r="X117" s="359">
        <f t="shared" si="221"/>
        <v>1532049.84</v>
      </c>
      <c r="Y117" s="359">
        <f t="shared" si="221"/>
        <v>-190000</v>
      </c>
      <c r="Z117" s="359">
        <f t="shared" si="221"/>
        <v>57950.16</v>
      </c>
      <c r="AA117" s="741">
        <f t="shared" ref="AA117" si="222">SUM(AA120:AA144)</f>
        <v>0</v>
      </c>
      <c r="AB117" s="736">
        <f t="shared" si="221"/>
        <v>0</v>
      </c>
    </row>
    <row r="118" spans="1:28" s="90" customFormat="1" ht="14.1" customHeight="1" x14ac:dyDescent="0.2">
      <c r="A118" s="301"/>
      <c r="B118" s="347" t="s">
        <v>437</v>
      </c>
      <c r="C118" s="101"/>
      <c r="D118" s="101"/>
      <c r="E118" s="101"/>
      <c r="F118" s="370"/>
      <c r="G118" s="321"/>
      <c r="H118" s="321"/>
      <c r="I118" s="321"/>
      <c r="J118" s="321"/>
      <c r="K118" s="321"/>
      <c r="L118" s="321"/>
      <c r="M118" s="321"/>
      <c r="N118" s="332"/>
      <c r="O118" s="321"/>
      <c r="P118" s="321"/>
      <c r="Q118" s="321"/>
      <c r="R118" s="321"/>
      <c r="S118" s="332"/>
      <c r="T118" s="321"/>
      <c r="U118" s="321"/>
      <c r="V118" s="321"/>
      <c r="W118" s="321"/>
      <c r="X118" s="332"/>
      <c r="Y118" s="332"/>
      <c r="Z118" s="332"/>
      <c r="AA118" s="332"/>
      <c r="AB118" s="302"/>
    </row>
    <row r="119" spans="1:28" s="90" customFormat="1" ht="14.1" customHeight="1" x14ac:dyDescent="0.2">
      <c r="A119" s="301"/>
      <c r="B119" s="348" t="s">
        <v>438</v>
      </c>
      <c r="C119" s="101"/>
      <c r="D119" s="101"/>
      <c r="E119" s="101"/>
      <c r="F119" s="370"/>
      <c r="G119" s="321"/>
      <c r="H119" s="321"/>
      <c r="I119" s="321"/>
      <c r="J119" s="321"/>
      <c r="K119" s="321"/>
      <c r="L119" s="321"/>
      <c r="M119" s="321"/>
      <c r="N119" s="332"/>
      <c r="O119" s="321"/>
      <c r="P119" s="321"/>
      <c r="Q119" s="321"/>
      <c r="R119" s="321"/>
      <c r="S119" s="332"/>
      <c r="T119" s="321"/>
      <c r="U119" s="321"/>
      <c r="V119" s="321"/>
      <c r="W119" s="321"/>
      <c r="X119" s="332"/>
      <c r="Y119" s="332"/>
      <c r="Z119" s="332"/>
      <c r="AA119" s="332"/>
      <c r="AB119" s="302"/>
    </row>
    <row r="120" spans="1:28" s="90" customFormat="1" ht="14.1" hidden="1" customHeight="1" x14ac:dyDescent="0.2">
      <c r="A120" s="301"/>
      <c r="B120" s="349" t="s">
        <v>439</v>
      </c>
      <c r="C120" s="101"/>
      <c r="D120" s="101"/>
      <c r="E120" s="101"/>
      <c r="F120" s="370" t="s">
        <v>440</v>
      </c>
      <c r="G120" s="361">
        <f>G249+G459+G589</f>
        <v>0</v>
      </c>
      <c r="H120" s="361">
        <f>H249+H459+H589</f>
        <v>0</v>
      </c>
      <c r="I120" s="330">
        <f t="shared" ref="I120:I121" si="223">G120+H120</f>
        <v>0</v>
      </c>
      <c r="J120" s="330">
        <f t="shared" ref="J120:J121" si="224">I120</f>
        <v>0</v>
      </c>
      <c r="K120" s="361">
        <f t="shared" ref="K120:M121" si="225">K249+K459+K589</f>
        <v>0</v>
      </c>
      <c r="L120" s="361">
        <f t="shared" si="225"/>
        <v>0</v>
      </c>
      <c r="M120" s="361">
        <f t="shared" si="225"/>
        <v>0</v>
      </c>
      <c r="N120" s="276">
        <f>J120+K120-L120+M120</f>
        <v>0</v>
      </c>
      <c r="O120" s="361">
        <f t="shared" ref="O120:R121" si="226">O249+O459+O589</f>
        <v>0</v>
      </c>
      <c r="P120" s="361">
        <f t="shared" si="226"/>
        <v>0</v>
      </c>
      <c r="Q120" s="361">
        <f t="shared" si="226"/>
        <v>0</v>
      </c>
      <c r="R120" s="361">
        <f t="shared" si="226"/>
        <v>0</v>
      </c>
      <c r="S120" s="342">
        <f t="shared" ref="S120:S121" si="227">SUM(O120:R120)</f>
        <v>0</v>
      </c>
      <c r="T120" s="361">
        <f t="shared" ref="T120:W121" si="228">T249+T459+T589</f>
        <v>0</v>
      </c>
      <c r="U120" s="361">
        <f t="shared" si="228"/>
        <v>0</v>
      </c>
      <c r="V120" s="361">
        <f t="shared" si="228"/>
        <v>0</v>
      </c>
      <c r="W120" s="361">
        <f t="shared" si="228"/>
        <v>0</v>
      </c>
      <c r="X120" s="342">
        <f t="shared" ref="X120:X121" si="229">SUM(T120:W120)</f>
        <v>0</v>
      </c>
      <c r="Y120" s="342">
        <f t="shared" ref="Y120:Y121" si="230">I120-N120</f>
        <v>0</v>
      </c>
      <c r="Z120" s="342">
        <f t="shared" ref="Z120:Z121" si="231">N120-S120</f>
        <v>0</v>
      </c>
      <c r="AA120" s="157">
        <f>AA249+AA459+AA589</f>
        <v>0</v>
      </c>
      <c r="AB120" s="318">
        <f t="shared" ref="AB120:AB121" si="232">+S120-X120-AA120</f>
        <v>0</v>
      </c>
    </row>
    <row r="121" spans="1:28" s="90" customFormat="1" ht="14.1" hidden="1" customHeight="1" x14ac:dyDescent="0.2">
      <c r="A121" s="301"/>
      <c r="B121" s="349" t="s">
        <v>441</v>
      </c>
      <c r="C121" s="101"/>
      <c r="D121" s="101"/>
      <c r="E121" s="101"/>
      <c r="F121" s="370" t="s">
        <v>442</v>
      </c>
      <c r="G121" s="361">
        <f>G250+G460+G590</f>
        <v>0</v>
      </c>
      <c r="H121" s="361">
        <f>H250+H460+H590</f>
        <v>0</v>
      </c>
      <c r="I121" s="330">
        <f t="shared" si="223"/>
        <v>0</v>
      </c>
      <c r="J121" s="330">
        <f t="shared" si="224"/>
        <v>0</v>
      </c>
      <c r="K121" s="361">
        <f t="shared" si="225"/>
        <v>0</v>
      </c>
      <c r="L121" s="361">
        <f t="shared" si="225"/>
        <v>0</v>
      </c>
      <c r="M121" s="361">
        <f t="shared" si="225"/>
        <v>0</v>
      </c>
      <c r="N121" s="276">
        <f>J121+K121-L121+M121</f>
        <v>0</v>
      </c>
      <c r="O121" s="361">
        <f t="shared" si="226"/>
        <v>0</v>
      </c>
      <c r="P121" s="361">
        <f t="shared" si="226"/>
        <v>0</v>
      </c>
      <c r="Q121" s="361">
        <f t="shared" si="226"/>
        <v>0</v>
      </c>
      <c r="R121" s="361">
        <f t="shared" si="226"/>
        <v>0</v>
      </c>
      <c r="S121" s="342">
        <f t="shared" si="227"/>
        <v>0</v>
      </c>
      <c r="T121" s="361">
        <f t="shared" si="228"/>
        <v>0</v>
      </c>
      <c r="U121" s="361">
        <f t="shared" si="228"/>
        <v>0</v>
      </c>
      <c r="V121" s="361">
        <f t="shared" si="228"/>
        <v>0</v>
      </c>
      <c r="W121" s="361">
        <f t="shared" si="228"/>
        <v>0</v>
      </c>
      <c r="X121" s="342">
        <f t="shared" si="229"/>
        <v>0</v>
      </c>
      <c r="Y121" s="342">
        <f t="shared" si="230"/>
        <v>0</v>
      </c>
      <c r="Z121" s="342">
        <f t="shared" si="231"/>
        <v>0</v>
      </c>
      <c r="AA121" s="157">
        <f>AA250+AA460+AA590</f>
        <v>0</v>
      </c>
      <c r="AB121" s="318">
        <f t="shared" si="232"/>
        <v>0</v>
      </c>
    </row>
    <row r="122" spans="1:28" s="90" customFormat="1" ht="14.1" customHeight="1" x14ac:dyDescent="0.2">
      <c r="A122" s="301"/>
      <c r="B122" s="348" t="s">
        <v>443</v>
      </c>
      <c r="C122" s="101"/>
      <c r="D122" s="101"/>
      <c r="E122" s="101"/>
      <c r="F122" s="370"/>
      <c r="G122" s="321"/>
      <c r="H122" s="321"/>
      <c r="I122" s="321"/>
      <c r="J122" s="321"/>
      <c r="K122" s="321"/>
      <c r="L122" s="321"/>
      <c r="M122" s="321"/>
      <c r="N122" s="332"/>
      <c r="O122" s="321"/>
      <c r="P122" s="321"/>
      <c r="Q122" s="321"/>
      <c r="R122" s="321"/>
      <c r="S122" s="332"/>
      <c r="T122" s="321"/>
      <c r="U122" s="321"/>
      <c r="V122" s="321"/>
      <c r="W122" s="321"/>
      <c r="X122" s="332"/>
      <c r="Y122" s="332"/>
      <c r="Z122" s="332"/>
      <c r="AA122" s="332"/>
      <c r="AB122" s="302"/>
    </row>
    <row r="123" spans="1:28" s="90" customFormat="1" ht="14.1" hidden="1" customHeight="1" x14ac:dyDescent="0.2">
      <c r="A123" s="301"/>
      <c r="B123" s="349" t="s">
        <v>444</v>
      </c>
      <c r="C123" s="101"/>
      <c r="D123" s="101"/>
      <c r="E123" s="101"/>
      <c r="F123" s="370" t="s">
        <v>445</v>
      </c>
      <c r="G123" s="361">
        <f t="shared" ref="G123:H125" si="233">G252+G462+G592</f>
        <v>0</v>
      </c>
      <c r="H123" s="361">
        <f t="shared" si="233"/>
        <v>0</v>
      </c>
      <c r="I123" s="330">
        <f t="shared" ref="I123:I125" si="234">G123+H123</f>
        <v>0</v>
      </c>
      <c r="J123" s="330">
        <f t="shared" ref="J123:J125" si="235">I123</f>
        <v>0</v>
      </c>
      <c r="K123" s="361">
        <f t="shared" ref="K123:M125" si="236">K252+K462+K592</f>
        <v>0</v>
      </c>
      <c r="L123" s="361">
        <f t="shared" si="236"/>
        <v>0</v>
      </c>
      <c r="M123" s="361">
        <f t="shared" si="236"/>
        <v>0</v>
      </c>
      <c r="N123" s="276">
        <f t="shared" ref="N123:N125" si="237">J123+K123-L123+M123</f>
        <v>0</v>
      </c>
      <c r="O123" s="361">
        <f t="shared" ref="O123:R125" si="238">O252+O462+O592</f>
        <v>0</v>
      </c>
      <c r="P123" s="361">
        <f t="shared" si="238"/>
        <v>0</v>
      </c>
      <c r="Q123" s="361">
        <f t="shared" si="238"/>
        <v>0</v>
      </c>
      <c r="R123" s="361">
        <f t="shared" si="238"/>
        <v>0</v>
      </c>
      <c r="S123" s="342">
        <f t="shared" ref="S123:S125" si="239">SUM(O123:R123)</f>
        <v>0</v>
      </c>
      <c r="T123" s="361">
        <f t="shared" ref="T123:W125" si="240">T252+T462+T592</f>
        <v>0</v>
      </c>
      <c r="U123" s="361">
        <f t="shared" si="240"/>
        <v>0</v>
      </c>
      <c r="V123" s="361">
        <f t="shared" si="240"/>
        <v>0</v>
      </c>
      <c r="W123" s="361">
        <f t="shared" si="240"/>
        <v>0</v>
      </c>
      <c r="X123" s="342">
        <f t="shared" ref="X123:X125" si="241">SUM(T123:W123)</f>
        <v>0</v>
      </c>
      <c r="Y123" s="342">
        <f t="shared" ref="Y123:Y125" si="242">I123-N123</f>
        <v>0</v>
      </c>
      <c r="Z123" s="342">
        <f t="shared" ref="Z123:Z125" si="243">N123-S123</f>
        <v>0</v>
      </c>
      <c r="AA123" s="157">
        <f>AA252+AA462+AA592</f>
        <v>0</v>
      </c>
      <c r="AB123" s="318">
        <f t="shared" ref="AB123:AB125" si="244">+S123-X123-AA123</f>
        <v>0</v>
      </c>
    </row>
    <row r="124" spans="1:28" s="90" customFormat="1" ht="14.1" hidden="1" customHeight="1" x14ac:dyDescent="0.2">
      <c r="A124" s="301"/>
      <c r="B124" s="349" t="s">
        <v>446</v>
      </c>
      <c r="C124" s="101"/>
      <c r="D124" s="101"/>
      <c r="E124" s="101"/>
      <c r="F124" s="370" t="s">
        <v>447</v>
      </c>
      <c r="G124" s="361">
        <f t="shared" si="233"/>
        <v>0</v>
      </c>
      <c r="H124" s="361">
        <f t="shared" si="233"/>
        <v>0</v>
      </c>
      <c r="I124" s="330">
        <f t="shared" si="234"/>
        <v>0</v>
      </c>
      <c r="J124" s="330">
        <f t="shared" si="235"/>
        <v>0</v>
      </c>
      <c r="K124" s="361">
        <f t="shared" si="236"/>
        <v>0</v>
      </c>
      <c r="L124" s="361">
        <f t="shared" si="236"/>
        <v>0</v>
      </c>
      <c r="M124" s="361">
        <f t="shared" si="236"/>
        <v>0</v>
      </c>
      <c r="N124" s="276">
        <f t="shared" si="237"/>
        <v>0</v>
      </c>
      <c r="O124" s="361">
        <f t="shared" si="238"/>
        <v>0</v>
      </c>
      <c r="P124" s="361">
        <f t="shared" si="238"/>
        <v>0</v>
      </c>
      <c r="Q124" s="361">
        <f t="shared" si="238"/>
        <v>0</v>
      </c>
      <c r="R124" s="361">
        <f t="shared" si="238"/>
        <v>0</v>
      </c>
      <c r="S124" s="342">
        <f t="shared" si="239"/>
        <v>0</v>
      </c>
      <c r="T124" s="361">
        <f t="shared" si="240"/>
        <v>0</v>
      </c>
      <c r="U124" s="361">
        <f t="shared" si="240"/>
        <v>0</v>
      </c>
      <c r="V124" s="361">
        <f t="shared" si="240"/>
        <v>0</v>
      </c>
      <c r="W124" s="361">
        <f t="shared" si="240"/>
        <v>0</v>
      </c>
      <c r="X124" s="342">
        <f t="shared" si="241"/>
        <v>0</v>
      </c>
      <c r="Y124" s="342">
        <f t="shared" si="242"/>
        <v>0</v>
      </c>
      <c r="Z124" s="342">
        <f t="shared" si="243"/>
        <v>0</v>
      </c>
      <c r="AA124" s="157">
        <f>AA253+AA463+AA593</f>
        <v>0</v>
      </c>
      <c r="AB124" s="318">
        <f t="shared" si="244"/>
        <v>0</v>
      </c>
    </row>
    <row r="125" spans="1:28" s="90" customFormat="1" ht="14.1" hidden="1" customHeight="1" x14ac:dyDescent="0.2">
      <c r="A125" s="301"/>
      <c r="B125" s="349" t="s">
        <v>448</v>
      </c>
      <c r="C125" s="101"/>
      <c r="D125" s="101"/>
      <c r="E125" s="101"/>
      <c r="F125" s="370" t="s">
        <v>449</v>
      </c>
      <c r="G125" s="361">
        <f t="shared" si="233"/>
        <v>0</v>
      </c>
      <c r="H125" s="361">
        <f t="shared" si="233"/>
        <v>0</v>
      </c>
      <c r="I125" s="330">
        <f t="shared" si="234"/>
        <v>0</v>
      </c>
      <c r="J125" s="330">
        <f t="shared" si="235"/>
        <v>0</v>
      </c>
      <c r="K125" s="361">
        <f t="shared" si="236"/>
        <v>0</v>
      </c>
      <c r="L125" s="361">
        <f t="shared" si="236"/>
        <v>0</v>
      </c>
      <c r="M125" s="361">
        <f t="shared" si="236"/>
        <v>0</v>
      </c>
      <c r="N125" s="276">
        <f t="shared" si="237"/>
        <v>0</v>
      </c>
      <c r="O125" s="361">
        <f t="shared" si="238"/>
        <v>0</v>
      </c>
      <c r="P125" s="361">
        <f t="shared" si="238"/>
        <v>0</v>
      </c>
      <c r="Q125" s="361">
        <f t="shared" si="238"/>
        <v>0</v>
      </c>
      <c r="R125" s="361">
        <f t="shared" si="238"/>
        <v>0</v>
      </c>
      <c r="S125" s="342">
        <f t="shared" si="239"/>
        <v>0</v>
      </c>
      <c r="T125" s="361">
        <f t="shared" si="240"/>
        <v>0</v>
      </c>
      <c r="U125" s="361">
        <f t="shared" si="240"/>
        <v>0</v>
      </c>
      <c r="V125" s="361">
        <f t="shared" si="240"/>
        <v>0</v>
      </c>
      <c r="W125" s="361">
        <f t="shared" si="240"/>
        <v>0</v>
      </c>
      <c r="X125" s="342">
        <f t="shared" si="241"/>
        <v>0</v>
      </c>
      <c r="Y125" s="342">
        <f t="shared" si="242"/>
        <v>0</v>
      </c>
      <c r="Z125" s="342">
        <f t="shared" si="243"/>
        <v>0</v>
      </c>
      <c r="AA125" s="157">
        <f>AA254+AA464+AA594</f>
        <v>0</v>
      </c>
      <c r="AB125" s="318">
        <f t="shared" si="244"/>
        <v>0</v>
      </c>
    </row>
    <row r="126" spans="1:28" s="90" customFormat="1" ht="14.1" customHeight="1" x14ac:dyDescent="0.2">
      <c r="A126" s="301"/>
      <c r="B126" s="348" t="s">
        <v>450</v>
      </c>
      <c r="C126" s="101"/>
      <c r="D126" s="101"/>
      <c r="E126" s="101"/>
      <c r="F126" s="370"/>
      <c r="G126" s="321"/>
      <c r="H126" s="321"/>
      <c r="I126" s="321"/>
      <c r="J126" s="321"/>
      <c r="K126" s="321"/>
      <c r="L126" s="321"/>
      <c r="M126" s="321"/>
      <c r="N126" s="332"/>
      <c r="O126" s="321"/>
      <c r="P126" s="321"/>
      <c r="Q126" s="321"/>
      <c r="R126" s="321"/>
      <c r="S126" s="332"/>
      <c r="T126" s="321"/>
      <c r="U126" s="321"/>
      <c r="V126" s="321"/>
      <c r="W126" s="321"/>
      <c r="X126" s="332"/>
      <c r="Y126" s="332"/>
      <c r="Z126" s="332"/>
      <c r="AA126" s="332"/>
      <c r="AB126" s="302"/>
    </row>
    <row r="127" spans="1:28" s="90" customFormat="1" ht="14.1" hidden="1" customHeight="1" x14ac:dyDescent="0.2">
      <c r="A127" s="301"/>
      <c r="B127" s="349" t="s">
        <v>451</v>
      </c>
      <c r="C127" s="101"/>
      <c r="D127" s="101"/>
      <c r="E127" s="101"/>
      <c r="F127" s="370" t="s">
        <v>452</v>
      </c>
      <c r="G127" s="361">
        <f t="shared" ref="G127:H133" si="245">G256+G466+G596</f>
        <v>0</v>
      </c>
      <c r="H127" s="361">
        <f t="shared" si="245"/>
        <v>0</v>
      </c>
      <c r="I127" s="330">
        <f t="shared" ref="I127:I133" si="246">G127+H127</f>
        <v>0</v>
      </c>
      <c r="J127" s="330">
        <f t="shared" ref="J127:J133" si="247">I127</f>
        <v>0</v>
      </c>
      <c r="K127" s="361">
        <f t="shared" ref="K127:M133" si="248">K256+K466+K596</f>
        <v>0</v>
      </c>
      <c r="L127" s="361">
        <f t="shared" si="248"/>
        <v>0</v>
      </c>
      <c r="M127" s="361">
        <f t="shared" si="248"/>
        <v>0</v>
      </c>
      <c r="N127" s="276">
        <f t="shared" ref="N127:N133" si="249">J127+K127-L127+M127</f>
        <v>0</v>
      </c>
      <c r="O127" s="361">
        <f t="shared" ref="O127:R133" si="250">O256+O466+O596</f>
        <v>0</v>
      </c>
      <c r="P127" s="361">
        <f t="shared" si="250"/>
        <v>0</v>
      </c>
      <c r="Q127" s="361">
        <f t="shared" si="250"/>
        <v>0</v>
      </c>
      <c r="R127" s="361">
        <f t="shared" si="250"/>
        <v>0</v>
      </c>
      <c r="S127" s="342">
        <f t="shared" ref="S127:S133" si="251">SUM(O127:R127)</f>
        <v>0</v>
      </c>
      <c r="T127" s="361">
        <f t="shared" ref="T127:W133" si="252">T256+T466+T596</f>
        <v>0</v>
      </c>
      <c r="U127" s="361">
        <f t="shared" si="252"/>
        <v>0</v>
      </c>
      <c r="V127" s="361">
        <f t="shared" si="252"/>
        <v>0</v>
      </c>
      <c r="W127" s="361">
        <f t="shared" si="252"/>
        <v>0</v>
      </c>
      <c r="X127" s="342">
        <f t="shared" ref="X127:X133" si="253">SUM(T127:W127)</f>
        <v>0</v>
      </c>
      <c r="Y127" s="342">
        <f t="shared" ref="Y127:Y133" si="254">I127-N127</f>
        <v>0</v>
      </c>
      <c r="Z127" s="342">
        <f t="shared" ref="Z127:Z133" si="255">N127-S127</f>
        <v>0</v>
      </c>
      <c r="AA127" s="157">
        <f t="shared" ref="AA127:AA133" si="256">AA256+AA466+AA596</f>
        <v>0</v>
      </c>
      <c r="AB127" s="318">
        <f t="shared" ref="AB127:AB133" si="257">+S127-X127-AA127</f>
        <v>0</v>
      </c>
    </row>
    <row r="128" spans="1:28" s="90" customFormat="1" ht="14.1" hidden="1" customHeight="1" x14ac:dyDescent="0.2">
      <c r="A128" s="301"/>
      <c r="B128" s="349" t="s">
        <v>453</v>
      </c>
      <c r="C128" s="101"/>
      <c r="D128" s="101"/>
      <c r="E128" s="101"/>
      <c r="F128" s="370" t="s">
        <v>454</v>
      </c>
      <c r="G128" s="361">
        <f t="shared" si="245"/>
        <v>0</v>
      </c>
      <c r="H128" s="361">
        <f t="shared" si="245"/>
        <v>0</v>
      </c>
      <c r="I128" s="330">
        <f t="shared" si="246"/>
        <v>0</v>
      </c>
      <c r="J128" s="330">
        <f t="shared" si="247"/>
        <v>0</v>
      </c>
      <c r="K128" s="361">
        <f t="shared" si="248"/>
        <v>0</v>
      </c>
      <c r="L128" s="361">
        <f t="shared" si="248"/>
        <v>0</v>
      </c>
      <c r="M128" s="361">
        <f t="shared" si="248"/>
        <v>0</v>
      </c>
      <c r="N128" s="276">
        <f t="shared" si="249"/>
        <v>0</v>
      </c>
      <c r="O128" s="361">
        <f t="shared" si="250"/>
        <v>0</v>
      </c>
      <c r="P128" s="361">
        <f t="shared" si="250"/>
        <v>0</v>
      </c>
      <c r="Q128" s="361">
        <f t="shared" si="250"/>
        <v>0</v>
      </c>
      <c r="R128" s="361">
        <f t="shared" si="250"/>
        <v>0</v>
      </c>
      <c r="S128" s="342">
        <f t="shared" si="251"/>
        <v>0</v>
      </c>
      <c r="T128" s="361">
        <f t="shared" si="252"/>
        <v>0</v>
      </c>
      <c r="U128" s="361">
        <f t="shared" si="252"/>
        <v>0</v>
      </c>
      <c r="V128" s="361">
        <f t="shared" si="252"/>
        <v>0</v>
      </c>
      <c r="W128" s="361">
        <f t="shared" si="252"/>
        <v>0</v>
      </c>
      <c r="X128" s="342">
        <f t="shared" si="253"/>
        <v>0</v>
      </c>
      <c r="Y128" s="342">
        <f t="shared" si="254"/>
        <v>0</v>
      </c>
      <c r="Z128" s="342">
        <f t="shared" si="255"/>
        <v>0</v>
      </c>
      <c r="AA128" s="157">
        <f t="shared" si="256"/>
        <v>0</v>
      </c>
      <c r="AB128" s="318">
        <f t="shared" si="257"/>
        <v>0</v>
      </c>
    </row>
    <row r="129" spans="1:28" s="90" customFormat="1" ht="14.1" customHeight="1" x14ac:dyDescent="0.2">
      <c r="A129" s="301"/>
      <c r="B129" s="349" t="s">
        <v>455</v>
      </c>
      <c r="C129" s="101"/>
      <c r="D129" s="101"/>
      <c r="E129" s="101"/>
      <c r="F129" s="370" t="s">
        <v>456</v>
      </c>
      <c r="G129" s="361">
        <f t="shared" si="245"/>
        <v>0</v>
      </c>
      <c r="H129" s="361">
        <f t="shared" si="245"/>
        <v>0</v>
      </c>
      <c r="I129" s="330">
        <f t="shared" si="246"/>
        <v>0</v>
      </c>
      <c r="J129" s="330">
        <f t="shared" si="247"/>
        <v>0</v>
      </c>
      <c r="K129" s="361">
        <f t="shared" si="248"/>
        <v>0</v>
      </c>
      <c r="L129" s="361">
        <f t="shared" si="248"/>
        <v>0</v>
      </c>
      <c r="M129" s="361">
        <f t="shared" si="248"/>
        <v>190000</v>
      </c>
      <c r="N129" s="276">
        <f t="shared" si="249"/>
        <v>190000</v>
      </c>
      <c r="O129" s="361">
        <f t="shared" si="250"/>
        <v>0</v>
      </c>
      <c r="P129" s="361">
        <f t="shared" si="250"/>
        <v>0</v>
      </c>
      <c r="Q129" s="361">
        <f t="shared" si="250"/>
        <v>132049.84</v>
      </c>
      <c r="R129" s="361">
        <f t="shared" si="250"/>
        <v>0</v>
      </c>
      <c r="S129" s="342">
        <f t="shared" si="251"/>
        <v>132049.84</v>
      </c>
      <c r="T129" s="361">
        <f t="shared" si="252"/>
        <v>0</v>
      </c>
      <c r="U129" s="361">
        <f t="shared" si="252"/>
        <v>0</v>
      </c>
      <c r="V129" s="361">
        <f t="shared" si="252"/>
        <v>132049.84</v>
      </c>
      <c r="W129" s="361">
        <f t="shared" si="252"/>
        <v>0</v>
      </c>
      <c r="X129" s="342">
        <f t="shared" si="253"/>
        <v>132049.84</v>
      </c>
      <c r="Y129" s="342">
        <f t="shared" si="254"/>
        <v>-190000</v>
      </c>
      <c r="Z129" s="342">
        <f t="shared" si="255"/>
        <v>57950.16</v>
      </c>
      <c r="AA129" s="157">
        <f t="shared" si="256"/>
        <v>0</v>
      </c>
      <c r="AB129" s="318">
        <f t="shared" si="257"/>
        <v>0</v>
      </c>
    </row>
    <row r="130" spans="1:28" s="90" customFormat="1" ht="14.1" hidden="1" customHeight="1" x14ac:dyDescent="0.2">
      <c r="A130" s="301"/>
      <c r="B130" s="349" t="s">
        <v>457</v>
      </c>
      <c r="C130" s="101"/>
      <c r="D130" s="101"/>
      <c r="E130" s="101"/>
      <c r="F130" s="370" t="s">
        <v>458</v>
      </c>
      <c r="G130" s="361">
        <f t="shared" si="245"/>
        <v>0</v>
      </c>
      <c r="H130" s="361">
        <f t="shared" si="245"/>
        <v>0</v>
      </c>
      <c r="I130" s="330">
        <f t="shared" si="246"/>
        <v>0</v>
      </c>
      <c r="J130" s="330">
        <f t="shared" si="247"/>
        <v>0</v>
      </c>
      <c r="K130" s="361">
        <f t="shared" si="248"/>
        <v>0</v>
      </c>
      <c r="L130" s="361">
        <f t="shared" si="248"/>
        <v>0</v>
      </c>
      <c r="M130" s="361">
        <f t="shared" si="248"/>
        <v>0</v>
      </c>
      <c r="N130" s="276">
        <f t="shared" si="249"/>
        <v>0</v>
      </c>
      <c r="O130" s="361">
        <f t="shared" si="250"/>
        <v>0</v>
      </c>
      <c r="P130" s="361">
        <f t="shared" si="250"/>
        <v>0</v>
      </c>
      <c r="Q130" s="361">
        <f t="shared" si="250"/>
        <v>0</v>
      </c>
      <c r="R130" s="361">
        <f t="shared" si="250"/>
        <v>0</v>
      </c>
      <c r="S130" s="342">
        <f t="shared" si="251"/>
        <v>0</v>
      </c>
      <c r="T130" s="361">
        <f t="shared" si="252"/>
        <v>0</v>
      </c>
      <c r="U130" s="361">
        <f t="shared" si="252"/>
        <v>0</v>
      </c>
      <c r="V130" s="361">
        <f t="shared" si="252"/>
        <v>0</v>
      </c>
      <c r="W130" s="361">
        <f t="shared" si="252"/>
        <v>0</v>
      </c>
      <c r="X130" s="342">
        <f t="shared" si="253"/>
        <v>0</v>
      </c>
      <c r="Y130" s="342">
        <f t="shared" si="254"/>
        <v>0</v>
      </c>
      <c r="Z130" s="342">
        <f t="shared" si="255"/>
        <v>0</v>
      </c>
      <c r="AA130" s="157">
        <f t="shared" si="256"/>
        <v>0</v>
      </c>
      <c r="AB130" s="318">
        <f t="shared" si="257"/>
        <v>0</v>
      </c>
    </row>
    <row r="131" spans="1:28" s="90" customFormat="1" ht="14.1" hidden="1" customHeight="1" x14ac:dyDescent="0.2">
      <c r="A131" s="301"/>
      <c r="B131" s="349" t="s">
        <v>459</v>
      </c>
      <c r="C131" s="101"/>
      <c r="D131" s="101"/>
      <c r="E131" s="101"/>
      <c r="F131" s="370" t="s">
        <v>460</v>
      </c>
      <c r="G131" s="361">
        <f t="shared" si="245"/>
        <v>0</v>
      </c>
      <c r="H131" s="361">
        <f t="shared" si="245"/>
        <v>0</v>
      </c>
      <c r="I131" s="330">
        <f t="shared" si="246"/>
        <v>0</v>
      </c>
      <c r="J131" s="330">
        <f t="shared" si="247"/>
        <v>0</v>
      </c>
      <c r="K131" s="361">
        <f t="shared" si="248"/>
        <v>0</v>
      </c>
      <c r="L131" s="361">
        <f t="shared" si="248"/>
        <v>0</v>
      </c>
      <c r="M131" s="361">
        <f t="shared" si="248"/>
        <v>0</v>
      </c>
      <c r="N131" s="276">
        <f t="shared" si="249"/>
        <v>0</v>
      </c>
      <c r="O131" s="361">
        <f t="shared" si="250"/>
        <v>0</v>
      </c>
      <c r="P131" s="361">
        <f t="shared" si="250"/>
        <v>0</v>
      </c>
      <c r="Q131" s="361">
        <f t="shared" si="250"/>
        <v>0</v>
      </c>
      <c r="R131" s="361">
        <f t="shared" si="250"/>
        <v>0</v>
      </c>
      <c r="S131" s="342">
        <f t="shared" si="251"/>
        <v>0</v>
      </c>
      <c r="T131" s="361">
        <f t="shared" si="252"/>
        <v>0</v>
      </c>
      <c r="U131" s="361">
        <f t="shared" si="252"/>
        <v>0</v>
      </c>
      <c r="V131" s="361">
        <f t="shared" si="252"/>
        <v>0</v>
      </c>
      <c r="W131" s="361">
        <f t="shared" si="252"/>
        <v>0</v>
      </c>
      <c r="X131" s="342">
        <f t="shared" si="253"/>
        <v>0</v>
      </c>
      <c r="Y131" s="342">
        <f t="shared" si="254"/>
        <v>0</v>
      </c>
      <c r="Z131" s="342">
        <f t="shared" si="255"/>
        <v>0</v>
      </c>
      <c r="AA131" s="157">
        <f t="shared" si="256"/>
        <v>0</v>
      </c>
      <c r="AB131" s="318">
        <f t="shared" si="257"/>
        <v>0</v>
      </c>
    </row>
    <row r="132" spans="1:28" s="90" customFormat="1" ht="14.1" hidden="1" customHeight="1" x14ac:dyDescent="0.2">
      <c r="A132" s="301"/>
      <c r="B132" s="349" t="s">
        <v>461</v>
      </c>
      <c r="C132" s="101"/>
      <c r="D132" s="101"/>
      <c r="E132" s="101"/>
      <c r="F132" s="370" t="s">
        <v>462</v>
      </c>
      <c r="G132" s="361">
        <f t="shared" si="245"/>
        <v>0</v>
      </c>
      <c r="H132" s="361">
        <f t="shared" si="245"/>
        <v>0</v>
      </c>
      <c r="I132" s="330">
        <f t="shared" si="246"/>
        <v>0</v>
      </c>
      <c r="J132" s="330">
        <f t="shared" si="247"/>
        <v>0</v>
      </c>
      <c r="K132" s="361">
        <f t="shared" si="248"/>
        <v>0</v>
      </c>
      <c r="L132" s="361">
        <f t="shared" si="248"/>
        <v>0</v>
      </c>
      <c r="M132" s="361">
        <f t="shared" si="248"/>
        <v>0</v>
      </c>
      <c r="N132" s="276">
        <f t="shared" si="249"/>
        <v>0</v>
      </c>
      <c r="O132" s="361">
        <f t="shared" si="250"/>
        <v>0</v>
      </c>
      <c r="P132" s="361">
        <f t="shared" si="250"/>
        <v>0</v>
      </c>
      <c r="Q132" s="361">
        <f t="shared" si="250"/>
        <v>0</v>
      </c>
      <c r="R132" s="361">
        <f t="shared" si="250"/>
        <v>0</v>
      </c>
      <c r="S132" s="342">
        <f t="shared" si="251"/>
        <v>0</v>
      </c>
      <c r="T132" s="361">
        <f t="shared" si="252"/>
        <v>0</v>
      </c>
      <c r="U132" s="361">
        <f t="shared" si="252"/>
        <v>0</v>
      </c>
      <c r="V132" s="361">
        <f t="shared" si="252"/>
        <v>0</v>
      </c>
      <c r="W132" s="361">
        <f t="shared" si="252"/>
        <v>0</v>
      </c>
      <c r="X132" s="342">
        <f t="shared" si="253"/>
        <v>0</v>
      </c>
      <c r="Y132" s="342">
        <f t="shared" si="254"/>
        <v>0</v>
      </c>
      <c r="Z132" s="342">
        <f t="shared" si="255"/>
        <v>0</v>
      </c>
      <c r="AA132" s="157">
        <f t="shared" si="256"/>
        <v>0</v>
      </c>
      <c r="AB132" s="318">
        <f t="shared" si="257"/>
        <v>0</v>
      </c>
    </row>
    <row r="133" spans="1:28" s="90" customFormat="1" ht="14.1" hidden="1" customHeight="1" x14ac:dyDescent="0.2">
      <c r="A133" s="301"/>
      <c r="B133" s="349" t="s">
        <v>463</v>
      </c>
      <c r="C133" s="101"/>
      <c r="D133" s="101"/>
      <c r="E133" s="101"/>
      <c r="F133" s="370" t="s">
        <v>464</v>
      </c>
      <c r="G133" s="361">
        <f t="shared" si="245"/>
        <v>0</v>
      </c>
      <c r="H133" s="361">
        <f t="shared" si="245"/>
        <v>0</v>
      </c>
      <c r="I133" s="330">
        <f t="shared" si="246"/>
        <v>0</v>
      </c>
      <c r="J133" s="330">
        <f t="shared" si="247"/>
        <v>0</v>
      </c>
      <c r="K133" s="361">
        <f t="shared" si="248"/>
        <v>0</v>
      </c>
      <c r="L133" s="361">
        <f t="shared" si="248"/>
        <v>0</v>
      </c>
      <c r="M133" s="361">
        <f t="shared" si="248"/>
        <v>0</v>
      </c>
      <c r="N133" s="276">
        <f t="shared" si="249"/>
        <v>0</v>
      </c>
      <c r="O133" s="361">
        <f t="shared" si="250"/>
        <v>0</v>
      </c>
      <c r="P133" s="361">
        <f t="shared" si="250"/>
        <v>0</v>
      </c>
      <c r="Q133" s="361">
        <f t="shared" si="250"/>
        <v>0</v>
      </c>
      <c r="R133" s="361">
        <f t="shared" si="250"/>
        <v>0</v>
      </c>
      <c r="S133" s="342">
        <f t="shared" si="251"/>
        <v>0</v>
      </c>
      <c r="T133" s="361">
        <f t="shared" si="252"/>
        <v>0</v>
      </c>
      <c r="U133" s="361">
        <f t="shared" si="252"/>
        <v>0</v>
      </c>
      <c r="V133" s="361">
        <f t="shared" si="252"/>
        <v>0</v>
      </c>
      <c r="W133" s="361">
        <f t="shared" si="252"/>
        <v>0</v>
      </c>
      <c r="X133" s="342">
        <f t="shared" si="253"/>
        <v>0</v>
      </c>
      <c r="Y133" s="342">
        <f t="shared" si="254"/>
        <v>0</v>
      </c>
      <c r="Z133" s="342">
        <f t="shared" si="255"/>
        <v>0</v>
      </c>
      <c r="AA133" s="157">
        <f t="shared" si="256"/>
        <v>0</v>
      </c>
      <c r="AB133" s="318">
        <f t="shared" si="257"/>
        <v>0</v>
      </c>
    </row>
    <row r="134" spans="1:28" s="90" customFormat="1" ht="14.1" customHeight="1" x14ac:dyDescent="0.2">
      <c r="A134" s="301"/>
      <c r="B134" s="348" t="s">
        <v>465</v>
      </c>
      <c r="C134" s="101"/>
      <c r="D134" s="101"/>
      <c r="E134" s="101"/>
      <c r="F134" s="370"/>
      <c r="G134" s="321"/>
      <c r="H134" s="321"/>
      <c r="I134" s="321"/>
      <c r="J134" s="321"/>
      <c r="K134" s="321"/>
      <c r="L134" s="321"/>
      <c r="M134" s="321"/>
      <c r="N134" s="332"/>
      <c r="O134" s="321"/>
      <c r="P134" s="321"/>
      <c r="Q134" s="321"/>
      <c r="R134" s="321"/>
      <c r="S134" s="332"/>
      <c r="T134" s="321"/>
      <c r="U134" s="321"/>
      <c r="V134" s="321"/>
      <c r="W134" s="321"/>
      <c r="X134" s="332"/>
      <c r="Y134" s="332"/>
      <c r="Z134" s="332"/>
      <c r="AA134" s="332"/>
      <c r="AB134" s="302"/>
    </row>
    <row r="135" spans="1:28" s="90" customFormat="1" ht="14.1" customHeight="1" x14ac:dyDescent="0.2">
      <c r="A135" s="301"/>
      <c r="B135" s="349" t="s">
        <v>466</v>
      </c>
      <c r="C135" s="101"/>
      <c r="D135" s="101"/>
      <c r="E135" s="101"/>
      <c r="F135" s="370" t="s">
        <v>467</v>
      </c>
      <c r="G135" s="361">
        <f t="shared" ref="G135:H137" si="258">G264+G474+G604</f>
        <v>1400000</v>
      </c>
      <c r="H135" s="361">
        <f t="shared" si="258"/>
        <v>0</v>
      </c>
      <c r="I135" s="330">
        <f t="shared" ref="I135:I137" si="259">G135+H135</f>
        <v>1400000</v>
      </c>
      <c r="J135" s="330">
        <f t="shared" ref="J135:J137" si="260">I135</f>
        <v>1400000</v>
      </c>
      <c r="K135" s="361">
        <f t="shared" ref="K135:M137" si="261">K264+K474+K604</f>
        <v>0</v>
      </c>
      <c r="L135" s="361">
        <f t="shared" si="261"/>
        <v>0</v>
      </c>
      <c r="M135" s="361">
        <f t="shared" si="261"/>
        <v>0</v>
      </c>
      <c r="N135" s="276">
        <f t="shared" ref="N135:N137" si="262">J135+K135-L135+M135</f>
        <v>1400000</v>
      </c>
      <c r="O135" s="361">
        <f t="shared" ref="O135:R137" si="263">O264+O474+O604</f>
        <v>0</v>
      </c>
      <c r="P135" s="361">
        <f t="shared" si="263"/>
        <v>0</v>
      </c>
      <c r="Q135" s="361">
        <f t="shared" si="263"/>
        <v>1400000</v>
      </c>
      <c r="R135" s="361">
        <f t="shared" si="263"/>
        <v>0</v>
      </c>
      <c r="S135" s="342">
        <f t="shared" ref="S135:S137" si="264">SUM(O135:R135)</f>
        <v>1400000</v>
      </c>
      <c r="T135" s="361">
        <f t="shared" ref="T135:W137" si="265">T264+T474+T604</f>
        <v>0</v>
      </c>
      <c r="U135" s="361">
        <f t="shared" si="265"/>
        <v>0</v>
      </c>
      <c r="V135" s="361">
        <f t="shared" si="265"/>
        <v>1400000</v>
      </c>
      <c r="W135" s="361">
        <f t="shared" si="265"/>
        <v>0</v>
      </c>
      <c r="X135" s="342">
        <f t="shared" ref="X135:X137" si="266">SUM(T135:W135)</f>
        <v>1400000</v>
      </c>
      <c r="Y135" s="342">
        <f t="shared" ref="Y135:Y137" si="267">I135-N135</f>
        <v>0</v>
      </c>
      <c r="Z135" s="342">
        <f t="shared" ref="Z135:Z137" si="268">N135-S135</f>
        <v>0</v>
      </c>
      <c r="AA135" s="157">
        <f>AA264+AA474+AA604</f>
        <v>0</v>
      </c>
      <c r="AB135" s="318">
        <f t="shared" ref="AB135:AB137" si="269">+S135-X135-AA135</f>
        <v>0</v>
      </c>
    </row>
    <row r="136" spans="1:28" s="90" customFormat="1" ht="14.1" hidden="1" customHeight="1" x14ac:dyDescent="0.2">
      <c r="A136" s="301"/>
      <c r="B136" s="349" t="s">
        <v>468</v>
      </c>
      <c r="C136" s="101"/>
      <c r="D136" s="101"/>
      <c r="E136" s="101"/>
      <c r="F136" s="370" t="s">
        <v>469</v>
      </c>
      <c r="G136" s="361">
        <f t="shared" si="258"/>
        <v>0</v>
      </c>
      <c r="H136" s="361">
        <f t="shared" si="258"/>
        <v>0</v>
      </c>
      <c r="I136" s="330">
        <f t="shared" si="259"/>
        <v>0</v>
      </c>
      <c r="J136" s="330">
        <f t="shared" si="260"/>
        <v>0</v>
      </c>
      <c r="K136" s="361">
        <f t="shared" si="261"/>
        <v>0</v>
      </c>
      <c r="L136" s="361">
        <f t="shared" si="261"/>
        <v>0</v>
      </c>
      <c r="M136" s="361">
        <f t="shared" si="261"/>
        <v>0</v>
      </c>
      <c r="N136" s="276">
        <f t="shared" si="262"/>
        <v>0</v>
      </c>
      <c r="O136" s="361">
        <f t="shared" si="263"/>
        <v>0</v>
      </c>
      <c r="P136" s="361">
        <f t="shared" si="263"/>
        <v>0</v>
      </c>
      <c r="Q136" s="361">
        <f t="shared" si="263"/>
        <v>0</v>
      </c>
      <c r="R136" s="361">
        <f t="shared" si="263"/>
        <v>0</v>
      </c>
      <c r="S136" s="342">
        <f t="shared" si="264"/>
        <v>0</v>
      </c>
      <c r="T136" s="361">
        <f t="shared" si="265"/>
        <v>0</v>
      </c>
      <c r="U136" s="361">
        <f t="shared" si="265"/>
        <v>0</v>
      </c>
      <c r="V136" s="361">
        <f t="shared" si="265"/>
        <v>0</v>
      </c>
      <c r="W136" s="361">
        <f t="shared" si="265"/>
        <v>0</v>
      </c>
      <c r="X136" s="342">
        <f t="shared" si="266"/>
        <v>0</v>
      </c>
      <c r="Y136" s="342">
        <f t="shared" si="267"/>
        <v>0</v>
      </c>
      <c r="Z136" s="342">
        <f t="shared" si="268"/>
        <v>0</v>
      </c>
      <c r="AA136" s="157">
        <f>AA265+AA475+AA605</f>
        <v>0</v>
      </c>
      <c r="AB136" s="318">
        <f t="shared" si="269"/>
        <v>0</v>
      </c>
    </row>
    <row r="137" spans="1:28" s="90" customFormat="1" ht="14.1" hidden="1" customHeight="1" x14ac:dyDescent="0.2">
      <c r="A137" s="301"/>
      <c r="B137" s="349" t="s">
        <v>470</v>
      </c>
      <c r="C137" s="101"/>
      <c r="D137" s="101"/>
      <c r="E137" s="101"/>
      <c r="F137" s="370" t="s">
        <v>471</v>
      </c>
      <c r="G137" s="361">
        <f t="shared" si="258"/>
        <v>0</v>
      </c>
      <c r="H137" s="361">
        <f t="shared" si="258"/>
        <v>0</v>
      </c>
      <c r="I137" s="330">
        <f t="shared" si="259"/>
        <v>0</v>
      </c>
      <c r="J137" s="330">
        <f t="shared" si="260"/>
        <v>0</v>
      </c>
      <c r="K137" s="361">
        <f t="shared" si="261"/>
        <v>0</v>
      </c>
      <c r="L137" s="361">
        <f t="shared" si="261"/>
        <v>0</v>
      </c>
      <c r="M137" s="361">
        <f t="shared" si="261"/>
        <v>0</v>
      </c>
      <c r="N137" s="276">
        <f t="shared" si="262"/>
        <v>0</v>
      </c>
      <c r="O137" s="361">
        <f t="shared" si="263"/>
        <v>0</v>
      </c>
      <c r="P137" s="361">
        <f t="shared" si="263"/>
        <v>0</v>
      </c>
      <c r="Q137" s="361">
        <f t="shared" si="263"/>
        <v>0</v>
      </c>
      <c r="R137" s="361">
        <f t="shared" si="263"/>
        <v>0</v>
      </c>
      <c r="S137" s="342">
        <f t="shared" si="264"/>
        <v>0</v>
      </c>
      <c r="T137" s="361">
        <f t="shared" si="265"/>
        <v>0</v>
      </c>
      <c r="U137" s="361">
        <f t="shared" si="265"/>
        <v>0</v>
      </c>
      <c r="V137" s="361">
        <f t="shared" si="265"/>
        <v>0</v>
      </c>
      <c r="W137" s="361">
        <f t="shared" si="265"/>
        <v>0</v>
      </c>
      <c r="X137" s="342">
        <f t="shared" si="266"/>
        <v>0</v>
      </c>
      <c r="Y137" s="342">
        <f t="shared" si="267"/>
        <v>0</v>
      </c>
      <c r="Z137" s="342">
        <f t="shared" si="268"/>
        <v>0</v>
      </c>
      <c r="AA137" s="157">
        <f>AA266+AA476+AA606</f>
        <v>0</v>
      </c>
      <c r="AB137" s="318">
        <f t="shared" si="269"/>
        <v>0</v>
      </c>
    </row>
    <row r="138" spans="1:28" s="90" customFormat="1" ht="14.1" customHeight="1" x14ac:dyDescent="0.2">
      <c r="A138" s="301"/>
      <c r="B138" s="348" t="s">
        <v>472</v>
      </c>
      <c r="C138" s="101"/>
      <c r="D138" s="101"/>
      <c r="E138" s="101"/>
      <c r="F138" s="370"/>
      <c r="G138" s="321"/>
      <c r="H138" s="321"/>
      <c r="I138" s="321"/>
      <c r="J138" s="321"/>
      <c r="K138" s="321"/>
      <c r="L138" s="321"/>
      <c r="M138" s="321"/>
      <c r="N138" s="332"/>
      <c r="O138" s="321"/>
      <c r="P138" s="321"/>
      <c r="Q138" s="321"/>
      <c r="R138" s="321"/>
      <c r="S138" s="332"/>
      <c r="T138" s="321"/>
      <c r="U138" s="321"/>
      <c r="V138" s="321"/>
      <c r="W138" s="321"/>
      <c r="X138" s="332"/>
      <c r="Y138" s="332"/>
      <c r="Z138" s="332"/>
      <c r="AA138" s="332"/>
      <c r="AB138" s="302"/>
    </row>
    <row r="139" spans="1:28" s="90" customFormat="1" ht="14.1" hidden="1" customHeight="1" x14ac:dyDescent="0.2">
      <c r="A139" s="301"/>
      <c r="B139" s="349" t="s">
        <v>473</v>
      </c>
      <c r="C139" s="101"/>
      <c r="D139" s="101"/>
      <c r="E139" s="101"/>
      <c r="F139" s="370" t="s">
        <v>474</v>
      </c>
      <c r="G139" s="361">
        <f>G268+G478+G608</f>
        <v>0</v>
      </c>
      <c r="H139" s="361">
        <f>H268+H478+H608</f>
        <v>0</v>
      </c>
      <c r="I139" s="330">
        <f t="shared" ref="I139:I140" si="270">G139+H139</f>
        <v>0</v>
      </c>
      <c r="J139" s="330">
        <f t="shared" ref="J139:J140" si="271">I139</f>
        <v>0</v>
      </c>
      <c r="K139" s="361">
        <f t="shared" ref="K139:M140" si="272">K268+K478+K608</f>
        <v>0</v>
      </c>
      <c r="L139" s="361">
        <f t="shared" si="272"/>
        <v>0</v>
      </c>
      <c r="M139" s="361">
        <f t="shared" si="272"/>
        <v>0</v>
      </c>
      <c r="N139" s="276">
        <f t="shared" ref="N139:N140" si="273">J139+K139-L139+M139</f>
        <v>0</v>
      </c>
      <c r="O139" s="361">
        <f t="shared" ref="O139:R140" si="274">O268+O478+O608</f>
        <v>0</v>
      </c>
      <c r="P139" s="361">
        <f t="shared" si="274"/>
        <v>0</v>
      </c>
      <c r="Q139" s="361">
        <f t="shared" si="274"/>
        <v>0</v>
      </c>
      <c r="R139" s="361">
        <f t="shared" si="274"/>
        <v>0</v>
      </c>
      <c r="S139" s="342">
        <f t="shared" ref="S139:S140" si="275">SUM(O139:R139)</f>
        <v>0</v>
      </c>
      <c r="T139" s="361">
        <f t="shared" ref="T139:W140" si="276">T268+T478+T608</f>
        <v>0</v>
      </c>
      <c r="U139" s="361">
        <f t="shared" si="276"/>
        <v>0</v>
      </c>
      <c r="V139" s="361">
        <f t="shared" si="276"/>
        <v>0</v>
      </c>
      <c r="W139" s="361">
        <f t="shared" si="276"/>
        <v>0</v>
      </c>
      <c r="X139" s="342">
        <f t="shared" ref="X139:X140" si="277">SUM(T139:W139)</f>
        <v>0</v>
      </c>
      <c r="Y139" s="342">
        <f t="shared" ref="Y139:Y140" si="278">I139-N139</f>
        <v>0</v>
      </c>
      <c r="Z139" s="342">
        <f t="shared" ref="Z139:Z140" si="279">N139-S139</f>
        <v>0</v>
      </c>
      <c r="AA139" s="157">
        <f>AA268+AA478+AA608</f>
        <v>0</v>
      </c>
      <c r="AB139" s="318">
        <f t="shared" ref="AB139:AB140" si="280">+S139-X139-AA139</f>
        <v>0</v>
      </c>
    </row>
    <row r="140" spans="1:28" s="90" customFormat="1" ht="14.1" hidden="1" customHeight="1" x14ac:dyDescent="0.2">
      <c r="A140" s="301"/>
      <c r="B140" s="349" t="s">
        <v>475</v>
      </c>
      <c r="C140" s="101"/>
      <c r="D140" s="101"/>
      <c r="E140" s="101"/>
      <c r="F140" s="370" t="s">
        <v>476</v>
      </c>
      <c r="G140" s="361">
        <f>G269+G479+G609</f>
        <v>0</v>
      </c>
      <c r="H140" s="361">
        <f>H269+H479+H609</f>
        <v>0</v>
      </c>
      <c r="I140" s="330">
        <f t="shared" si="270"/>
        <v>0</v>
      </c>
      <c r="J140" s="330">
        <f t="shared" si="271"/>
        <v>0</v>
      </c>
      <c r="K140" s="361">
        <f t="shared" si="272"/>
        <v>0</v>
      </c>
      <c r="L140" s="361">
        <f t="shared" si="272"/>
        <v>0</v>
      </c>
      <c r="M140" s="361">
        <f t="shared" si="272"/>
        <v>0</v>
      </c>
      <c r="N140" s="276">
        <f t="shared" si="273"/>
        <v>0</v>
      </c>
      <c r="O140" s="361">
        <f t="shared" si="274"/>
        <v>0</v>
      </c>
      <c r="P140" s="361">
        <f t="shared" si="274"/>
        <v>0</v>
      </c>
      <c r="Q140" s="361">
        <f t="shared" si="274"/>
        <v>0</v>
      </c>
      <c r="R140" s="361">
        <f t="shared" si="274"/>
        <v>0</v>
      </c>
      <c r="S140" s="342">
        <f t="shared" si="275"/>
        <v>0</v>
      </c>
      <c r="T140" s="361">
        <f t="shared" si="276"/>
        <v>0</v>
      </c>
      <c r="U140" s="361">
        <f t="shared" si="276"/>
        <v>0</v>
      </c>
      <c r="V140" s="361">
        <f t="shared" si="276"/>
        <v>0</v>
      </c>
      <c r="W140" s="361">
        <f t="shared" si="276"/>
        <v>0</v>
      </c>
      <c r="X140" s="342">
        <f t="shared" si="277"/>
        <v>0</v>
      </c>
      <c r="Y140" s="342">
        <f t="shared" si="278"/>
        <v>0</v>
      </c>
      <c r="Z140" s="342">
        <f t="shared" si="279"/>
        <v>0</v>
      </c>
      <c r="AA140" s="157">
        <f>AA269+AA479+AA609</f>
        <v>0</v>
      </c>
      <c r="AB140" s="318">
        <f t="shared" si="280"/>
        <v>0</v>
      </c>
    </row>
    <row r="141" spans="1:28" s="90" customFormat="1" ht="14.1" customHeight="1" x14ac:dyDescent="0.2">
      <c r="A141" s="301"/>
      <c r="B141" s="348" t="s">
        <v>477</v>
      </c>
      <c r="C141" s="101"/>
      <c r="D141" s="101"/>
      <c r="E141" s="101"/>
      <c r="F141" s="370"/>
      <c r="G141" s="321"/>
      <c r="H141" s="321"/>
      <c r="I141" s="321"/>
      <c r="J141" s="321"/>
      <c r="K141" s="321"/>
      <c r="L141" s="321"/>
      <c r="M141" s="321"/>
      <c r="N141" s="332"/>
      <c r="O141" s="321"/>
      <c r="P141" s="321"/>
      <c r="Q141" s="321"/>
      <c r="R141" s="321"/>
      <c r="S141" s="332"/>
      <c r="T141" s="321"/>
      <c r="U141" s="321"/>
      <c r="V141" s="321"/>
      <c r="W141" s="321"/>
      <c r="X141" s="332"/>
      <c r="Y141" s="332"/>
      <c r="Z141" s="332"/>
      <c r="AA141" s="332"/>
      <c r="AB141" s="302"/>
    </row>
    <row r="142" spans="1:28" s="90" customFormat="1" ht="14.1" hidden="1" customHeight="1" x14ac:dyDescent="0.2">
      <c r="A142" s="301"/>
      <c r="B142" s="349" t="s">
        <v>478</v>
      </c>
      <c r="C142" s="101"/>
      <c r="D142" s="101"/>
      <c r="E142" s="101"/>
      <c r="F142" s="370" t="s">
        <v>479</v>
      </c>
      <c r="G142" s="361">
        <f>G271+G481+G611</f>
        <v>0</v>
      </c>
      <c r="H142" s="361">
        <f>H271+H481+H611</f>
        <v>0</v>
      </c>
      <c r="I142" s="330">
        <f t="shared" ref="I142" si="281">G142+H142</f>
        <v>0</v>
      </c>
      <c r="J142" s="330">
        <f t="shared" ref="J142" si="282">I142</f>
        <v>0</v>
      </c>
      <c r="K142" s="361">
        <f>K271+K481+K611</f>
        <v>0</v>
      </c>
      <c r="L142" s="361">
        <f>L271+L481+L611</f>
        <v>0</v>
      </c>
      <c r="M142" s="361">
        <f>M271+M481+M611</f>
        <v>0</v>
      </c>
      <c r="N142" s="276">
        <f>J142+K142-L142+M142</f>
        <v>0</v>
      </c>
      <c r="O142" s="361">
        <f>O271+O481+O611</f>
        <v>0</v>
      </c>
      <c r="P142" s="361">
        <f>P271+P481+P611</f>
        <v>0</v>
      </c>
      <c r="Q142" s="361">
        <f>Q271+Q481+Q611</f>
        <v>0</v>
      </c>
      <c r="R142" s="361">
        <f>R271+R481+R611</f>
        <v>0</v>
      </c>
      <c r="S142" s="342">
        <f t="shared" ref="S142" si="283">SUM(O142:R142)</f>
        <v>0</v>
      </c>
      <c r="T142" s="361">
        <f>T271+T481+T611</f>
        <v>0</v>
      </c>
      <c r="U142" s="361">
        <f>U271+U481+U611</f>
        <v>0</v>
      </c>
      <c r="V142" s="361">
        <f>V271+V481+V611</f>
        <v>0</v>
      </c>
      <c r="W142" s="361">
        <f>W271+W481+W611</f>
        <v>0</v>
      </c>
      <c r="X142" s="342">
        <f t="shared" ref="X142" si="284">SUM(T142:W142)</f>
        <v>0</v>
      </c>
      <c r="Y142" s="342">
        <f t="shared" ref="Y142" si="285">I142-N142</f>
        <v>0</v>
      </c>
      <c r="Z142" s="342">
        <f t="shared" ref="Z142" si="286">N142-S142</f>
        <v>0</v>
      </c>
      <c r="AA142" s="157">
        <f>AA271+AA481+AA611</f>
        <v>0</v>
      </c>
      <c r="AB142" s="318">
        <f t="shared" ref="AB142" si="287">+S142-X142-AA142</f>
        <v>0</v>
      </c>
    </row>
    <row r="143" spans="1:28" s="90" customFormat="1" ht="14.1" customHeight="1" x14ac:dyDescent="0.2">
      <c r="A143" s="301"/>
      <c r="B143" s="348" t="s">
        <v>480</v>
      </c>
      <c r="C143" s="101"/>
      <c r="D143" s="101"/>
      <c r="E143" s="101"/>
      <c r="F143" s="370"/>
      <c r="G143" s="321"/>
      <c r="H143" s="321"/>
      <c r="I143" s="321"/>
      <c r="J143" s="321"/>
      <c r="K143" s="321"/>
      <c r="L143" s="321"/>
      <c r="M143" s="321"/>
      <c r="N143" s="332"/>
      <c r="O143" s="321"/>
      <c r="P143" s="321"/>
      <c r="Q143" s="321"/>
      <c r="R143" s="321"/>
      <c r="S143" s="332"/>
      <c r="T143" s="321"/>
      <c r="U143" s="321"/>
      <c r="V143" s="321"/>
      <c r="W143" s="321"/>
      <c r="X143" s="332"/>
      <c r="Y143" s="332"/>
      <c r="Z143" s="332"/>
      <c r="AA143" s="332"/>
      <c r="AB143" s="302"/>
    </row>
    <row r="144" spans="1:28" s="90" customFormat="1" ht="14.1" hidden="1" customHeight="1" x14ac:dyDescent="0.2">
      <c r="A144" s="301"/>
      <c r="B144" s="349" t="s">
        <v>481</v>
      </c>
      <c r="C144" s="101"/>
      <c r="D144" s="101"/>
      <c r="E144" s="101"/>
      <c r="F144" s="370" t="s">
        <v>482</v>
      </c>
      <c r="G144" s="361">
        <f>G273+G483+G613</f>
        <v>0</v>
      </c>
      <c r="H144" s="361">
        <f>H273+H483+H613</f>
        <v>0</v>
      </c>
      <c r="I144" s="330">
        <f t="shared" ref="I144" si="288">G144+H144</f>
        <v>0</v>
      </c>
      <c r="J144" s="330">
        <f t="shared" ref="J144" si="289">I144</f>
        <v>0</v>
      </c>
      <c r="K144" s="361">
        <f>K273+K483+K613</f>
        <v>0</v>
      </c>
      <c r="L144" s="361">
        <f>L273+L483+L613</f>
        <v>0</v>
      </c>
      <c r="M144" s="361">
        <f>M273+M483+M613</f>
        <v>0</v>
      </c>
      <c r="N144" s="276">
        <f>J144+K144-L144+M144</f>
        <v>0</v>
      </c>
      <c r="O144" s="361">
        <f>O273+O483+O613</f>
        <v>0</v>
      </c>
      <c r="P144" s="361">
        <f>P273+P483+P613</f>
        <v>0</v>
      </c>
      <c r="Q144" s="361">
        <f>Q273+Q483+Q613</f>
        <v>0</v>
      </c>
      <c r="R144" s="361">
        <f>R273+R483+R613</f>
        <v>0</v>
      </c>
      <c r="S144" s="342">
        <f t="shared" ref="S144" si="290">SUM(O144:R144)</f>
        <v>0</v>
      </c>
      <c r="T144" s="361">
        <f>T273+T483+T613</f>
        <v>0</v>
      </c>
      <c r="U144" s="361">
        <f>U273+U483+U613</f>
        <v>0</v>
      </c>
      <c r="V144" s="361">
        <f>V273+V483+V613</f>
        <v>0</v>
      </c>
      <c r="W144" s="361">
        <f>W273+W483+W613</f>
        <v>0</v>
      </c>
      <c r="X144" s="342">
        <f t="shared" ref="X144" si="291">SUM(T144:W144)</f>
        <v>0</v>
      </c>
      <c r="Y144" s="342">
        <f t="shared" ref="Y144" si="292">I144-N144</f>
        <v>0</v>
      </c>
      <c r="Z144" s="342">
        <f t="shared" ref="Z144" si="293">N144-S144</f>
        <v>0</v>
      </c>
      <c r="AA144" s="157">
        <f>AA273+AA483+AA613</f>
        <v>0</v>
      </c>
      <c r="AB144" s="318">
        <f t="shared" ref="AB144" si="294">+S144-X144-AA144</f>
        <v>0</v>
      </c>
    </row>
    <row r="145" spans="1:28" s="90" customFormat="1" ht="14.1" customHeight="1" x14ac:dyDescent="0.2">
      <c r="A145" s="301"/>
      <c r="B145" s="349"/>
      <c r="C145" s="101"/>
      <c r="D145" s="101"/>
      <c r="E145" s="101"/>
      <c r="F145" s="370"/>
      <c r="G145" s="321"/>
      <c r="H145" s="321"/>
      <c r="I145" s="329"/>
      <c r="J145" s="329"/>
      <c r="K145" s="323"/>
      <c r="L145" s="323"/>
      <c r="M145" s="323"/>
      <c r="N145" s="329"/>
      <c r="O145" s="323"/>
      <c r="P145" s="323"/>
      <c r="Q145" s="323"/>
      <c r="R145" s="323"/>
      <c r="S145" s="323"/>
      <c r="T145" s="323"/>
      <c r="U145" s="323"/>
      <c r="V145" s="323"/>
      <c r="W145" s="323"/>
      <c r="X145" s="323"/>
      <c r="Y145" s="323"/>
      <c r="Z145" s="323"/>
      <c r="AA145" s="274"/>
      <c r="AB145" s="306"/>
    </row>
    <row r="146" spans="1:28" s="90" customFormat="1" ht="14.1" customHeight="1" x14ac:dyDescent="0.2">
      <c r="A146" s="301" t="s">
        <v>101</v>
      </c>
      <c r="B146" s="101" t="s">
        <v>102</v>
      </c>
      <c r="C146" s="101"/>
      <c r="D146" s="101"/>
      <c r="E146" s="101"/>
      <c r="F146" s="370" t="s">
        <v>673</v>
      </c>
      <c r="G146" s="321">
        <f t="shared" ref="G146:AB146" si="295">G147+G246+G171</f>
        <v>9846000</v>
      </c>
      <c r="H146" s="321">
        <f t="shared" si="295"/>
        <v>0</v>
      </c>
      <c r="I146" s="321">
        <f t="shared" si="295"/>
        <v>9846000</v>
      </c>
      <c r="J146" s="321">
        <f t="shared" si="295"/>
        <v>9846000</v>
      </c>
      <c r="K146" s="321">
        <f t="shared" si="295"/>
        <v>0</v>
      </c>
      <c r="L146" s="321">
        <f t="shared" si="295"/>
        <v>0</v>
      </c>
      <c r="M146" s="321">
        <f t="shared" si="295"/>
        <v>513981.06</v>
      </c>
      <c r="N146" s="321">
        <f t="shared" si="295"/>
        <v>10359981.059999999</v>
      </c>
      <c r="O146" s="321">
        <f t="shared" si="295"/>
        <v>2223054.0499999998</v>
      </c>
      <c r="P146" s="321">
        <f t="shared" si="295"/>
        <v>1477736.34</v>
      </c>
      <c r="Q146" s="321">
        <f t="shared" si="295"/>
        <v>1938145.04</v>
      </c>
      <c r="R146" s="321">
        <f t="shared" si="295"/>
        <v>4006943.9</v>
      </c>
      <c r="S146" s="321">
        <f t="shared" si="295"/>
        <v>9645879.3300000001</v>
      </c>
      <c r="T146" s="321">
        <f t="shared" si="295"/>
        <v>1938573.0499999998</v>
      </c>
      <c r="U146" s="321">
        <f t="shared" si="295"/>
        <v>1560129.8</v>
      </c>
      <c r="V146" s="321">
        <f t="shared" si="295"/>
        <v>2134604.04</v>
      </c>
      <c r="W146" s="321">
        <f t="shared" si="295"/>
        <v>4012572.44</v>
      </c>
      <c r="X146" s="321">
        <f t="shared" si="295"/>
        <v>9645879.3300000001</v>
      </c>
      <c r="Y146" s="321">
        <f t="shared" si="295"/>
        <v>-513981.06</v>
      </c>
      <c r="Z146" s="321">
        <f t="shared" si="295"/>
        <v>714101.73</v>
      </c>
      <c r="AA146" s="332">
        <f t="shared" si="295"/>
        <v>0</v>
      </c>
      <c r="AB146" s="302">
        <f t="shared" si="295"/>
        <v>0</v>
      </c>
    </row>
    <row r="147" spans="1:28" s="287" customFormat="1" ht="14.1" customHeight="1" x14ac:dyDescent="0.2">
      <c r="A147" s="301"/>
      <c r="B147" s="355" t="s">
        <v>283</v>
      </c>
      <c r="C147" s="101"/>
      <c r="D147" s="101"/>
      <c r="E147" s="101"/>
      <c r="F147" s="371"/>
      <c r="G147" s="321">
        <f>SUM(G149:G169)</f>
        <v>7013000</v>
      </c>
      <c r="H147" s="321">
        <f t="shared" ref="H147:AB147" si="296">SUM(H149:H169)</f>
        <v>0</v>
      </c>
      <c r="I147" s="321">
        <f t="shared" si="296"/>
        <v>7013000</v>
      </c>
      <c r="J147" s="321">
        <f t="shared" si="296"/>
        <v>7013000</v>
      </c>
      <c r="K147" s="321">
        <f t="shared" si="296"/>
        <v>0</v>
      </c>
      <c r="L147" s="321">
        <f t="shared" si="296"/>
        <v>0</v>
      </c>
      <c r="M147" s="321">
        <f t="shared" si="296"/>
        <v>218365.06</v>
      </c>
      <c r="N147" s="321">
        <f t="shared" si="296"/>
        <v>7231365.0599999996</v>
      </c>
      <c r="O147" s="321">
        <f t="shared" si="296"/>
        <v>1159201</v>
      </c>
      <c r="P147" s="321">
        <f t="shared" si="296"/>
        <v>1074726</v>
      </c>
      <c r="Q147" s="321">
        <f t="shared" si="296"/>
        <v>1412610.15</v>
      </c>
      <c r="R147" s="321">
        <f t="shared" si="296"/>
        <v>3483877.75</v>
      </c>
      <c r="S147" s="321">
        <f t="shared" si="296"/>
        <v>7130414.9000000004</v>
      </c>
      <c r="T147" s="321">
        <f t="shared" si="296"/>
        <v>889057</v>
      </c>
      <c r="U147" s="321">
        <f t="shared" si="296"/>
        <v>1143182.46</v>
      </c>
      <c r="V147" s="321">
        <f t="shared" si="296"/>
        <v>1608669.15</v>
      </c>
      <c r="W147" s="321">
        <f t="shared" si="296"/>
        <v>3489506.29</v>
      </c>
      <c r="X147" s="321">
        <f t="shared" si="296"/>
        <v>7130414.9000000004</v>
      </c>
      <c r="Y147" s="321">
        <f t="shared" si="296"/>
        <v>-218365.06</v>
      </c>
      <c r="Z147" s="321">
        <f t="shared" si="296"/>
        <v>100950.16</v>
      </c>
      <c r="AA147" s="332">
        <f t="shared" si="296"/>
        <v>0</v>
      </c>
      <c r="AB147" s="382">
        <f t="shared" si="296"/>
        <v>0</v>
      </c>
    </row>
    <row r="148" spans="1:28" s="90" customFormat="1" ht="14.1" customHeight="1" x14ac:dyDescent="0.2">
      <c r="A148" s="301"/>
      <c r="B148" s="348" t="s">
        <v>284</v>
      </c>
      <c r="C148" s="101"/>
      <c r="D148" s="101"/>
      <c r="E148" s="101"/>
      <c r="F148" s="370"/>
      <c r="G148" s="321"/>
      <c r="H148" s="321"/>
      <c r="I148" s="321"/>
      <c r="J148" s="321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02"/>
    </row>
    <row r="149" spans="1:28" s="90" customFormat="1" ht="14.1" customHeight="1" x14ac:dyDescent="0.2">
      <c r="A149" s="301"/>
      <c r="B149" s="349" t="s">
        <v>285</v>
      </c>
      <c r="C149" s="101"/>
      <c r="D149" s="101"/>
      <c r="E149" s="101"/>
      <c r="F149" s="370" t="s">
        <v>286</v>
      </c>
      <c r="G149" s="149">
        <v>5485000</v>
      </c>
      <c r="H149" s="149"/>
      <c r="I149" s="329">
        <f t="shared" ref="I149" si="297">G149+H149</f>
        <v>5485000</v>
      </c>
      <c r="J149" s="329">
        <f t="shared" ref="J149" si="298">I149</f>
        <v>5485000</v>
      </c>
      <c r="K149" s="274"/>
      <c r="L149" s="274"/>
      <c r="M149" s="274">
        <v>0</v>
      </c>
      <c r="N149" s="275">
        <f>J149+K149-L149+M149</f>
        <v>5485000</v>
      </c>
      <c r="O149" s="274">
        <v>980476</v>
      </c>
      <c r="P149" s="274">
        <f>245119+245119+245119</f>
        <v>735357</v>
      </c>
      <c r="Q149" s="274">
        <f>245119+245119+556930.35+131186+55282.4+18654.9+46068.5</f>
        <v>1298360.1499999999</v>
      </c>
      <c r="R149" s="274">
        <f>490556.65+559830.2+68599.5+1351820.5</f>
        <v>2470806.85</v>
      </c>
      <c r="S149" s="274">
        <f t="shared" ref="S149" si="299">SUM(O149:R149)</f>
        <v>5485000</v>
      </c>
      <c r="T149" s="274">
        <v>735082</v>
      </c>
      <c r="U149" s="274">
        <f>190052.16+55341.84+57170+30763.27+157185.73+245119+51160</f>
        <v>786792</v>
      </c>
      <c r="V149" s="274">
        <f>178584.85+15374.15+245119+245119+556930.35+55282.4+18654.9+46068.5+131186</f>
        <v>1492319.15</v>
      </c>
      <c r="W149" s="274">
        <f>245119+289.97+28.68+245119+559830.2+68599.5+1351820.5</f>
        <v>2470806.85</v>
      </c>
      <c r="X149" s="274">
        <f t="shared" ref="X149" si="300">SUM(T149:W149)</f>
        <v>5485000</v>
      </c>
      <c r="Y149" s="274">
        <f t="shared" ref="Y149" si="301">I149-N149</f>
        <v>0</v>
      </c>
      <c r="Z149" s="274">
        <f t="shared" ref="Z149" si="302">N149-S149</f>
        <v>0</v>
      </c>
      <c r="AA149" s="274"/>
      <c r="AB149" s="306">
        <f t="shared" ref="AB149" si="303">+S149-X149-AA149</f>
        <v>0</v>
      </c>
    </row>
    <row r="150" spans="1:28" s="90" customFormat="1" ht="14.1" customHeight="1" x14ac:dyDescent="0.2">
      <c r="A150" s="301"/>
      <c r="B150" s="348" t="s">
        <v>287</v>
      </c>
      <c r="C150" s="101"/>
      <c r="D150" s="101"/>
      <c r="E150" s="101"/>
      <c r="F150" s="370"/>
      <c r="G150" s="149"/>
      <c r="H150" s="149"/>
      <c r="I150" s="149"/>
      <c r="J150" s="14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583"/>
    </row>
    <row r="151" spans="1:28" s="90" customFormat="1" ht="14.1" customHeight="1" x14ac:dyDescent="0.2">
      <c r="A151" s="301"/>
      <c r="B151" s="349" t="s">
        <v>288</v>
      </c>
      <c r="C151" s="101"/>
      <c r="D151" s="101"/>
      <c r="E151" s="101"/>
      <c r="F151" s="370" t="s">
        <v>289</v>
      </c>
      <c r="G151" s="149">
        <v>528000</v>
      </c>
      <c r="H151" s="149"/>
      <c r="I151" s="329">
        <f t="shared" ref="I151:I162" si="304">G151+H151</f>
        <v>528000</v>
      </c>
      <c r="J151" s="329">
        <f t="shared" ref="J151:J162" si="305">I151</f>
        <v>528000</v>
      </c>
      <c r="K151" s="274"/>
      <c r="L151" s="274"/>
      <c r="M151" s="274"/>
      <c r="N151" s="275">
        <f t="shared" ref="N151:N162" si="306">J151+K151-L151+M151</f>
        <v>528000</v>
      </c>
      <c r="O151" s="274">
        <v>80000</v>
      </c>
      <c r="P151" s="274">
        <f>20000+20000+20000</f>
        <v>60000</v>
      </c>
      <c r="Q151" s="274">
        <f>20000+20000+20000</f>
        <v>60000</v>
      </c>
      <c r="R151" s="274">
        <f>40000+166000+122000</f>
        <v>328000</v>
      </c>
      <c r="S151" s="274">
        <f t="shared" ref="S151:S162" si="307">SUM(O151:R151)</f>
        <v>528000</v>
      </c>
      <c r="T151" s="274">
        <v>60000</v>
      </c>
      <c r="U151" s="274">
        <f>20000+17021.46+2978.54+20000+17021.46</f>
        <v>77021.459999999992</v>
      </c>
      <c r="V151" s="274">
        <f>1755.56+1222.98+17021.46+2978.54+17021.46+2978.54+18121.46</f>
        <v>61100</v>
      </c>
      <c r="W151" s="274">
        <f>20000+1878.54+16921.46+3078.54+166000+122000</f>
        <v>329878.54000000004</v>
      </c>
      <c r="X151" s="274">
        <f t="shared" ref="X151:X162" si="308">SUM(T151:W151)</f>
        <v>528000</v>
      </c>
      <c r="Y151" s="274">
        <f t="shared" ref="Y151:Y162" si="309">I151-N151</f>
        <v>0</v>
      </c>
      <c r="Z151" s="274">
        <f t="shared" ref="Z151:Z162" si="310">N151-S151</f>
        <v>0</v>
      </c>
      <c r="AA151" s="274"/>
      <c r="AB151" s="306">
        <f t="shared" ref="AB151:AB162" si="311">+S151-X151-AA151</f>
        <v>0</v>
      </c>
    </row>
    <row r="152" spans="1:28" s="90" customFormat="1" ht="14.1" customHeight="1" x14ac:dyDescent="0.2">
      <c r="A152" s="301"/>
      <c r="B152" s="349" t="s">
        <v>290</v>
      </c>
      <c r="C152" s="101"/>
      <c r="D152" s="101"/>
      <c r="E152" s="101"/>
      <c r="F152" s="370" t="s">
        <v>291</v>
      </c>
      <c r="G152" s="149"/>
      <c r="H152" s="149"/>
      <c r="I152" s="329">
        <f t="shared" si="304"/>
        <v>0</v>
      </c>
      <c r="J152" s="329">
        <f t="shared" si="305"/>
        <v>0</v>
      </c>
      <c r="K152" s="274"/>
      <c r="L152" s="274"/>
      <c r="M152" s="274"/>
      <c r="N152" s="275">
        <f t="shared" si="306"/>
        <v>0</v>
      </c>
      <c r="O152" s="274">
        <v>15000</v>
      </c>
      <c r="P152" s="274">
        <f>5000+5000</f>
        <v>10000</v>
      </c>
      <c r="Q152" s="274">
        <f>5000+5000+5000+5000</f>
        <v>20000</v>
      </c>
      <c r="R152" s="274">
        <f t="shared" ref="R152:R153" si="312">10000+5000-60000</f>
        <v>-45000</v>
      </c>
      <c r="S152" s="274">
        <f t="shared" si="307"/>
        <v>0</v>
      </c>
      <c r="T152" s="274">
        <v>15000</v>
      </c>
      <c r="U152" s="274">
        <f>5000+5000</f>
        <v>10000</v>
      </c>
      <c r="V152" s="274">
        <f>5000+5000+5000+5000</f>
        <v>20000</v>
      </c>
      <c r="W152" s="274">
        <f t="shared" ref="W152:W153" si="313">5000+5000+5000-60000</f>
        <v>-45000</v>
      </c>
      <c r="X152" s="274">
        <f t="shared" si="308"/>
        <v>0</v>
      </c>
      <c r="Y152" s="274">
        <f t="shared" si="309"/>
        <v>0</v>
      </c>
      <c r="Z152" s="274">
        <f t="shared" si="310"/>
        <v>0</v>
      </c>
      <c r="AA152" s="274"/>
      <c r="AB152" s="306">
        <f t="shared" si="311"/>
        <v>0</v>
      </c>
    </row>
    <row r="153" spans="1:28" s="90" customFormat="1" ht="14.1" customHeight="1" x14ac:dyDescent="0.2">
      <c r="A153" s="301"/>
      <c r="B153" s="349" t="s">
        <v>292</v>
      </c>
      <c r="C153" s="101"/>
      <c r="D153" s="101"/>
      <c r="E153" s="101"/>
      <c r="F153" s="370" t="s">
        <v>293</v>
      </c>
      <c r="G153" s="149"/>
      <c r="H153" s="149"/>
      <c r="I153" s="329">
        <f t="shared" si="304"/>
        <v>0</v>
      </c>
      <c r="J153" s="329">
        <f t="shared" si="305"/>
        <v>0</v>
      </c>
      <c r="K153" s="274"/>
      <c r="L153" s="274"/>
      <c r="M153" s="274"/>
      <c r="N153" s="275">
        <f t="shared" si="306"/>
        <v>0</v>
      </c>
      <c r="O153" s="274">
        <v>15000</v>
      </c>
      <c r="P153" s="274">
        <f>5000+5000</f>
        <v>10000</v>
      </c>
      <c r="Q153" s="274">
        <f>5000+5000+5000+5000</f>
        <v>20000</v>
      </c>
      <c r="R153" s="274">
        <f t="shared" si="312"/>
        <v>-45000</v>
      </c>
      <c r="S153" s="274">
        <f t="shared" si="307"/>
        <v>0</v>
      </c>
      <c r="T153" s="274">
        <v>15000</v>
      </c>
      <c r="U153" s="274">
        <f>5000+5000</f>
        <v>10000</v>
      </c>
      <c r="V153" s="274">
        <f>5000+5000+5000+5000</f>
        <v>20000</v>
      </c>
      <c r="W153" s="274">
        <f t="shared" si="313"/>
        <v>-45000</v>
      </c>
      <c r="X153" s="274">
        <f t="shared" si="308"/>
        <v>0</v>
      </c>
      <c r="Y153" s="274">
        <f t="shared" si="309"/>
        <v>0</v>
      </c>
      <c r="Z153" s="274">
        <f t="shared" si="310"/>
        <v>0</v>
      </c>
      <c r="AA153" s="274"/>
      <c r="AB153" s="306">
        <f t="shared" si="311"/>
        <v>0</v>
      </c>
    </row>
    <row r="154" spans="1:28" s="90" customFormat="1" ht="14.1" customHeight="1" x14ac:dyDescent="0.2">
      <c r="A154" s="301"/>
      <c r="B154" s="349" t="s">
        <v>294</v>
      </c>
      <c r="C154" s="101"/>
      <c r="D154" s="101"/>
      <c r="E154" s="101"/>
      <c r="F154" s="370" t="s">
        <v>295</v>
      </c>
      <c r="G154" s="149">
        <v>110000</v>
      </c>
      <c r="H154" s="149"/>
      <c r="I154" s="329">
        <f t="shared" si="304"/>
        <v>110000</v>
      </c>
      <c r="J154" s="329">
        <f t="shared" si="305"/>
        <v>110000</v>
      </c>
      <c r="K154" s="274"/>
      <c r="L154" s="274"/>
      <c r="M154" s="274"/>
      <c r="N154" s="275">
        <f t="shared" si="306"/>
        <v>110000</v>
      </c>
      <c r="O154" s="274">
        <v>50000</v>
      </c>
      <c r="P154" s="274"/>
      <c r="Q154" s="274"/>
      <c r="R154" s="274">
        <f>25000+35000</f>
        <v>60000</v>
      </c>
      <c r="S154" s="274">
        <f t="shared" si="307"/>
        <v>110000</v>
      </c>
      <c r="T154" s="274">
        <v>50000</v>
      </c>
      <c r="U154" s="274"/>
      <c r="V154" s="274"/>
      <c r="W154" s="274">
        <f>25000+35000</f>
        <v>60000</v>
      </c>
      <c r="X154" s="274">
        <f t="shared" si="308"/>
        <v>110000</v>
      </c>
      <c r="Y154" s="274">
        <f t="shared" si="309"/>
        <v>0</v>
      </c>
      <c r="Z154" s="274">
        <f t="shared" si="310"/>
        <v>0</v>
      </c>
      <c r="AA154" s="274"/>
      <c r="AB154" s="306">
        <f t="shared" si="311"/>
        <v>0</v>
      </c>
    </row>
    <row r="155" spans="1:28" s="90" customFormat="1" ht="14.1" customHeight="1" x14ac:dyDescent="0.2">
      <c r="A155" s="301"/>
      <c r="B155" s="349" t="s">
        <v>814</v>
      </c>
      <c r="C155" s="864"/>
      <c r="D155" s="864"/>
      <c r="E155" s="864"/>
      <c r="F155" s="370" t="s">
        <v>815</v>
      </c>
      <c r="G155" s="149"/>
      <c r="H155" s="149"/>
      <c r="I155" s="660">
        <f t="shared" si="304"/>
        <v>0</v>
      </c>
      <c r="J155" s="660">
        <f t="shared" si="305"/>
        <v>0</v>
      </c>
      <c r="K155" s="662"/>
      <c r="L155" s="662"/>
      <c r="M155" s="662">
        <v>192161.25</v>
      </c>
      <c r="N155" s="661">
        <f t="shared" si="306"/>
        <v>192161.25</v>
      </c>
      <c r="O155" s="869"/>
      <c r="P155" s="662"/>
      <c r="Q155" s="662"/>
      <c r="R155" s="662">
        <v>192161.19</v>
      </c>
      <c r="S155" s="662">
        <f t="shared" si="307"/>
        <v>192161.19</v>
      </c>
      <c r="T155" s="662"/>
      <c r="U155" s="662"/>
      <c r="V155" s="662"/>
      <c r="W155" s="662">
        <v>192161.19</v>
      </c>
      <c r="X155" s="662">
        <f t="shared" ref="X155:X156" si="314">SUM(T155:W155)</f>
        <v>192161.19</v>
      </c>
      <c r="Y155" s="662">
        <f t="shared" si="309"/>
        <v>-192161.25</v>
      </c>
      <c r="Z155" s="662">
        <f t="shared" si="310"/>
        <v>5.9999999997671694E-2</v>
      </c>
      <c r="AA155" s="662"/>
      <c r="AB155" s="663">
        <f t="shared" si="311"/>
        <v>0</v>
      </c>
    </row>
    <row r="156" spans="1:28" s="90" customFormat="1" ht="14.1" customHeight="1" x14ac:dyDescent="0.2">
      <c r="A156" s="301"/>
      <c r="B156" s="349" t="s">
        <v>816</v>
      </c>
      <c r="C156" s="864"/>
      <c r="D156" s="864"/>
      <c r="E156" s="864"/>
      <c r="F156" s="370" t="s">
        <v>817</v>
      </c>
      <c r="G156" s="149"/>
      <c r="H156" s="149"/>
      <c r="I156" s="660">
        <f t="shared" si="304"/>
        <v>0</v>
      </c>
      <c r="J156" s="660">
        <f t="shared" si="305"/>
        <v>0</v>
      </c>
      <c r="K156" s="662"/>
      <c r="L156" s="662"/>
      <c r="M156" s="662">
        <v>26203.81</v>
      </c>
      <c r="N156" s="661">
        <f t="shared" si="306"/>
        <v>26203.81</v>
      </c>
      <c r="O156" s="869"/>
      <c r="P156" s="662"/>
      <c r="Q156" s="662"/>
      <c r="R156" s="662">
        <v>26203.71</v>
      </c>
      <c r="S156" s="662">
        <f t="shared" si="307"/>
        <v>26203.71</v>
      </c>
      <c r="T156" s="662"/>
      <c r="U156" s="662"/>
      <c r="V156" s="662"/>
      <c r="W156" s="662">
        <v>26203.71</v>
      </c>
      <c r="X156" s="662">
        <f t="shared" si="314"/>
        <v>26203.71</v>
      </c>
      <c r="Y156" s="662">
        <f t="shared" si="309"/>
        <v>-26203.81</v>
      </c>
      <c r="Z156" s="662">
        <f t="shared" si="310"/>
        <v>0.10000000000218279</v>
      </c>
      <c r="AA156" s="662"/>
      <c r="AB156" s="663">
        <f t="shared" si="311"/>
        <v>0</v>
      </c>
    </row>
    <row r="157" spans="1:28" s="90" customFormat="1" ht="14.1" customHeight="1" x14ac:dyDescent="0.2">
      <c r="A157" s="301"/>
      <c r="B157" s="349" t="s">
        <v>296</v>
      </c>
      <c r="C157" s="101"/>
      <c r="D157" s="101"/>
      <c r="E157" s="101"/>
      <c r="F157" s="370" t="s">
        <v>297</v>
      </c>
      <c r="G157" s="149"/>
      <c r="H157" s="149"/>
      <c r="I157" s="329">
        <f t="shared" si="304"/>
        <v>0</v>
      </c>
      <c r="J157" s="329">
        <f t="shared" si="305"/>
        <v>0</v>
      </c>
      <c r="K157" s="274"/>
      <c r="L157" s="274"/>
      <c r="M157" s="274"/>
      <c r="N157" s="275">
        <f t="shared" si="306"/>
        <v>0</v>
      </c>
      <c r="O157" s="274"/>
      <c r="P157" s="274"/>
      <c r="Q157" s="274"/>
      <c r="R157" s="274"/>
      <c r="S157" s="274">
        <f t="shared" si="307"/>
        <v>0</v>
      </c>
      <c r="T157" s="274"/>
      <c r="U157" s="274"/>
      <c r="V157" s="274"/>
      <c r="W157" s="274"/>
      <c r="X157" s="274">
        <f t="shared" si="308"/>
        <v>0</v>
      </c>
      <c r="Y157" s="274">
        <f t="shared" si="309"/>
        <v>0</v>
      </c>
      <c r="Z157" s="274">
        <f t="shared" si="310"/>
        <v>0</v>
      </c>
      <c r="AA157" s="274"/>
      <c r="AB157" s="306">
        <f t="shared" si="311"/>
        <v>0</v>
      </c>
    </row>
    <row r="158" spans="1:28" s="90" customFormat="1" ht="14.1" customHeight="1" x14ac:dyDescent="0.2">
      <c r="A158" s="301"/>
      <c r="B158" s="349" t="s">
        <v>298</v>
      </c>
      <c r="C158" s="101"/>
      <c r="D158" s="101"/>
      <c r="E158" s="101"/>
      <c r="F158" s="370" t="s">
        <v>299</v>
      </c>
      <c r="G158" s="149"/>
      <c r="H158" s="149"/>
      <c r="I158" s="329">
        <f t="shared" si="304"/>
        <v>0</v>
      </c>
      <c r="J158" s="329">
        <f t="shared" si="305"/>
        <v>0</v>
      </c>
      <c r="K158" s="274"/>
      <c r="L158" s="274"/>
      <c r="M158" s="274"/>
      <c r="N158" s="275">
        <f t="shared" si="306"/>
        <v>0</v>
      </c>
      <c r="O158" s="274"/>
      <c r="P158" s="274"/>
      <c r="Q158" s="274"/>
      <c r="R158" s="274">
        <f>5000-5000</f>
        <v>0</v>
      </c>
      <c r="S158" s="274">
        <f t="shared" si="307"/>
        <v>0</v>
      </c>
      <c r="T158" s="274"/>
      <c r="U158" s="274"/>
      <c r="V158" s="274"/>
      <c r="W158" s="274">
        <f>5000-5000</f>
        <v>0</v>
      </c>
      <c r="X158" s="274">
        <f t="shared" si="308"/>
        <v>0</v>
      </c>
      <c r="Y158" s="274">
        <f t="shared" si="309"/>
        <v>0</v>
      </c>
      <c r="Z158" s="274">
        <f t="shared" si="310"/>
        <v>0</v>
      </c>
      <c r="AA158" s="274"/>
      <c r="AB158" s="306">
        <f t="shared" si="311"/>
        <v>0</v>
      </c>
    </row>
    <row r="159" spans="1:28" s="90" customFormat="1" ht="14.1" customHeight="1" x14ac:dyDescent="0.2">
      <c r="A159" s="301"/>
      <c r="B159" s="349" t="s">
        <v>300</v>
      </c>
      <c r="C159" s="101"/>
      <c r="D159" s="101"/>
      <c r="E159" s="101"/>
      <c r="F159" s="370" t="s">
        <v>301</v>
      </c>
      <c r="G159" s="149">
        <v>457000</v>
      </c>
      <c r="H159" s="149"/>
      <c r="I159" s="329">
        <f t="shared" si="304"/>
        <v>457000</v>
      </c>
      <c r="J159" s="329">
        <f t="shared" si="305"/>
        <v>457000</v>
      </c>
      <c r="K159" s="274"/>
      <c r="L159" s="274"/>
      <c r="M159" s="274">
        <v>0</v>
      </c>
      <c r="N159" s="275">
        <f t="shared" si="306"/>
        <v>457000</v>
      </c>
      <c r="O159" s="274"/>
      <c r="P159" s="274">
        <v>245119</v>
      </c>
      <c r="Q159" s="274"/>
      <c r="R159" s="274">
        <f>28286+183595</f>
        <v>211881</v>
      </c>
      <c r="S159" s="274">
        <f t="shared" si="307"/>
        <v>457000</v>
      </c>
      <c r="T159" s="274"/>
      <c r="U159" s="274">
        <v>245119</v>
      </c>
      <c r="V159" s="274"/>
      <c r="W159" s="274">
        <f>28286+183595</f>
        <v>211881</v>
      </c>
      <c r="X159" s="274">
        <f t="shared" si="308"/>
        <v>457000</v>
      </c>
      <c r="Y159" s="274">
        <f t="shared" si="309"/>
        <v>0</v>
      </c>
      <c r="Z159" s="274">
        <f t="shared" si="310"/>
        <v>0</v>
      </c>
      <c r="AA159" s="274"/>
      <c r="AB159" s="306">
        <f t="shared" si="311"/>
        <v>0</v>
      </c>
    </row>
    <row r="160" spans="1:28" s="90" customFormat="1" ht="14.1" customHeight="1" x14ac:dyDescent="0.2">
      <c r="A160" s="301"/>
      <c r="B160" s="349" t="s">
        <v>302</v>
      </c>
      <c r="C160" s="101"/>
      <c r="D160" s="101"/>
      <c r="E160" s="101"/>
      <c r="F160" s="370" t="s">
        <v>303</v>
      </c>
      <c r="G160" s="149">
        <v>110000</v>
      </c>
      <c r="H160" s="149"/>
      <c r="I160" s="329">
        <f t="shared" si="304"/>
        <v>110000</v>
      </c>
      <c r="J160" s="329">
        <f t="shared" si="305"/>
        <v>110000</v>
      </c>
      <c r="K160" s="274"/>
      <c r="L160" s="274"/>
      <c r="M160" s="274"/>
      <c r="N160" s="275">
        <f t="shared" si="306"/>
        <v>110000</v>
      </c>
      <c r="O160" s="274"/>
      <c r="P160" s="274"/>
      <c r="Q160" s="274"/>
      <c r="R160" s="274">
        <f>50000+25000+35000</f>
        <v>110000</v>
      </c>
      <c r="S160" s="274">
        <f t="shared" si="307"/>
        <v>110000</v>
      </c>
      <c r="T160" s="274"/>
      <c r="U160" s="274"/>
      <c r="V160" s="274"/>
      <c r="W160" s="274">
        <f>50000+25000+35000</f>
        <v>110000</v>
      </c>
      <c r="X160" s="274">
        <f t="shared" si="308"/>
        <v>110000</v>
      </c>
      <c r="Y160" s="274">
        <f t="shared" si="309"/>
        <v>0</v>
      </c>
      <c r="Z160" s="274">
        <f t="shared" si="310"/>
        <v>0</v>
      </c>
      <c r="AA160" s="274"/>
      <c r="AB160" s="306">
        <f t="shared" si="311"/>
        <v>0</v>
      </c>
    </row>
    <row r="161" spans="1:28" s="90" customFormat="1" ht="14.1" customHeight="1" x14ac:dyDescent="0.2">
      <c r="A161" s="301"/>
      <c r="B161" s="349" t="s">
        <v>304</v>
      </c>
      <c r="C161" s="744"/>
      <c r="D161" s="744"/>
      <c r="E161" s="744"/>
      <c r="F161" s="370" t="s">
        <v>305</v>
      </c>
      <c r="G161" s="149"/>
      <c r="H161" s="149"/>
      <c r="I161" s="329">
        <f t="shared" ref="I161" si="315">G161+H161</f>
        <v>0</v>
      </c>
      <c r="J161" s="329">
        <f t="shared" ref="J161" si="316">I161</f>
        <v>0</v>
      </c>
      <c r="K161" s="274"/>
      <c r="L161" s="274"/>
      <c r="M161" s="274"/>
      <c r="N161" s="275">
        <f t="shared" si="306"/>
        <v>0</v>
      </c>
      <c r="O161" s="274"/>
      <c r="P161" s="274"/>
      <c r="Q161" s="274"/>
      <c r="R161" s="274"/>
      <c r="S161" s="274">
        <f t="shared" ref="S161" si="317">SUM(O161:R161)</f>
        <v>0</v>
      </c>
      <c r="T161" s="274"/>
      <c r="U161" s="274"/>
      <c r="V161" s="274"/>
      <c r="W161" s="274"/>
      <c r="X161" s="274">
        <f t="shared" ref="X161" si="318">SUM(T161:W161)</f>
        <v>0</v>
      </c>
      <c r="Y161" s="274">
        <f t="shared" ref="Y161" si="319">I161-N161</f>
        <v>0</v>
      </c>
      <c r="Z161" s="274">
        <f t="shared" ref="Z161" si="320">N161-S161</f>
        <v>0</v>
      </c>
      <c r="AA161" s="274"/>
      <c r="AB161" s="306">
        <f t="shared" ref="AB161" si="321">+S161-X161-AA161</f>
        <v>0</v>
      </c>
    </row>
    <row r="162" spans="1:28" s="90" customFormat="1" ht="14.1" customHeight="1" x14ac:dyDescent="0.2">
      <c r="A162" s="301"/>
      <c r="B162" s="349" t="s">
        <v>736</v>
      </c>
      <c r="C162" s="101"/>
      <c r="D162" s="101"/>
      <c r="E162" s="101"/>
      <c r="F162" s="370" t="s">
        <v>486</v>
      </c>
      <c r="G162" s="149">
        <v>110000</v>
      </c>
      <c r="H162" s="149"/>
      <c r="I162" s="329">
        <f t="shared" si="304"/>
        <v>110000</v>
      </c>
      <c r="J162" s="329">
        <f t="shared" si="305"/>
        <v>110000</v>
      </c>
      <c r="K162" s="274"/>
      <c r="L162" s="274"/>
      <c r="M162" s="274"/>
      <c r="N162" s="275">
        <f t="shared" si="306"/>
        <v>110000</v>
      </c>
      <c r="O162" s="274"/>
      <c r="P162" s="274"/>
      <c r="Q162" s="274"/>
      <c r="R162" s="274">
        <f>50000+25000+35000</f>
        <v>110000</v>
      </c>
      <c r="S162" s="274">
        <f t="shared" si="307"/>
        <v>110000</v>
      </c>
      <c r="T162" s="274"/>
      <c r="U162" s="274"/>
      <c r="V162" s="274"/>
      <c r="W162" s="274">
        <f>50000+25000+35000</f>
        <v>110000</v>
      </c>
      <c r="X162" s="274">
        <f t="shared" si="308"/>
        <v>110000</v>
      </c>
      <c r="Y162" s="274">
        <f t="shared" si="309"/>
        <v>0</v>
      </c>
      <c r="Z162" s="274">
        <f t="shared" si="310"/>
        <v>0</v>
      </c>
      <c r="AA162" s="274"/>
      <c r="AB162" s="306">
        <f t="shared" si="311"/>
        <v>0</v>
      </c>
    </row>
    <row r="163" spans="1:28" s="90" customFormat="1" ht="14.1" customHeight="1" x14ac:dyDescent="0.2">
      <c r="A163" s="301"/>
      <c r="B163" s="348" t="s">
        <v>306</v>
      </c>
      <c r="C163" s="101"/>
      <c r="D163" s="101"/>
      <c r="E163" s="101"/>
      <c r="F163" s="370"/>
      <c r="G163" s="149"/>
      <c r="H163" s="149"/>
      <c r="I163" s="149"/>
      <c r="J163" s="14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583"/>
    </row>
    <row r="164" spans="1:28" s="90" customFormat="1" ht="14.1" customHeight="1" x14ac:dyDescent="0.2">
      <c r="A164" s="301"/>
      <c r="B164" s="349" t="s">
        <v>307</v>
      </c>
      <c r="C164" s="101"/>
      <c r="D164" s="101"/>
      <c r="E164" s="101"/>
      <c r="F164" s="370" t="s">
        <v>308</v>
      </c>
      <c r="G164" s="149">
        <v>26000</v>
      </c>
      <c r="H164" s="149"/>
      <c r="I164" s="329">
        <f t="shared" ref="I164:I166" si="322">G164+H164</f>
        <v>26000</v>
      </c>
      <c r="J164" s="329">
        <f t="shared" ref="J164:J166" si="323">I164</f>
        <v>26000</v>
      </c>
      <c r="K164" s="274"/>
      <c r="L164" s="274"/>
      <c r="M164" s="274"/>
      <c r="N164" s="275">
        <f t="shared" ref="N164:N166" si="324">J164+K164-L164+M164</f>
        <v>26000</v>
      </c>
      <c r="O164" s="274">
        <v>4000</v>
      </c>
      <c r="P164" s="274">
        <f>1000+1000+1000</f>
        <v>3000</v>
      </c>
      <c r="Q164" s="274">
        <f>1000+1000+1000</f>
        <v>3000</v>
      </c>
      <c r="R164" s="274">
        <f>2000+8300+5700</f>
        <v>16000</v>
      </c>
      <c r="S164" s="274">
        <f t="shared" ref="S164:S166" si="325">SUM(O164:R164)</f>
        <v>26000</v>
      </c>
      <c r="T164" s="274">
        <v>3000</v>
      </c>
      <c r="U164" s="274">
        <f>1000+1000+1000</f>
        <v>3000</v>
      </c>
      <c r="V164" s="274">
        <f>1000+1000+1000</f>
        <v>3000</v>
      </c>
      <c r="W164" s="274">
        <f>3000+8300+5700</f>
        <v>17000</v>
      </c>
      <c r="X164" s="274">
        <f t="shared" ref="X164:X166" si="326">SUM(T164:W164)</f>
        <v>26000</v>
      </c>
      <c r="Y164" s="274">
        <f t="shared" ref="Y164:Y166" si="327">I164-N164</f>
        <v>0</v>
      </c>
      <c r="Z164" s="274">
        <f t="shared" ref="Z164:Z166" si="328">N164-S164</f>
        <v>0</v>
      </c>
      <c r="AA164" s="274"/>
      <c r="AB164" s="306">
        <f t="shared" ref="AB164:AB166" si="329">+S164-X164-AA164</f>
        <v>0</v>
      </c>
    </row>
    <row r="165" spans="1:28" s="90" customFormat="1" ht="14.1" customHeight="1" x14ac:dyDescent="0.2">
      <c r="A165" s="301"/>
      <c r="B165" s="349" t="s">
        <v>309</v>
      </c>
      <c r="C165" s="101"/>
      <c r="D165" s="101"/>
      <c r="E165" s="101"/>
      <c r="F165" s="370" t="s">
        <v>310</v>
      </c>
      <c r="G165" s="149">
        <v>61000</v>
      </c>
      <c r="H165" s="149"/>
      <c r="I165" s="329">
        <f t="shared" si="322"/>
        <v>61000</v>
      </c>
      <c r="J165" s="329">
        <f t="shared" si="323"/>
        <v>61000</v>
      </c>
      <c r="K165" s="274"/>
      <c r="L165" s="274"/>
      <c r="M165" s="274">
        <v>0</v>
      </c>
      <c r="N165" s="275">
        <f t="shared" si="324"/>
        <v>61000</v>
      </c>
      <c r="O165" s="274">
        <v>10725</v>
      </c>
      <c r="P165" s="274">
        <f>2750+2750+2750</f>
        <v>8250</v>
      </c>
      <c r="Q165" s="274">
        <f>2750+2750+2750</f>
        <v>8250</v>
      </c>
      <c r="R165" s="274">
        <f>5500+28275</f>
        <v>33775</v>
      </c>
      <c r="S165" s="274">
        <f t="shared" si="325"/>
        <v>61000</v>
      </c>
      <c r="T165" s="274">
        <v>7975</v>
      </c>
      <c r="U165" s="274">
        <f>2750+2750+2750</f>
        <v>8250</v>
      </c>
      <c r="V165" s="274">
        <f>2750+2750+2750</f>
        <v>8250</v>
      </c>
      <c r="W165" s="274">
        <f>2750+2750+2750+28275</f>
        <v>36525</v>
      </c>
      <c r="X165" s="274">
        <f t="shared" si="326"/>
        <v>61000</v>
      </c>
      <c r="Y165" s="274">
        <f t="shared" si="327"/>
        <v>0</v>
      </c>
      <c r="Z165" s="274">
        <f t="shared" si="328"/>
        <v>0</v>
      </c>
      <c r="AA165" s="274"/>
      <c r="AB165" s="306">
        <f t="shared" si="329"/>
        <v>0</v>
      </c>
    </row>
    <row r="166" spans="1:28" s="90" customFormat="1" ht="14.1" customHeight="1" x14ac:dyDescent="0.2">
      <c r="A166" s="301"/>
      <c r="B166" s="349" t="s">
        <v>311</v>
      </c>
      <c r="C166" s="101"/>
      <c r="D166" s="101"/>
      <c r="E166" s="101"/>
      <c r="F166" s="370" t="s">
        <v>312</v>
      </c>
      <c r="G166" s="149">
        <v>26000</v>
      </c>
      <c r="H166" s="149"/>
      <c r="I166" s="329">
        <f t="shared" si="322"/>
        <v>26000</v>
      </c>
      <c r="J166" s="329">
        <f t="shared" si="323"/>
        <v>26000</v>
      </c>
      <c r="K166" s="274"/>
      <c r="L166" s="274"/>
      <c r="M166" s="274"/>
      <c r="N166" s="275">
        <f t="shared" si="324"/>
        <v>26000</v>
      </c>
      <c r="O166" s="274">
        <v>4000</v>
      </c>
      <c r="P166" s="274">
        <f>1000+1000+1000</f>
        <v>3000</v>
      </c>
      <c r="Q166" s="274">
        <f>1000+1000+1000</f>
        <v>3000</v>
      </c>
      <c r="R166" s="274">
        <f>2000+4750+8300</f>
        <v>15050</v>
      </c>
      <c r="S166" s="274">
        <f t="shared" si="325"/>
        <v>25050</v>
      </c>
      <c r="T166" s="274">
        <v>3000</v>
      </c>
      <c r="U166" s="274">
        <f>1000+1000+1000</f>
        <v>3000</v>
      </c>
      <c r="V166" s="274">
        <f>1000+1000+1000+1000</f>
        <v>4000</v>
      </c>
      <c r="W166" s="274">
        <f>1000+1000+4750+8300</f>
        <v>15050</v>
      </c>
      <c r="X166" s="274">
        <f t="shared" si="326"/>
        <v>25050</v>
      </c>
      <c r="Y166" s="274">
        <f t="shared" si="327"/>
        <v>0</v>
      </c>
      <c r="Z166" s="274">
        <f t="shared" si="328"/>
        <v>950</v>
      </c>
      <c r="AA166" s="274"/>
      <c r="AB166" s="306">
        <f t="shared" si="329"/>
        <v>0</v>
      </c>
    </row>
    <row r="167" spans="1:28" s="90" customFormat="1" ht="14.1" customHeight="1" x14ac:dyDescent="0.2">
      <c r="A167" s="301"/>
      <c r="B167" s="348" t="s">
        <v>313</v>
      </c>
      <c r="C167" s="101"/>
      <c r="D167" s="101"/>
      <c r="E167" s="101"/>
      <c r="F167" s="370"/>
      <c r="G167" s="149"/>
      <c r="H167" s="149"/>
      <c r="I167" s="149"/>
      <c r="J167" s="14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583"/>
    </row>
    <row r="168" spans="1:28" s="90" customFormat="1" ht="14.1" customHeight="1" x14ac:dyDescent="0.2">
      <c r="A168" s="301"/>
      <c r="B168" s="349" t="s">
        <v>314</v>
      </c>
      <c r="C168" s="615"/>
      <c r="D168" s="615"/>
      <c r="E168" s="615"/>
      <c r="F168" s="370" t="s">
        <v>315</v>
      </c>
      <c r="G168" s="149">
        <v>14000</v>
      </c>
      <c r="H168" s="149"/>
      <c r="I168" s="329">
        <f t="shared" ref="I168" si="330">G168+H168</f>
        <v>14000</v>
      </c>
      <c r="J168" s="329">
        <f t="shared" ref="J168" si="331">I168</f>
        <v>14000</v>
      </c>
      <c r="K168" s="274"/>
      <c r="L168" s="274"/>
      <c r="M168" s="274">
        <v>0</v>
      </c>
      <c r="N168" s="275">
        <f t="shared" ref="N168:N169" si="332">J168+K168-L168+M168</f>
        <v>14000</v>
      </c>
      <c r="O168" s="274"/>
      <c r="P168" s="274"/>
      <c r="Q168" s="274"/>
      <c r="R168" s="274"/>
      <c r="S168" s="274">
        <f t="shared" ref="S168" si="333">SUM(O168:R168)</f>
        <v>0</v>
      </c>
      <c r="T168" s="274"/>
      <c r="U168" s="274"/>
      <c r="V168" s="274"/>
      <c r="W168" s="274"/>
      <c r="X168" s="274">
        <f t="shared" ref="X168" si="334">SUM(T168:W168)</f>
        <v>0</v>
      </c>
      <c r="Y168" s="274">
        <f t="shared" ref="Y168" si="335">I168-N168</f>
        <v>0</v>
      </c>
      <c r="Z168" s="274">
        <f t="shared" ref="Z168" si="336">N168-S168</f>
        <v>14000</v>
      </c>
      <c r="AA168" s="274"/>
      <c r="AB168" s="306">
        <f t="shared" ref="AB168" si="337">+S168-X168-AA168</f>
        <v>0</v>
      </c>
    </row>
    <row r="169" spans="1:28" s="90" customFormat="1" ht="14.1" customHeight="1" x14ac:dyDescent="0.2">
      <c r="A169" s="301"/>
      <c r="B169" s="349" t="s">
        <v>716</v>
      </c>
      <c r="C169" s="615"/>
      <c r="D169" s="615"/>
      <c r="E169" s="615"/>
      <c r="F169" s="370" t="s">
        <v>488</v>
      </c>
      <c r="G169" s="149">
        <v>86000</v>
      </c>
      <c r="H169" s="149"/>
      <c r="I169" s="329">
        <f t="shared" ref="I169" si="338">G169+H169</f>
        <v>86000</v>
      </c>
      <c r="J169" s="329">
        <f t="shared" ref="J169" si="339">I169</f>
        <v>86000</v>
      </c>
      <c r="K169" s="274"/>
      <c r="L169" s="274"/>
      <c r="M169" s="274"/>
      <c r="N169" s="275">
        <f t="shared" si="332"/>
        <v>86000</v>
      </c>
      <c r="O169" s="274"/>
      <c r="P169" s="274"/>
      <c r="Q169" s="274"/>
      <c r="R169" s="274"/>
      <c r="S169" s="274">
        <f t="shared" ref="S169" si="340">SUM(O169:R169)</f>
        <v>0</v>
      </c>
      <c r="T169" s="274"/>
      <c r="U169" s="274"/>
      <c r="V169" s="274"/>
      <c r="W169" s="274"/>
      <c r="X169" s="274">
        <f t="shared" ref="X169" si="341">SUM(T169:W169)</f>
        <v>0</v>
      </c>
      <c r="Y169" s="274">
        <f t="shared" ref="Y169" si="342">I169-N169</f>
        <v>0</v>
      </c>
      <c r="Z169" s="274">
        <f t="shared" ref="Z169" si="343">N169-S169</f>
        <v>86000</v>
      </c>
      <c r="AA169" s="274"/>
      <c r="AB169" s="306">
        <f t="shared" ref="AB169" si="344">+S169-X169-AA169</f>
        <v>0</v>
      </c>
    </row>
    <row r="170" spans="1:28" s="90" customFormat="1" ht="14.1" customHeight="1" x14ac:dyDescent="0.2">
      <c r="A170" s="301"/>
      <c r="B170" s="615"/>
      <c r="C170" s="615"/>
      <c r="D170" s="615"/>
      <c r="E170" s="615"/>
      <c r="F170" s="370"/>
      <c r="G170" s="321"/>
      <c r="H170" s="321"/>
      <c r="I170" s="321"/>
      <c r="J170" s="321"/>
      <c r="K170" s="321"/>
      <c r="L170" s="321"/>
      <c r="M170" s="321"/>
      <c r="N170" s="321"/>
      <c r="O170" s="321"/>
      <c r="P170" s="321"/>
      <c r="Q170" s="321"/>
      <c r="R170" s="321"/>
      <c r="S170" s="321"/>
      <c r="T170" s="321"/>
      <c r="U170" s="321"/>
      <c r="V170" s="321"/>
      <c r="W170" s="321"/>
      <c r="X170" s="321"/>
      <c r="Y170" s="321"/>
      <c r="Z170" s="321"/>
      <c r="AA170" s="332"/>
      <c r="AB170" s="302"/>
    </row>
    <row r="171" spans="1:28" s="90" customFormat="1" ht="14.1" customHeight="1" x14ac:dyDescent="0.2">
      <c r="A171" s="301"/>
      <c r="B171" s="355" t="s">
        <v>316</v>
      </c>
      <c r="C171" s="101"/>
      <c r="D171" s="101"/>
      <c r="E171" s="101"/>
      <c r="F171" s="372"/>
      <c r="G171" s="321">
        <f t="shared" ref="G171" si="345">SUM(G173:G244)</f>
        <v>2833000</v>
      </c>
      <c r="H171" s="321">
        <f t="shared" ref="H171:AB171" si="346">SUM(H173:H244)</f>
        <v>0</v>
      </c>
      <c r="I171" s="321">
        <f t="shared" si="346"/>
        <v>2833000</v>
      </c>
      <c r="J171" s="321">
        <f t="shared" si="346"/>
        <v>2833000</v>
      </c>
      <c r="K171" s="321">
        <f t="shared" si="346"/>
        <v>0</v>
      </c>
      <c r="L171" s="321">
        <f t="shared" si="346"/>
        <v>0</v>
      </c>
      <c r="M171" s="321">
        <f t="shared" si="346"/>
        <v>105616</v>
      </c>
      <c r="N171" s="321">
        <f t="shared" si="346"/>
        <v>2938616</v>
      </c>
      <c r="O171" s="321">
        <f t="shared" si="346"/>
        <v>1063853.0499999998</v>
      </c>
      <c r="P171" s="321">
        <f t="shared" si="346"/>
        <v>403010.34</v>
      </c>
      <c r="Q171" s="321">
        <f t="shared" si="346"/>
        <v>393485.05</v>
      </c>
      <c r="R171" s="321">
        <f t="shared" si="346"/>
        <v>523066.14999999997</v>
      </c>
      <c r="S171" s="321">
        <f t="shared" si="346"/>
        <v>2383414.59</v>
      </c>
      <c r="T171" s="321">
        <f t="shared" si="346"/>
        <v>1049516.0499999998</v>
      </c>
      <c r="U171" s="321">
        <f t="shared" si="346"/>
        <v>416947.34</v>
      </c>
      <c r="V171" s="321">
        <f t="shared" si="346"/>
        <v>393885.05</v>
      </c>
      <c r="W171" s="321">
        <f t="shared" si="346"/>
        <v>523066.14999999997</v>
      </c>
      <c r="X171" s="321">
        <f t="shared" si="346"/>
        <v>2383414.59</v>
      </c>
      <c r="Y171" s="321">
        <f t="shared" si="346"/>
        <v>-105616</v>
      </c>
      <c r="Z171" s="321">
        <f t="shared" si="346"/>
        <v>555201.40999999992</v>
      </c>
      <c r="AA171" s="332">
        <f t="shared" ref="AA171" si="347">SUM(AA173:AA244)</f>
        <v>0</v>
      </c>
      <c r="AB171" s="302">
        <f t="shared" si="346"/>
        <v>0</v>
      </c>
    </row>
    <row r="172" spans="1:28" s="90" customFormat="1" ht="14.1" customHeight="1" x14ac:dyDescent="0.2">
      <c r="A172" s="301"/>
      <c r="B172" s="348" t="s">
        <v>317</v>
      </c>
      <c r="C172" s="101"/>
      <c r="D172" s="101"/>
      <c r="E172" s="101"/>
      <c r="F172" s="370"/>
      <c r="G172" s="321"/>
      <c r="H172" s="321"/>
      <c r="I172" s="321"/>
      <c r="J172" s="321"/>
      <c r="K172" s="332"/>
      <c r="L172" s="332"/>
      <c r="M172" s="332"/>
      <c r="N172" s="332"/>
      <c r="O172" s="332"/>
      <c r="P172" s="332"/>
      <c r="Q172" s="332"/>
      <c r="R172" s="332"/>
      <c r="S172" s="332"/>
      <c r="T172" s="332"/>
      <c r="U172" s="332"/>
      <c r="V172" s="332"/>
      <c r="W172" s="332"/>
      <c r="X172" s="332"/>
      <c r="Y172" s="332"/>
      <c r="Z172" s="332"/>
      <c r="AA172" s="332"/>
      <c r="AB172" s="302"/>
    </row>
    <row r="173" spans="1:28" s="90" customFormat="1" ht="14.1" customHeight="1" x14ac:dyDescent="0.2">
      <c r="A173" s="301"/>
      <c r="B173" s="350" t="s">
        <v>318</v>
      </c>
      <c r="C173" s="101"/>
      <c r="D173" s="101"/>
      <c r="E173" s="101"/>
      <c r="F173" s="370" t="s">
        <v>319</v>
      </c>
      <c r="G173" s="149">
        <v>312000</v>
      </c>
      <c r="H173" s="149"/>
      <c r="I173" s="329">
        <f t="shared" ref="I173:I174" si="348">G173+H173</f>
        <v>312000</v>
      </c>
      <c r="J173" s="329">
        <f t="shared" ref="J173:J174" si="349">I173</f>
        <v>312000</v>
      </c>
      <c r="K173" s="274"/>
      <c r="L173" s="274"/>
      <c r="M173" s="274"/>
      <c r="N173" s="275">
        <f t="shared" ref="N173:N174" si="350">J173+K173-L173+M173</f>
        <v>312000</v>
      </c>
      <c r="O173" s="274">
        <v>122088.18</v>
      </c>
      <c r="P173" s="274">
        <f>49881.5+28871+8355+10438+2200+2015+3400</f>
        <v>105160.5</v>
      </c>
      <c r="Q173" s="274">
        <v>3275</v>
      </c>
      <c r="R173" s="274">
        <v>81476.320000000007</v>
      </c>
      <c r="S173" s="274">
        <f t="shared" ref="S173:S174" si="351">SUM(O173:R173)</f>
        <v>312000</v>
      </c>
      <c r="T173" s="274">
        <v>122088.18</v>
      </c>
      <c r="U173" s="274">
        <f>49881.5+28871+8355+10438+3400+2015+2200</f>
        <v>105160.5</v>
      </c>
      <c r="V173" s="274">
        <v>3275</v>
      </c>
      <c r="W173" s="274">
        <v>81476.320000000007</v>
      </c>
      <c r="X173" s="274">
        <f t="shared" ref="X173:X174" si="352">SUM(T173:W173)</f>
        <v>312000</v>
      </c>
      <c r="Y173" s="274">
        <f t="shared" ref="Y173:Y174" si="353">I173-N173</f>
        <v>0</v>
      </c>
      <c r="Z173" s="274">
        <f t="shared" ref="Z173:Z174" si="354">N173-S173</f>
        <v>0</v>
      </c>
      <c r="AA173" s="274"/>
      <c r="AB173" s="306">
        <f t="shared" ref="AB173:AB174" si="355">+S173-X173-AA173</f>
        <v>0</v>
      </c>
    </row>
    <row r="174" spans="1:28" s="90" customFormat="1" ht="14.1" hidden="1" customHeight="1" x14ac:dyDescent="0.2">
      <c r="A174" s="301"/>
      <c r="B174" s="350" t="s">
        <v>320</v>
      </c>
      <c r="C174" s="101"/>
      <c r="D174" s="101"/>
      <c r="E174" s="101"/>
      <c r="F174" s="370" t="s">
        <v>321</v>
      </c>
      <c r="G174" s="149"/>
      <c r="H174" s="149"/>
      <c r="I174" s="329">
        <f t="shared" si="348"/>
        <v>0</v>
      </c>
      <c r="J174" s="329">
        <f t="shared" si="349"/>
        <v>0</v>
      </c>
      <c r="K174" s="274"/>
      <c r="L174" s="274"/>
      <c r="M174" s="274"/>
      <c r="N174" s="275">
        <f t="shared" si="350"/>
        <v>0</v>
      </c>
      <c r="O174" s="274"/>
      <c r="P174" s="274"/>
      <c r="Q174" s="274"/>
      <c r="R174" s="274"/>
      <c r="S174" s="274">
        <f t="shared" si="351"/>
        <v>0</v>
      </c>
      <c r="T174" s="274"/>
      <c r="U174" s="274"/>
      <c r="V174" s="274"/>
      <c r="W174" s="274"/>
      <c r="X174" s="274">
        <f t="shared" si="352"/>
        <v>0</v>
      </c>
      <c r="Y174" s="274">
        <f t="shared" si="353"/>
        <v>0</v>
      </c>
      <c r="Z174" s="274">
        <f t="shared" si="354"/>
        <v>0</v>
      </c>
      <c r="AA174" s="274"/>
      <c r="AB174" s="306">
        <f t="shared" si="355"/>
        <v>0</v>
      </c>
    </row>
    <row r="175" spans="1:28" s="90" customFormat="1" ht="14.1" customHeight="1" x14ac:dyDescent="0.2">
      <c r="A175" s="301"/>
      <c r="B175" s="351" t="s">
        <v>322</v>
      </c>
      <c r="C175" s="101"/>
      <c r="D175" s="101"/>
      <c r="E175" s="101"/>
      <c r="F175" s="370"/>
      <c r="G175" s="149"/>
      <c r="H175" s="149"/>
      <c r="I175" s="149"/>
      <c r="J175" s="14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583"/>
    </row>
    <row r="176" spans="1:28" s="90" customFormat="1" ht="14.1" customHeight="1" x14ac:dyDescent="0.2">
      <c r="A176" s="301"/>
      <c r="B176" s="350" t="s">
        <v>323</v>
      </c>
      <c r="C176" s="101"/>
      <c r="D176" s="101"/>
      <c r="E176" s="101"/>
      <c r="F176" s="370" t="s">
        <v>324</v>
      </c>
      <c r="G176" s="149">
        <v>311000</v>
      </c>
      <c r="H176" s="149"/>
      <c r="I176" s="329">
        <f t="shared" ref="I176:I178" si="356">G176+H176</f>
        <v>311000</v>
      </c>
      <c r="J176" s="329">
        <f t="shared" ref="J176:J178" si="357">I176</f>
        <v>311000</v>
      </c>
      <c r="K176" s="274"/>
      <c r="L176" s="274"/>
      <c r="M176" s="274"/>
      <c r="N176" s="275">
        <f t="shared" ref="N176:N178" si="358">J176+K176-L176+M176</f>
        <v>311000</v>
      </c>
      <c r="O176" s="274">
        <v>19449.3</v>
      </c>
      <c r="P176" s="274"/>
      <c r="Q176" s="274"/>
      <c r="R176" s="274">
        <v>28001.84</v>
      </c>
      <c r="S176" s="274">
        <f t="shared" ref="S176:S178" si="359">SUM(O176:R176)</f>
        <v>47451.14</v>
      </c>
      <c r="T176" s="274">
        <v>19449.3</v>
      </c>
      <c r="U176" s="274"/>
      <c r="V176" s="274"/>
      <c r="W176" s="274">
        <v>28001.84</v>
      </c>
      <c r="X176" s="274">
        <f t="shared" ref="X176:X178" si="360">SUM(T176:W176)</f>
        <v>47451.14</v>
      </c>
      <c r="Y176" s="274">
        <f t="shared" ref="Y176:Y178" si="361">I176-N176</f>
        <v>0</v>
      </c>
      <c r="Z176" s="274">
        <f t="shared" ref="Z176:Z178" si="362">N176-S176</f>
        <v>263548.86</v>
      </c>
      <c r="AA176" s="274"/>
      <c r="AB176" s="306">
        <f t="shared" ref="AB176:AB178" si="363">+S176-X176-AA176</f>
        <v>0</v>
      </c>
    </row>
    <row r="177" spans="1:28" s="90" customFormat="1" ht="14.1" hidden="1" customHeight="1" x14ac:dyDescent="0.2">
      <c r="A177" s="301"/>
      <c r="B177" s="350" t="s">
        <v>720</v>
      </c>
      <c r="C177" s="718"/>
      <c r="D177" s="718"/>
      <c r="E177" s="718"/>
      <c r="F177" s="370" t="s">
        <v>721</v>
      </c>
      <c r="G177" s="149"/>
      <c r="H177" s="149"/>
      <c r="I177" s="329">
        <f t="shared" ref="I177" si="364">G177+H177</f>
        <v>0</v>
      </c>
      <c r="J177" s="329">
        <f t="shared" ref="J177" si="365">I177</f>
        <v>0</v>
      </c>
      <c r="K177" s="274"/>
      <c r="L177" s="274"/>
      <c r="M177" s="274"/>
      <c r="N177" s="275">
        <f t="shared" si="358"/>
        <v>0</v>
      </c>
      <c r="O177" s="274"/>
      <c r="P177" s="274"/>
      <c r="Q177" s="274"/>
      <c r="R177" s="274"/>
      <c r="S177" s="274">
        <f t="shared" ref="S177" si="366">SUM(O177:R177)</f>
        <v>0</v>
      </c>
      <c r="T177" s="274"/>
      <c r="U177" s="274"/>
      <c r="V177" s="274"/>
      <c r="W177" s="274"/>
      <c r="X177" s="274">
        <f t="shared" ref="X177" si="367">SUM(T177:W177)</f>
        <v>0</v>
      </c>
      <c r="Y177" s="274">
        <f t="shared" ref="Y177" si="368">I177-N177</f>
        <v>0</v>
      </c>
      <c r="Z177" s="274">
        <f t="shared" ref="Z177" si="369">N177-S177</f>
        <v>0</v>
      </c>
      <c r="AA177" s="274"/>
      <c r="AB177" s="306">
        <f t="shared" ref="AB177" si="370">+S177-X177-AA177</f>
        <v>0</v>
      </c>
    </row>
    <row r="178" spans="1:28" s="90" customFormat="1" ht="14.1" customHeight="1" x14ac:dyDescent="0.2">
      <c r="A178" s="301"/>
      <c r="B178" s="350" t="s">
        <v>325</v>
      </c>
      <c r="C178" s="101"/>
      <c r="D178" s="101"/>
      <c r="E178" s="101"/>
      <c r="F178" s="370" t="s">
        <v>326</v>
      </c>
      <c r="G178" s="149"/>
      <c r="H178" s="149"/>
      <c r="I178" s="329">
        <f t="shared" si="356"/>
        <v>0</v>
      </c>
      <c r="J178" s="329">
        <f t="shared" si="357"/>
        <v>0</v>
      </c>
      <c r="K178" s="274"/>
      <c r="L178" s="274"/>
      <c r="M178" s="274">
        <v>105616</v>
      </c>
      <c r="N178" s="275">
        <f t="shared" si="358"/>
        <v>105616</v>
      </c>
      <c r="O178" s="274"/>
      <c r="P178" s="274">
        <f>3197.07+20107.61</f>
        <v>23304.68</v>
      </c>
      <c r="Q178" s="274">
        <f>3000+3000+3000</f>
        <v>9000</v>
      </c>
      <c r="R178" s="274">
        <f>34627.18+9000</f>
        <v>43627.18</v>
      </c>
      <c r="S178" s="274">
        <f t="shared" si="359"/>
        <v>75931.86</v>
      </c>
      <c r="T178" s="274"/>
      <c r="U178" s="274">
        <f>20107.61+3197.07</f>
        <v>23304.68</v>
      </c>
      <c r="V178" s="274">
        <f>3000+3000+3000</f>
        <v>9000</v>
      </c>
      <c r="W178" s="274">
        <f>34627.18+9000</f>
        <v>43627.18</v>
      </c>
      <c r="X178" s="274">
        <f t="shared" si="360"/>
        <v>75931.86</v>
      </c>
      <c r="Y178" s="274">
        <f t="shared" si="361"/>
        <v>-105616</v>
      </c>
      <c r="Z178" s="274">
        <f t="shared" si="362"/>
        <v>29684.14</v>
      </c>
      <c r="AA178" s="274"/>
      <c r="AB178" s="306">
        <f t="shared" si="363"/>
        <v>0</v>
      </c>
    </row>
    <row r="179" spans="1:28" s="90" customFormat="1" ht="14.1" customHeight="1" x14ac:dyDescent="0.2">
      <c r="A179" s="301"/>
      <c r="B179" s="351" t="s">
        <v>327</v>
      </c>
      <c r="C179" s="101"/>
      <c r="D179" s="101"/>
      <c r="E179" s="101"/>
      <c r="F179" s="370"/>
      <c r="G179" s="149"/>
      <c r="H179" s="149"/>
      <c r="I179" s="149"/>
      <c r="J179" s="14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583"/>
    </row>
    <row r="180" spans="1:28" s="90" customFormat="1" ht="14.1" customHeight="1" x14ac:dyDescent="0.2">
      <c r="A180" s="301"/>
      <c r="B180" s="350" t="s">
        <v>328</v>
      </c>
      <c r="C180" s="101"/>
      <c r="D180" s="101"/>
      <c r="E180" s="101"/>
      <c r="F180" s="370" t="s">
        <v>743</v>
      </c>
      <c r="G180" s="149">
        <v>120000</v>
      </c>
      <c r="H180" s="149"/>
      <c r="I180" s="329">
        <f t="shared" ref="I180:I185" si="371">G180+H180</f>
        <v>120000</v>
      </c>
      <c r="J180" s="329">
        <f t="shared" ref="J180:J185" si="372">I180</f>
        <v>120000</v>
      </c>
      <c r="K180" s="274"/>
      <c r="L180" s="274"/>
      <c r="M180" s="274"/>
      <c r="N180" s="275">
        <f t="shared" ref="N180:N185" si="373">J180+K180-L180+M180</f>
        <v>120000</v>
      </c>
      <c r="O180" s="274">
        <v>66746.25</v>
      </c>
      <c r="P180" s="274">
        <f>4250+5460+479.75</f>
        <v>10189.75</v>
      </c>
      <c r="Q180" s="274">
        <f>21696.35+16768+400</f>
        <v>38864.35</v>
      </c>
      <c r="R180" s="274">
        <v>4199.6499999999996</v>
      </c>
      <c r="S180" s="274">
        <f t="shared" ref="S180:S185" si="374">SUM(O180:R180)</f>
        <v>120000</v>
      </c>
      <c r="T180" s="274">
        <v>52409.25</v>
      </c>
      <c r="U180" s="274">
        <f>14337+4250+5460+479.75</f>
        <v>24526.75</v>
      </c>
      <c r="V180" s="274">
        <f>7200+8460+3181.25+1955.5+899.6+16768+400</f>
        <v>38864.35</v>
      </c>
      <c r="W180" s="274">
        <v>4199.6499999999996</v>
      </c>
      <c r="X180" s="274">
        <f t="shared" ref="X180:X185" si="375">SUM(T180:W180)</f>
        <v>120000</v>
      </c>
      <c r="Y180" s="274">
        <f t="shared" ref="Y180:Y185" si="376">I180-N180</f>
        <v>0</v>
      </c>
      <c r="Z180" s="274">
        <f t="shared" ref="Z180:Z185" si="377">N180-S180</f>
        <v>0</v>
      </c>
      <c r="AA180" s="274"/>
      <c r="AB180" s="306">
        <f t="shared" ref="AB180:AB185" si="378">+S180-X180-AA180</f>
        <v>0</v>
      </c>
    </row>
    <row r="181" spans="1:28" s="90" customFormat="1" ht="14.1" customHeight="1" x14ac:dyDescent="0.2">
      <c r="A181" s="301"/>
      <c r="B181" s="350" t="s">
        <v>330</v>
      </c>
      <c r="C181" s="101"/>
      <c r="D181" s="101"/>
      <c r="E181" s="101"/>
      <c r="F181" s="370" t="s">
        <v>331</v>
      </c>
      <c r="G181" s="149">
        <v>22000</v>
      </c>
      <c r="H181" s="149"/>
      <c r="I181" s="329">
        <f t="shared" si="371"/>
        <v>22000</v>
      </c>
      <c r="J181" s="329">
        <f t="shared" si="372"/>
        <v>22000</v>
      </c>
      <c r="K181" s="274"/>
      <c r="L181" s="274"/>
      <c r="M181" s="274"/>
      <c r="N181" s="275">
        <f t="shared" si="373"/>
        <v>22000</v>
      </c>
      <c r="O181" s="274">
        <v>22000</v>
      </c>
      <c r="P181" s="274"/>
      <c r="Q181" s="274"/>
      <c r="R181" s="274"/>
      <c r="S181" s="274">
        <f t="shared" si="374"/>
        <v>22000</v>
      </c>
      <c r="T181" s="274">
        <v>22000</v>
      </c>
      <c r="U181" s="274"/>
      <c r="V181" s="274"/>
      <c r="W181" s="274"/>
      <c r="X181" s="274">
        <f t="shared" si="375"/>
        <v>22000</v>
      </c>
      <c r="Y181" s="274">
        <f t="shared" si="376"/>
        <v>0</v>
      </c>
      <c r="Z181" s="274">
        <f t="shared" si="377"/>
        <v>0</v>
      </c>
      <c r="AA181" s="274"/>
      <c r="AB181" s="306">
        <f t="shared" si="378"/>
        <v>0</v>
      </c>
    </row>
    <row r="182" spans="1:28" s="90" customFormat="1" ht="14.1" customHeight="1" x14ac:dyDescent="0.2">
      <c r="A182" s="301"/>
      <c r="B182" s="350" t="s">
        <v>332</v>
      </c>
      <c r="C182" s="101"/>
      <c r="D182" s="101"/>
      <c r="E182" s="101"/>
      <c r="F182" s="370" t="s">
        <v>333</v>
      </c>
      <c r="G182" s="149">
        <v>40000</v>
      </c>
      <c r="H182" s="149"/>
      <c r="I182" s="329">
        <f t="shared" si="371"/>
        <v>40000</v>
      </c>
      <c r="J182" s="329">
        <f t="shared" si="372"/>
        <v>40000</v>
      </c>
      <c r="K182" s="274"/>
      <c r="L182" s="274"/>
      <c r="M182" s="274"/>
      <c r="N182" s="275">
        <f t="shared" si="373"/>
        <v>40000</v>
      </c>
      <c r="O182" s="274"/>
      <c r="P182" s="274"/>
      <c r="Q182" s="274"/>
      <c r="R182" s="274">
        <v>40000</v>
      </c>
      <c r="S182" s="274">
        <f t="shared" si="374"/>
        <v>40000</v>
      </c>
      <c r="T182" s="274"/>
      <c r="U182" s="274"/>
      <c r="V182" s="274"/>
      <c r="W182" s="274">
        <v>40000</v>
      </c>
      <c r="X182" s="274">
        <f t="shared" si="375"/>
        <v>40000</v>
      </c>
      <c r="Y182" s="274">
        <f t="shared" si="376"/>
        <v>0</v>
      </c>
      <c r="Z182" s="274">
        <f t="shared" si="377"/>
        <v>0</v>
      </c>
      <c r="AA182" s="274"/>
      <c r="AB182" s="306">
        <f t="shared" si="378"/>
        <v>0</v>
      </c>
    </row>
    <row r="183" spans="1:28" s="90" customFormat="1" ht="14.1" customHeight="1" x14ac:dyDescent="0.2">
      <c r="A183" s="301"/>
      <c r="B183" s="350" t="s">
        <v>334</v>
      </c>
      <c r="C183" s="101"/>
      <c r="D183" s="101"/>
      <c r="E183" s="101"/>
      <c r="F183" s="370" t="s">
        <v>335</v>
      </c>
      <c r="G183" s="149"/>
      <c r="H183" s="149"/>
      <c r="I183" s="329">
        <f t="shared" si="371"/>
        <v>0</v>
      </c>
      <c r="J183" s="329">
        <f t="shared" si="372"/>
        <v>0</v>
      </c>
      <c r="K183" s="274"/>
      <c r="L183" s="274"/>
      <c r="M183" s="274"/>
      <c r="N183" s="275">
        <f t="shared" si="373"/>
        <v>0</v>
      </c>
      <c r="O183" s="274"/>
      <c r="P183" s="274"/>
      <c r="Q183" s="274"/>
      <c r="R183" s="274"/>
      <c r="S183" s="274">
        <f t="shared" si="374"/>
        <v>0</v>
      </c>
      <c r="T183" s="274"/>
      <c r="U183" s="274"/>
      <c r="V183" s="274"/>
      <c r="W183" s="274"/>
      <c r="X183" s="274">
        <f t="shared" si="375"/>
        <v>0</v>
      </c>
      <c r="Y183" s="274">
        <f t="shared" si="376"/>
        <v>0</v>
      </c>
      <c r="Z183" s="274">
        <f t="shared" si="377"/>
        <v>0</v>
      </c>
      <c r="AA183" s="274"/>
      <c r="AB183" s="306">
        <f t="shared" si="378"/>
        <v>0</v>
      </c>
    </row>
    <row r="184" spans="1:28" s="90" customFormat="1" ht="14.1" customHeight="1" x14ac:dyDescent="0.2">
      <c r="A184" s="301"/>
      <c r="B184" s="350" t="s">
        <v>336</v>
      </c>
      <c r="C184" s="101"/>
      <c r="D184" s="101"/>
      <c r="E184" s="101"/>
      <c r="F184" s="370" t="s">
        <v>337</v>
      </c>
      <c r="G184" s="149">
        <v>216000</v>
      </c>
      <c r="H184" s="149"/>
      <c r="I184" s="329">
        <f t="shared" si="371"/>
        <v>216000</v>
      </c>
      <c r="J184" s="329">
        <f t="shared" si="372"/>
        <v>216000</v>
      </c>
      <c r="K184" s="274"/>
      <c r="L184" s="274"/>
      <c r="M184" s="274"/>
      <c r="N184" s="275">
        <f t="shared" si="373"/>
        <v>216000</v>
      </c>
      <c r="O184" s="274"/>
      <c r="P184" s="274"/>
      <c r="Q184" s="274">
        <v>16084.32</v>
      </c>
      <c r="R184" s="274">
        <v>15238</v>
      </c>
      <c r="S184" s="274">
        <f t="shared" si="374"/>
        <v>31322.32</v>
      </c>
      <c r="T184" s="274"/>
      <c r="U184" s="274"/>
      <c r="V184" s="274">
        <v>16084.32</v>
      </c>
      <c r="W184" s="274">
        <v>15238</v>
      </c>
      <c r="X184" s="274">
        <f t="shared" si="375"/>
        <v>31322.32</v>
      </c>
      <c r="Y184" s="274">
        <f t="shared" si="376"/>
        <v>0</v>
      </c>
      <c r="Z184" s="274">
        <f t="shared" si="377"/>
        <v>184677.68</v>
      </c>
      <c r="AA184" s="274"/>
      <c r="AB184" s="306">
        <f t="shared" si="378"/>
        <v>0</v>
      </c>
    </row>
    <row r="185" spans="1:28" s="90" customFormat="1" ht="14.1" customHeight="1" x14ac:dyDescent="0.2">
      <c r="A185" s="301"/>
      <c r="B185" s="350" t="s">
        <v>338</v>
      </c>
      <c r="C185" s="101"/>
      <c r="D185" s="101"/>
      <c r="E185" s="101"/>
      <c r="F185" s="370" t="s">
        <v>339</v>
      </c>
      <c r="G185" s="149">
        <v>15000</v>
      </c>
      <c r="H185" s="149"/>
      <c r="I185" s="329">
        <f t="shared" si="371"/>
        <v>15000</v>
      </c>
      <c r="J185" s="329">
        <f t="shared" si="372"/>
        <v>15000</v>
      </c>
      <c r="K185" s="274"/>
      <c r="L185" s="274"/>
      <c r="M185" s="274"/>
      <c r="N185" s="275">
        <f t="shared" si="373"/>
        <v>15000</v>
      </c>
      <c r="O185" s="274">
        <v>1500</v>
      </c>
      <c r="P185" s="274"/>
      <c r="Q185" s="274">
        <v>13500</v>
      </c>
      <c r="R185" s="274"/>
      <c r="S185" s="274">
        <f t="shared" si="374"/>
        <v>15000</v>
      </c>
      <c r="T185" s="274">
        <v>1500</v>
      </c>
      <c r="U185" s="274"/>
      <c r="V185" s="274">
        <v>13500</v>
      </c>
      <c r="W185" s="274"/>
      <c r="X185" s="274">
        <f t="shared" si="375"/>
        <v>15000</v>
      </c>
      <c r="Y185" s="274">
        <f t="shared" si="376"/>
        <v>0</v>
      </c>
      <c r="Z185" s="274">
        <f t="shared" si="377"/>
        <v>0</v>
      </c>
      <c r="AA185" s="274"/>
      <c r="AB185" s="306">
        <f t="shared" si="378"/>
        <v>0</v>
      </c>
    </row>
    <row r="186" spans="1:28" s="90" customFormat="1" ht="14.1" customHeight="1" x14ac:dyDescent="0.2">
      <c r="A186" s="301"/>
      <c r="B186" s="351" t="s">
        <v>340</v>
      </c>
      <c r="C186" s="101"/>
      <c r="D186" s="101"/>
      <c r="E186" s="101"/>
      <c r="F186" s="370"/>
      <c r="G186" s="149"/>
      <c r="H186" s="149"/>
      <c r="I186" s="149"/>
      <c r="J186" s="14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583"/>
    </row>
    <row r="187" spans="1:28" s="90" customFormat="1" ht="14.1" customHeight="1" x14ac:dyDescent="0.2">
      <c r="A187" s="301"/>
      <c r="B187" s="350" t="s">
        <v>341</v>
      </c>
      <c r="C187" s="101"/>
      <c r="D187" s="101"/>
      <c r="E187" s="101"/>
      <c r="F187" s="370" t="s">
        <v>342</v>
      </c>
      <c r="G187" s="149">
        <v>59000</v>
      </c>
      <c r="H187" s="149"/>
      <c r="I187" s="329">
        <f t="shared" ref="I187:I188" si="379">G187+H187</f>
        <v>59000</v>
      </c>
      <c r="J187" s="329">
        <f t="shared" ref="J187:J188" si="380">I187</f>
        <v>59000</v>
      </c>
      <c r="K187" s="274"/>
      <c r="L187" s="274"/>
      <c r="M187" s="274"/>
      <c r="N187" s="275">
        <f t="shared" ref="N187:N188" si="381">J187+K187-L187+M187</f>
        <v>59000</v>
      </c>
      <c r="O187" s="274">
        <v>31867.24</v>
      </c>
      <c r="P187" s="274">
        <f>7618.55+4700+4770.35</f>
        <v>17088.900000000001</v>
      </c>
      <c r="Q187" s="274">
        <f>1691.51+493.28+5744.82+2114.25</f>
        <v>10043.86</v>
      </c>
      <c r="R187" s="274"/>
      <c r="S187" s="274">
        <f t="shared" ref="S187:S188" si="382">SUM(O187:R187)</f>
        <v>59000</v>
      </c>
      <c r="T187" s="274">
        <v>31867.24</v>
      </c>
      <c r="U187" s="274">
        <f>7618.55+4700+4770.35</f>
        <v>17088.900000000001</v>
      </c>
      <c r="V187" s="274">
        <f>1691.51+5744.82+493.28+2114.25</f>
        <v>10043.86</v>
      </c>
      <c r="W187" s="274"/>
      <c r="X187" s="274">
        <f t="shared" ref="X187:X188" si="383">SUM(T187:W187)</f>
        <v>59000</v>
      </c>
      <c r="Y187" s="274">
        <f t="shared" ref="Y187:Y188" si="384">I187-N187</f>
        <v>0</v>
      </c>
      <c r="Z187" s="274">
        <f t="shared" ref="Z187:Z188" si="385">N187-S187</f>
        <v>0</v>
      </c>
      <c r="AA187" s="274"/>
      <c r="AB187" s="306">
        <f t="shared" ref="AB187:AB188" si="386">+S187-X187-AA187</f>
        <v>0</v>
      </c>
    </row>
    <row r="188" spans="1:28" s="90" customFormat="1" ht="14.1" customHeight="1" x14ac:dyDescent="0.2">
      <c r="A188" s="301"/>
      <c r="B188" s="350" t="s">
        <v>343</v>
      </c>
      <c r="C188" s="101"/>
      <c r="D188" s="101"/>
      <c r="E188" s="101"/>
      <c r="F188" s="370" t="s">
        <v>344</v>
      </c>
      <c r="G188" s="149">
        <v>428000</v>
      </c>
      <c r="H188" s="149"/>
      <c r="I188" s="329">
        <f t="shared" si="379"/>
        <v>428000</v>
      </c>
      <c r="J188" s="329">
        <f t="shared" si="380"/>
        <v>428000</v>
      </c>
      <c r="K188" s="274"/>
      <c r="L188" s="274"/>
      <c r="M188" s="274"/>
      <c r="N188" s="275">
        <f t="shared" si="381"/>
        <v>428000</v>
      </c>
      <c r="O188" s="274">
        <v>428000</v>
      </c>
      <c r="P188" s="274"/>
      <c r="Q188" s="274"/>
      <c r="R188" s="274"/>
      <c r="S188" s="274">
        <f t="shared" si="382"/>
        <v>428000</v>
      </c>
      <c r="T188" s="274">
        <v>428000</v>
      </c>
      <c r="U188" s="274"/>
      <c r="V188" s="274"/>
      <c r="W188" s="274"/>
      <c r="X188" s="274">
        <f t="shared" si="383"/>
        <v>428000</v>
      </c>
      <c r="Y188" s="274">
        <f t="shared" si="384"/>
        <v>0</v>
      </c>
      <c r="Z188" s="274">
        <f t="shared" si="385"/>
        <v>0</v>
      </c>
      <c r="AA188" s="274"/>
      <c r="AB188" s="306">
        <f t="shared" si="386"/>
        <v>0</v>
      </c>
    </row>
    <row r="189" spans="1:28" s="90" customFormat="1" ht="14.1" customHeight="1" x14ac:dyDescent="0.2">
      <c r="A189" s="301"/>
      <c r="B189" s="351" t="s">
        <v>345</v>
      </c>
      <c r="C189" s="101"/>
      <c r="D189" s="101"/>
      <c r="E189" s="101"/>
      <c r="F189" s="370"/>
      <c r="G189" s="149"/>
      <c r="H189" s="149"/>
      <c r="I189" s="149"/>
      <c r="J189" s="14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583"/>
    </row>
    <row r="190" spans="1:28" s="90" customFormat="1" ht="14.1" customHeight="1" x14ac:dyDescent="0.2">
      <c r="A190" s="301"/>
      <c r="B190" s="350" t="s">
        <v>346</v>
      </c>
      <c r="C190" s="101"/>
      <c r="D190" s="101"/>
      <c r="E190" s="101"/>
      <c r="F190" s="370" t="s">
        <v>347</v>
      </c>
      <c r="G190" s="149">
        <v>16000</v>
      </c>
      <c r="H190" s="149"/>
      <c r="I190" s="329">
        <f t="shared" ref="I190:I194" si="387">G190+H190</f>
        <v>16000</v>
      </c>
      <c r="J190" s="329">
        <f t="shared" ref="J190:J194" si="388">I190</f>
        <v>16000</v>
      </c>
      <c r="K190" s="274"/>
      <c r="L190" s="274"/>
      <c r="M190" s="274"/>
      <c r="N190" s="275">
        <f t="shared" ref="N190:N194" si="389">J190+K190-L190+M190</f>
        <v>16000</v>
      </c>
      <c r="O190" s="274">
        <v>8588.2000000000007</v>
      </c>
      <c r="P190" s="274">
        <f>2930+4481.8</f>
        <v>7411.8</v>
      </c>
      <c r="Q190" s="274"/>
      <c r="R190" s="274"/>
      <c r="S190" s="274">
        <f t="shared" ref="S190:S194" si="390">SUM(O190:R190)</f>
        <v>16000</v>
      </c>
      <c r="T190" s="274">
        <v>8588.2000000000007</v>
      </c>
      <c r="U190" s="274">
        <f>2930+4481.8</f>
        <v>7411.8</v>
      </c>
      <c r="V190" s="274"/>
      <c r="W190" s="274"/>
      <c r="X190" s="274">
        <f t="shared" ref="X190:X194" si="391">SUM(T190:W190)</f>
        <v>16000</v>
      </c>
      <c r="Y190" s="274">
        <f t="shared" ref="Y190:Y194" si="392">I190-N190</f>
        <v>0</v>
      </c>
      <c r="Z190" s="274">
        <f t="shared" ref="Z190:Z194" si="393">N190-S190</f>
        <v>0</v>
      </c>
      <c r="AA190" s="274"/>
      <c r="AB190" s="306">
        <f t="shared" ref="AB190:AB194" si="394">+S190-X190-AA190</f>
        <v>0</v>
      </c>
    </row>
    <row r="191" spans="1:28" s="90" customFormat="1" ht="14.1" customHeight="1" x14ac:dyDescent="0.2">
      <c r="A191" s="301"/>
      <c r="B191" s="350" t="s">
        <v>348</v>
      </c>
      <c r="C191" s="101"/>
      <c r="D191" s="101"/>
      <c r="E191" s="101"/>
      <c r="F191" s="370" t="s">
        <v>349</v>
      </c>
      <c r="G191" s="149">
        <v>32000</v>
      </c>
      <c r="H191" s="149"/>
      <c r="I191" s="329">
        <f t="shared" si="387"/>
        <v>32000</v>
      </c>
      <c r="J191" s="329">
        <f t="shared" si="388"/>
        <v>32000</v>
      </c>
      <c r="K191" s="274"/>
      <c r="L191" s="274"/>
      <c r="M191" s="274"/>
      <c r="N191" s="275">
        <f t="shared" si="389"/>
        <v>32000</v>
      </c>
      <c r="O191" s="274">
        <v>9000</v>
      </c>
      <c r="P191" s="274">
        <f>3000+1000+2000+1000+2000</f>
        <v>9000</v>
      </c>
      <c r="Q191" s="274">
        <f>5999+1000+1000</f>
        <v>7999</v>
      </c>
      <c r="R191" s="274">
        <f>2999.5+999</f>
        <v>3998.5</v>
      </c>
      <c r="S191" s="274">
        <f t="shared" si="390"/>
        <v>29997.5</v>
      </c>
      <c r="T191" s="274">
        <v>9000</v>
      </c>
      <c r="U191" s="274">
        <f>3000+1000+2000+1000+2000</f>
        <v>9000</v>
      </c>
      <c r="V191" s="274">
        <f>999+2000+1000+2000+1000+1000</f>
        <v>7999</v>
      </c>
      <c r="W191" s="274">
        <f>2999.5+999</f>
        <v>3998.5</v>
      </c>
      <c r="X191" s="274">
        <f t="shared" si="391"/>
        <v>29997.5</v>
      </c>
      <c r="Y191" s="274">
        <f t="shared" si="392"/>
        <v>0</v>
      </c>
      <c r="Z191" s="274">
        <f t="shared" si="393"/>
        <v>2002.5</v>
      </c>
      <c r="AA191" s="274"/>
      <c r="AB191" s="306">
        <f t="shared" si="394"/>
        <v>0</v>
      </c>
    </row>
    <row r="192" spans="1:28" s="90" customFormat="1" ht="14.1" customHeight="1" x14ac:dyDescent="0.2">
      <c r="A192" s="301"/>
      <c r="B192" s="350" t="s">
        <v>350</v>
      </c>
      <c r="C192" s="101"/>
      <c r="D192" s="101"/>
      <c r="E192" s="101"/>
      <c r="F192" s="370" t="s">
        <v>351</v>
      </c>
      <c r="G192" s="149">
        <v>67000</v>
      </c>
      <c r="H192" s="149"/>
      <c r="I192" s="329">
        <f t="shared" si="387"/>
        <v>67000</v>
      </c>
      <c r="J192" s="329">
        <f t="shared" si="388"/>
        <v>67000</v>
      </c>
      <c r="K192" s="274"/>
      <c r="L192" s="274"/>
      <c r="M192" s="274"/>
      <c r="N192" s="275">
        <f t="shared" si="389"/>
        <v>67000</v>
      </c>
      <c r="O192" s="274">
        <v>13752.66</v>
      </c>
      <c r="P192" s="274">
        <f>4279.17+1331.32+1242.31+1253.74+1048.78</f>
        <v>9155.32</v>
      </c>
      <c r="Q192" s="274">
        <f>1048.78+1542.58+1090.78+1064.07+1048.78+1307.14+1237.14+241.31+1378.67+1972.7</f>
        <v>11931.949999999999</v>
      </c>
      <c r="R192" s="274">
        <f>5506.74+1993.15+3371.95</f>
        <v>10871.84</v>
      </c>
      <c r="S192" s="274">
        <f t="shared" si="390"/>
        <v>45711.770000000004</v>
      </c>
      <c r="T192" s="274">
        <v>13752.66</v>
      </c>
      <c r="U192" s="274">
        <f>4279.17+1331.32+1242.31+1253.74+1048.78</f>
        <v>9155.32</v>
      </c>
      <c r="V192" s="274">
        <f>1090.78+1542.58+1048.78+1307.14+1048.78+1064.07+1237.14+241.31+1378.67+1972.7</f>
        <v>11931.949999999999</v>
      </c>
      <c r="W192" s="274">
        <f>5506.74+1993.15+3371.95</f>
        <v>10871.84</v>
      </c>
      <c r="X192" s="274">
        <f t="shared" si="391"/>
        <v>45711.770000000004</v>
      </c>
      <c r="Y192" s="274">
        <f t="shared" si="392"/>
        <v>0</v>
      </c>
      <c r="Z192" s="274">
        <f t="shared" si="393"/>
        <v>21288.229999999996</v>
      </c>
      <c r="AA192" s="274"/>
      <c r="AB192" s="306">
        <f t="shared" si="394"/>
        <v>0</v>
      </c>
    </row>
    <row r="193" spans="1:28" s="90" customFormat="1" ht="14.1" customHeight="1" x14ac:dyDescent="0.2">
      <c r="A193" s="301"/>
      <c r="B193" s="350" t="s">
        <v>352</v>
      </c>
      <c r="C193" s="101"/>
      <c r="D193" s="101"/>
      <c r="E193" s="101"/>
      <c r="F193" s="370" t="s">
        <v>353</v>
      </c>
      <c r="G193" s="149">
        <v>26000</v>
      </c>
      <c r="H193" s="149"/>
      <c r="I193" s="329">
        <f t="shared" si="387"/>
        <v>26000</v>
      </c>
      <c r="J193" s="329">
        <f t="shared" si="388"/>
        <v>26000</v>
      </c>
      <c r="K193" s="274"/>
      <c r="L193" s="274"/>
      <c r="M193" s="274"/>
      <c r="N193" s="275">
        <f t="shared" si="389"/>
        <v>26000</v>
      </c>
      <c r="O193" s="274">
        <v>25500</v>
      </c>
      <c r="P193" s="274">
        <v>500</v>
      </c>
      <c r="Q193" s="274"/>
      <c r="R193" s="274"/>
      <c r="S193" s="274">
        <f t="shared" si="390"/>
        <v>26000</v>
      </c>
      <c r="T193" s="274">
        <v>25500</v>
      </c>
      <c r="U193" s="274">
        <v>500</v>
      </c>
      <c r="V193" s="274"/>
      <c r="W193" s="274"/>
      <c r="X193" s="274">
        <f t="shared" si="391"/>
        <v>26000</v>
      </c>
      <c r="Y193" s="274">
        <f t="shared" si="392"/>
        <v>0</v>
      </c>
      <c r="Z193" s="274">
        <f t="shared" si="393"/>
        <v>0</v>
      </c>
      <c r="AA193" s="274"/>
      <c r="AB193" s="306">
        <f t="shared" si="394"/>
        <v>0</v>
      </c>
    </row>
    <row r="194" spans="1:28" s="90" customFormat="1" ht="14.1" customHeight="1" x14ac:dyDescent="0.2">
      <c r="A194" s="301"/>
      <c r="B194" s="350" t="s">
        <v>354</v>
      </c>
      <c r="C194" s="101"/>
      <c r="D194" s="101"/>
      <c r="E194" s="101"/>
      <c r="F194" s="370" t="s">
        <v>355</v>
      </c>
      <c r="G194" s="149">
        <v>4000</v>
      </c>
      <c r="H194" s="149"/>
      <c r="I194" s="329">
        <f t="shared" si="387"/>
        <v>4000</v>
      </c>
      <c r="J194" s="329">
        <f t="shared" si="388"/>
        <v>4000</v>
      </c>
      <c r="K194" s="274"/>
      <c r="L194" s="274"/>
      <c r="M194" s="274"/>
      <c r="N194" s="275">
        <f t="shared" si="389"/>
        <v>4000</v>
      </c>
      <c r="O194" s="274">
        <v>2929.19</v>
      </c>
      <c r="P194" s="274">
        <v>1070.81</v>
      </c>
      <c r="Q194" s="274"/>
      <c r="R194" s="274"/>
      <c r="S194" s="274">
        <f t="shared" si="390"/>
        <v>4000</v>
      </c>
      <c r="T194" s="274">
        <v>2929.19</v>
      </c>
      <c r="U194" s="274">
        <v>1070.81</v>
      </c>
      <c r="V194" s="274"/>
      <c r="W194" s="274"/>
      <c r="X194" s="274">
        <f t="shared" si="391"/>
        <v>4000</v>
      </c>
      <c r="Y194" s="274">
        <f t="shared" si="392"/>
        <v>0</v>
      </c>
      <c r="Z194" s="274">
        <f t="shared" si="393"/>
        <v>0</v>
      </c>
      <c r="AA194" s="274"/>
      <c r="AB194" s="306">
        <f t="shared" si="394"/>
        <v>0</v>
      </c>
    </row>
    <row r="195" spans="1:28" s="90" customFormat="1" ht="14.1" customHeight="1" x14ac:dyDescent="0.2">
      <c r="A195" s="301"/>
      <c r="B195" s="351" t="s">
        <v>356</v>
      </c>
      <c r="C195" s="101"/>
      <c r="D195" s="101"/>
      <c r="E195" s="101"/>
      <c r="F195" s="370"/>
      <c r="G195" s="149"/>
      <c r="H195" s="149"/>
      <c r="I195" s="149"/>
      <c r="J195" s="14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583"/>
    </row>
    <row r="196" spans="1:28" s="90" customFormat="1" ht="14.1" customHeight="1" x14ac:dyDescent="0.2">
      <c r="A196" s="301"/>
      <c r="B196" s="350" t="s">
        <v>357</v>
      </c>
      <c r="C196" s="101"/>
      <c r="D196" s="101"/>
      <c r="E196" s="101"/>
      <c r="F196" s="370" t="s">
        <v>358</v>
      </c>
      <c r="G196" s="149">
        <v>98000</v>
      </c>
      <c r="H196" s="149"/>
      <c r="I196" s="329">
        <f t="shared" ref="I196" si="395">G196+H196</f>
        <v>98000</v>
      </c>
      <c r="J196" s="329">
        <f t="shared" ref="J196" si="396">I196</f>
        <v>98000</v>
      </c>
      <c r="K196" s="274"/>
      <c r="L196" s="274"/>
      <c r="M196" s="274"/>
      <c r="N196" s="275">
        <f>J196+K196-L196+M196</f>
        <v>98000</v>
      </c>
      <c r="O196" s="274">
        <v>24600</v>
      </c>
      <c r="P196" s="274">
        <f>8200+8200+8200</f>
        <v>24600</v>
      </c>
      <c r="Q196" s="274">
        <f>8200+8200+8200</f>
        <v>24600</v>
      </c>
      <c r="R196" s="274">
        <f>16400+7800</f>
        <v>24200</v>
      </c>
      <c r="S196" s="274">
        <f t="shared" ref="S196" si="397">SUM(O196:R196)</f>
        <v>98000</v>
      </c>
      <c r="T196" s="274">
        <v>24600</v>
      </c>
      <c r="U196" s="274">
        <f>8200+8200+8200</f>
        <v>24600</v>
      </c>
      <c r="V196" s="274">
        <f>8200+8200+8200</f>
        <v>24600</v>
      </c>
      <c r="W196" s="274">
        <f>16400+7800</f>
        <v>24200</v>
      </c>
      <c r="X196" s="274">
        <f t="shared" ref="X196" si="398">SUM(T196:W196)</f>
        <v>98000</v>
      </c>
      <c r="Y196" s="274">
        <f t="shared" ref="Y196" si="399">I196-N196</f>
        <v>0</v>
      </c>
      <c r="Z196" s="274">
        <f t="shared" ref="Z196" si="400">N196-S196</f>
        <v>0</v>
      </c>
      <c r="AA196" s="274"/>
      <c r="AB196" s="306">
        <f t="shared" ref="AB196" si="401">+S196-X196-AA196</f>
        <v>0</v>
      </c>
    </row>
    <row r="197" spans="1:28" s="90" customFormat="1" ht="14.1" customHeight="1" x14ac:dyDescent="0.2">
      <c r="A197" s="301"/>
      <c r="B197" s="351" t="s">
        <v>359</v>
      </c>
      <c r="C197" s="101"/>
      <c r="D197" s="101"/>
      <c r="E197" s="101"/>
      <c r="F197" s="370"/>
      <c r="G197" s="149"/>
      <c r="H197" s="149"/>
      <c r="I197" s="149"/>
      <c r="J197" s="14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583"/>
    </row>
    <row r="198" spans="1:28" s="90" customFormat="1" ht="14.1" hidden="1" customHeight="1" x14ac:dyDescent="0.2">
      <c r="A198" s="301"/>
      <c r="B198" s="350" t="s">
        <v>360</v>
      </c>
      <c r="C198" s="101"/>
      <c r="D198" s="101"/>
      <c r="E198" s="101"/>
      <c r="F198" s="370" t="s">
        <v>361</v>
      </c>
      <c r="G198" s="149"/>
      <c r="H198" s="149"/>
      <c r="I198" s="329">
        <f t="shared" ref="I198:I201" si="402">G198+H198</f>
        <v>0</v>
      </c>
      <c r="J198" s="329">
        <f t="shared" ref="J198:J201" si="403">I198</f>
        <v>0</v>
      </c>
      <c r="K198" s="274"/>
      <c r="L198" s="274"/>
      <c r="M198" s="274"/>
      <c r="N198" s="275">
        <f t="shared" ref="N198:N201" si="404">J198+K198-L198+M198</f>
        <v>0</v>
      </c>
      <c r="O198" s="274"/>
      <c r="P198" s="274"/>
      <c r="Q198" s="274"/>
      <c r="R198" s="274"/>
      <c r="S198" s="274">
        <f t="shared" ref="S198:S201" si="405">SUM(O198:R198)</f>
        <v>0</v>
      </c>
      <c r="T198" s="274"/>
      <c r="U198" s="274"/>
      <c r="V198" s="274"/>
      <c r="W198" s="274"/>
      <c r="X198" s="274">
        <f t="shared" ref="X198:X201" si="406">SUM(T198:W198)</f>
        <v>0</v>
      </c>
      <c r="Y198" s="274">
        <f t="shared" ref="Y198:Y201" si="407">I198-N198</f>
        <v>0</v>
      </c>
      <c r="Z198" s="274">
        <f t="shared" ref="Z198:Z201" si="408">N198-S198</f>
        <v>0</v>
      </c>
      <c r="AA198" s="274"/>
      <c r="AB198" s="306">
        <f t="shared" ref="AB198:AB201" si="409">+S198-X198-AA198</f>
        <v>0</v>
      </c>
    </row>
    <row r="199" spans="1:28" s="90" customFormat="1" ht="14.1" hidden="1" customHeight="1" x14ac:dyDescent="0.2">
      <c r="A199" s="301"/>
      <c r="B199" s="350" t="s">
        <v>362</v>
      </c>
      <c r="C199" s="101"/>
      <c r="D199" s="101"/>
      <c r="E199" s="101"/>
      <c r="F199" s="370" t="s">
        <v>363</v>
      </c>
      <c r="G199" s="149"/>
      <c r="H199" s="149"/>
      <c r="I199" s="329">
        <f t="shared" si="402"/>
        <v>0</v>
      </c>
      <c r="J199" s="329">
        <f t="shared" si="403"/>
        <v>0</v>
      </c>
      <c r="K199" s="274"/>
      <c r="L199" s="274"/>
      <c r="M199" s="274"/>
      <c r="N199" s="275">
        <f t="shared" si="404"/>
        <v>0</v>
      </c>
      <c r="O199" s="274"/>
      <c r="P199" s="274"/>
      <c r="Q199" s="274"/>
      <c r="R199" s="274"/>
      <c r="S199" s="274">
        <f t="shared" si="405"/>
        <v>0</v>
      </c>
      <c r="T199" s="274"/>
      <c r="U199" s="274"/>
      <c r="V199" s="274"/>
      <c r="W199" s="274"/>
      <c r="X199" s="274">
        <f t="shared" si="406"/>
        <v>0</v>
      </c>
      <c r="Y199" s="274">
        <f t="shared" si="407"/>
        <v>0</v>
      </c>
      <c r="Z199" s="274">
        <f t="shared" si="408"/>
        <v>0</v>
      </c>
      <c r="AA199" s="274"/>
      <c r="AB199" s="306">
        <f t="shared" si="409"/>
        <v>0</v>
      </c>
    </row>
    <row r="200" spans="1:28" s="90" customFormat="1" ht="14.1" hidden="1" customHeight="1" x14ac:dyDescent="0.2">
      <c r="A200" s="301"/>
      <c r="B200" s="350" t="s">
        <v>722</v>
      </c>
      <c r="C200" s="718"/>
      <c r="D200" s="718"/>
      <c r="E200" s="718"/>
      <c r="F200" s="370" t="s">
        <v>723</v>
      </c>
      <c r="G200" s="149"/>
      <c r="H200" s="149"/>
      <c r="I200" s="329">
        <f t="shared" si="402"/>
        <v>0</v>
      </c>
      <c r="J200" s="329">
        <f t="shared" si="403"/>
        <v>0</v>
      </c>
      <c r="K200" s="274"/>
      <c r="L200" s="274"/>
      <c r="M200" s="274"/>
      <c r="N200" s="275">
        <f t="shared" si="404"/>
        <v>0</v>
      </c>
      <c r="O200" s="274"/>
      <c r="P200" s="274"/>
      <c r="Q200" s="274"/>
      <c r="R200" s="274"/>
      <c r="S200" s="274">
        <f t="shared" si="405"/>
        <v>0</v>
      </c>
      <c r="T200" s="274"/>
      <c r="U200" s="274"/>
      <c r="V200" s="274"/>
      <c r="W200" s="274"/>
      <c r="X200" s="274">
        <f t="shared" si="406"/>
        <v>0</v>
      </c>
      <c r="Y200" s="274">
        <f t="shared" si="407"/>
        <v>0</v>
      </c>
      <c r="Z200" s="274">
        <f t="shared" si="408"/>
        <v>0</v>
      </c>
      <c r="AA200" s="274"/>
      <c r="AB200" s="306">
        <f t="shared" si="409"/>
        <v>0</v>
      </c>
    </row>
    <row r="201" spans="1:28" s="90" customFormat="1" ht="14.1" customHeight="1" x14ac:dyDescent="0.2">
      <c r="A201" s="301"/>
      <c r="B201" s="350" t="s">
        <v>364</v>
      </c>
      <c r="C201" s="101"/>
      <c r="D201" s="101"/>
      <c r="E201" s="101"/>
      <c r="F201" s="370" t="s">
        <v>365</v>
      </c>
      <c r="G201" s="149">
        <v>414000</v>
      </c>
      <c r="H201" s="149"/>
      <c r="I201" s="329">
        <f t="shared" si="402"/>
        <v>414000</v>
      </c>
      <c r="J201" s="329">
        <f t="shared" si="403"/>
        <v>414000</v>
      </c>
      <c r="K201" s="274"/>
      <c r="L201" s="274"/>
      <c r="M201" s="274"/>
      <c r="N201" s="275">
        <f t="shared" si="404"/>
        <v>414000</v>
      </c>
      <c r="O201" s="274">
        <v>191876.78</v>
      </c>
      <c r="P201" s="274">
        <f>53988.24+5500+2925+4950+5000+5080+5588+5500+5834.55+4926.5+6050+6600+5389.66+6000+5198.55+5337.2+2533.64+5000+4008.64+5500</f>
        <v>150909.98000000004</v>
      </c>
      <c r="Q201" s="274">
        <f>13716+4483.1+5720+4572+5500+4717.5+5700+6300+6591.25+7700+6213.39</f>
        <v>71213.240000000005</v>
      </c>
      <c r="R201" s="274"/>
      <c r="S201" s="274">
        <f t="shared" si="405"/>
        <v>414000</v>
      </c>
      <c r="T201" s="274">
        <v>191876.78</v>
      </c>
      <c r="U201" s="274">
        <f>52288.24+5300+2725+4750+4800+4830+250+200+200+200+250+200+200+200+5338+5300+5834.55+4926.5+5850+200+200+200+200+250+200+200+250+6400+5189.66+5800+4998.55+5337.2+2533.64+4800+4008.64+5300+200+200+200+200</f>
        <v>150509.98000000004</v>
      </c>
      <c r="V201" s="274">
        <f>13716+4283.1+5470+4372+5300+4517.5+5500+200+200+6100+6591.25+7500+6213.39+250+200+200+200+200+200+200+200</f>
        <v>71613.240000000005</v>
      </c>
      <c r="W201" s="274"/>
      <c r="X201" s="274">
        <f t="shared" si="406"/>
        <v>414000</v>
      </c>
      <c r="Y201" s="274">
        <f t="shared" si="407"/>
        <v>0</v>
      </c>
      <c r="Z201" s="274">
        <f t="shared" si="408"/>
        <v>0</v>
      </c>
      <c r="AA201" s="274"/>
      <c r="AB201" s="306">
        <f t="shared" si="409"/>
        <v>0</v>
      </c>
    </row>
    <row r="202" spans="1:28" s="90" customFormat="1" ht="14.1" customHeight="1" x14ac:dyDescent="0.2">
      <c r="A202" s="301"/>
      <c r="B202" s="351" t="s">
        <v>366</v>
      </c>
      <c r="C202" s="101"/>
      <c r="D202" s="101"/>
      <c r="E202" s="101"/>
      <c r="F202" s="370"/>
      <c r="G202" s="149"/>
      <c r="H202" s="149"/>
      <c r="I202" s="149"/>
      <c r="J202" s="14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583"/>
    </row>
    <row r="203" spans="1:28" s="90" customFormat="1" ht="14.1" hidden="1" customHeight="1" x14ac:dyDescent="0.2">
      <c r="A203" s="301"/>
      <c r="B203" s="350" t="s">
        <v>366</v>
      </c>
      <c r="C203" s="101"/>
      <c r="D203" s="101"/>
      <c r="E203" s="101"/>
      <c r="F203" s="370" t="s">
        <v>367</v>
      </c>
      <c r="G203" s="149"/>
      <c r="H203" s="149"/>
      <c r="I203" s="329">
        <f t="shared" ref="I203:I207" si="410">G203+H203</f>
        <v>0</v>
      </c>
      <c r="J203" s="329">
        <f t="shared" ref="J203:J207" si="411">I203</f>
        <v>0</v>
      </c>
      <c r="K203" s="274"/>
      <c r="L203" s="274"/>
      <c r="M203" s="274"/>
      <c r="N203" s="275">
        <f t="shared" ref="N203:N206" si="412">J203+K203-L203+M203</f>
        <v>0</v>
      </c>
      <c r="O203" s="274"/>
      <c r="P203" s="274"/>
      <c r="Q203" s="274"/>
      <c r="R203" s="274"/>
      <c r="S203" s="274">
        <f t="shared" ref="S203:S207" si="413">SUM(O203:R203)</f>
        <v>0</v>
      </c>
      <c r="T203" s="274"/>
      <c r="U203" s="274"/>
      <c r="V203" s="274"/>
      <c r="W203" s="274"/>
      <c r="X203" s="274">
        <f t="shared" ref="X203:X207" si="414">SUM(T203:W203)</f>
        <v>0</v>
      </c>
      <c r="Y203" s="274">
        <f t="shared" ref="Y203:Y207" si="415">I203-N203</f>
        <v>0</v>
      </c>
      <c r="Z203" s="274">
        <f t="shared" ref="Z203:Z207" si="416">N203-S203</f>
        <v>0</v>
      </c>
      <c r="AA203" s="274"/>
      <c r="AB203" s="306">
        <f t="shared" ref="AB203:AB207" si="417">+S203-X203-AA203</f>
        <v>0</v>
      </c>
    </row>
    <row r="204" spans="1:28" s="90" customFormat="1" ht="14.1" hidden="1" customHeight="1" x14ac:dyDescent="0.2">
      <c r="A204" s="301"/>
      <c r="B204" s="350" t="s">
        <v>724</v>
      </c>
      <c r="C204" s="718"/>
      <c r="D204" s="718"/>
      <c r="E204" s="718"/>
      <c r="F204" s="370" t="s">
        <v>725</v>
      </c>
      <c r="G204" s="149"/>
      <c r="H204" s="149"/>
      <c r="I204" s="329">
        <f t="shared" ref="I204" si="418">G204+H204</f>
        <v>0</v>
      </c>
      <c r="J204" s="329">
        <f t="shared" ref="J204" si="419">I204</f>
        <v>0</v>
      </c>
      <c r="K204" s="274"/>
      <c r="L204" s="274"/>
      <c r="M204" s="274"/>
      <c r="N204" s="275">
        <f t="shared" si="412"/>
        <v>0</v>
      </c>
      <c r="O204" s="274"/>
      <c r="P204" s="274"/>
      <c r="Q204" s="274"/>
      <c r="R204" s="274"/>
      <c r="S204" s="274">
        <f t="shared" ref="S204" si="420">SUM(O204:R204)</f>
        <v>0</v>
      </c>
      <c r="T204" s="274"/>
      <c r="U204" s="274"/>
      <c r="V204" s="274"/>
      <c r="W204" s="274"/>
      <c r="X204" s="274">
        <f t="shared" ref="X204" si="421">SUM(T204:W204)</f>
        <v>0</v>
      </c>
      <c r="Y204" s="274">
        <f t="shared" ref="Y204" si="422">I204-N204</f>
        <v>0</v>
      </c>
      <c r="Z204" s="274">
        <f t="shared" ref="Z204" si="423">N204-S204</f>
        <v>0</v>
      </c>
      <c r="AA204" s="274"/>
      <c r="AB204" s="306">
        <f t="shared" ref="AB204" si="424">+S204-X204-AA204</f>
        <v>0</v>
      </c>
    </row>
    <row r="205" spans="1:28" s="90" customFormat="1" ht="14.1" customHeight="1" x14ac:dyDescent="0.2">
      <c r="A205" s="301"/>
      <c r="B205" s="350" t="s">
        <v>368</v>
      </c>
      <c r="C205" s="101"/>
      <c r="D205" s="101"/>
      <c r="E205" s="101"/>
      <c r="F205" s="370" t="s">
        <v>369</v>
      </c>
      <c r="G205" s="149">
        <v>89000</v>
      </c>
      <c r="H205" s="149"/>
      <c r="I205" s="329">
        <f t="shared" si="410"/>
        <v>89000</v>
      </c>
      <c r="J205" s="329">
        <f t="shared" si="411"/>
        <v>89000</v>
      </c>
      <c r="K205" s="274"/>
      <c r="L205" s="274"/>
      <c r="M205" s="274"/>
      <c r="N205" s="275">
        <f t="shared" si="412"/>
        <v>89000</v>
      </c>
      <c r="O205" s="274">
        <v>67554.350000000006</v>
      </c>
      <c r="P205" s="274">
        <v>21445.65</v>
      </c>
      <c r="Q205" s="274"/>
      <c r="R205" s="274"/>
      <c r="S205" s="274">
        <f t="shared" si="413"/>
        <v>89000</v>
      </c>
      <c r="T205" s="274">
        <v>67554.350000000006</v>
      </c>
      <c r="U205" s="274">
        <f>19945.65+500+200+400+400</f>
        <v>21445.65</v>
      </c>
      <c r="V205" s="274"/>
      <c r="W205" s="274"/>
      <c r="X205" s="274">
        <f t="shared" si="414"/>
        <v>89000</v>
      </c>
      <c r="Y205" s="274">
        <f t="shared" si="415"/>
        <v>0</v>
      </c>
      <c r="Z205" s="274">
        <f t="shared" si="416"/>
        <v>0</v>
      </c>
      <c r="AA205" s="274"/>
      <c r="AB205" s="306">
        <f t="shared" si="417"/>
        <v>0</v>
      </c>
    </row>
    <row r="206" spans="1:28" s="90" customFormat="1" ht="14.1" customHeight="1" x14ac:dyDescent="0.2">
      <c r="A206" s="301"/>
      <c r="B206" s="350" t="s">
        <v>370</v>
      </c>
      <c r="C206" s="101"/>
      <c r="D206" s="101"/>
      <c r="E206" s="101"/>
      <c r="F206" s="370" t="s">
        <v>371</v>
      </c>
      <c r="G206" s="149">
        <v>207000</v>
      </c>
      <c r="H206" s="149"/>
      <c r="I206" s="329">
        <f t="shared" si="410"/>
        <v>207000</v>
      </c>
      <c r="J206" s="329">
        <f t="shared" si="411"/>
        <v>207000</v>
      </c>
      <c r="K206" s="274"/>
      <c r="L206" s="274"/>
      <c r="M206" s="274"/>
      <c r="N206" s="275">
        <f t="shared" si="412"/>
        <v>207000</v>
      </c>
      <c r="O206" s="274"/>
      <c r="P206" s="274"/>
      <c r="Q206" s="274">
        <v>28177.48</v>
      </c>
      <c r="R206" s="274">
        <f>36105.22+108315.66+34401.64</f>
        <v>178822.52000000002</v>
      </c>
      <c r="S206" s="274">
        <f t="shared" si="413"/>
        <v>207000.00000000003</v>
      </c>
      <c r="T206" s="274"/>
      <c r="U206" s="274"/>
      <c r="V206" s="274">
        <v>28177.48</v>
      </c>
      <c r="W206" s="274">
        <f>36105.22+108315.66+34401.64</f>
        <v>178822.52000000002</v>
      </c>
      <c r="X206" s="274">
        <f t="shared" si="414"/>
        <v>207000.00000000003</v>
      </c>
      <c r="Y206" s="274">
        <f t="shared" si="415"/>
        <v>0</v>
      </c>
      <c r="Z206" s="274">
        <f t="shared" si="416"/>
        <v>0</v>
      </c>
      <c r="AA206" s="274"/>
      <c r="AB206" s="306">
        <f t="shared" si="417"/>
        <v>0</v>
      </c>
    </row>
    <row r="207" spans="1:28" s="90" customFormat="1" ht="14.1" hidden="1" customHeight="1" x14ac:dyDescent="0.2">
      <c r="A207" s="301"/>
      <c r="B207" s="350" t="s">
        <v>372</v>
      </c>
      <c r="C207" s="101"/>
      <c r="D207" s="101"/>
      <c r="E207" s="101"/>
      <c r="F207" s="370" t="s">
        <v>373</v>
      </c>
      <c r="G207" s="149"/>
      <c r="H207" s="149"/>
      <c r="I207" s="329">
        <f t="shared" si="410"/>
        <v>0</v>
      </c>
      <c r="J207" s="329">
        <f t="shared" si="411"/>
        <v>0</v>
      </c>
      <c r="K207" s="274"/>
      <c r="L207" s="274"/>
      <c r="M207" s="274"/>
      <c r="N207" s="275">
        <f>J207+K207-L207+M207</f>
        <v>0</v>
      </c>
      <c r="O207" s="274"/>
      <c r="P207" s="274"/>
      <c r="Q207" s="274"/>
      <c r="R207" s="274"/>
      <c r="S207" s="274">
        <f t="shared" si="413"/>
        <v>0</v>
      </c>
      <c r="T207" s="274"/>
      <c r="U207" s="274"/>
      <c r="V207" s="274"/>
      <c r="W207" s="274"/>
      <c r="X207" s="274">
        <f t="shared" si="414"/>
        <v>0</v>
      </c>
      <c r="Y207" s="274">
        <f t="shared" si="415"/>
        <v>0</v>
      </c>
      <c r="Z207" s="274">
        <f t="shared" si="416"/>
        <v>0</v>
      </c>
      <c r="AA207" s="274"/>
      <c r="AB207" s="306">
        <f t="shared" si="417"/>
        <v>0</v>
      </c>
    </row>
    <row r="208" spans="1:28" s="90" customFormat="1" ht="14.1" customHeight="1" x14ac:dyDescent="0.2">
      <c r="A208" s="301"/>
      <c r="B208" s="351" t="s">
        <v>374</v>
      </c>
      <c r="C208" s="101"/>
      <c r="D208" s="101"/>
      <c r="E208" s="101"/>
      <c r="F208" s="370"/>
      <c r="G208" s="149"/>
      <c r="H208" s="149"/>
      <c r="I208" s="149"/>
      <c r="J208" s="14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583"/>
    </row>
    <row r="209" spans="1:28" s="90" customFormat="1" ht="14.1" hidden="1" customHeight="1" x14ac:dyDescent="0.2">
      <c r="A209" s="301"/>
      <c r="B209" s="350" t="s">
        <v>375</v>
      </c>
      <c r="C209" s="101"/>
      <c r="D209" s="101"/>
      <c r="E209" s="101"/>
      <c r="F209" s="370" t="s">
        <v>376</v>
      </c>
      <c r="G209" s="149"/>
      <c r="H209" s="149"/>
      <c r="I209" s="329">
        <f t="shared" ref="I209:I226" si="425">G209+H209</f>
        <v>0</v>
      </c>
      <c r="J209" s="329">
        <f t="shared" ref="J209:J226" si="426">I209</f>
        <v>0</v>
      </c>
      <c r="K209" s="274"/>
      <c r="L209" s="274"/>
      <c r="M209" s="274"/>
      <c r="N209" s="275">
        <f t="shared" ref="N209:N226" si="427">J209+K209-L209+M209</f>
        <v>0</v>
      </c>
      <c r="O209" s="274"/>
      <c r="P209" s="274"/>
      <c r="Q209" s="274"/>
      <c r="R209" s="274"/>
      <c r="S209" s="274">
        <f t="shared" ref="S209:S226" si="428">SUM(O209:R209)</f>
        <v>0</v>
      </c>
      <c r="T209" s="274"/>
      <c r="U209" s="274"/>
      <c r="V209" s="274"/>
      <c r="W209" s="274"/>
      <c r="X209" s="274">
        <f t="shared" ref="X209:X226" si="429">SUM(T209:W209)</f>
        <v>0</v>
      </c>
      <c r="Y209" s="274">
        <f t="shared" ref="Y209:Y226" si="430">I209-N209</f>
        <v>0</v>
      </c>
      <c r="Z209" s="274">
        <f t="shared" ref="Z209:Z226" si="431">N209-S209</f>
        <v>0</v>
      </c>
      <c r="AA209" s="274"/>
      <c r="AB209" s="306">
        <f t="shared" ref="AB209:AB226" si="432">+S209-X209-AA209</f>
        <v>0</v>
      </c>
    </row>
    <row r="210" spans="1:28" s="90" customFormat="1" ht="14.1" customHeight="1" x14ac:dyDescent="0.2">
      <c r="A210" s="301"/>
      <c r="B210" s="350" t="s">
        <v>377</v>
      </c>
      <c r="C210" s="101"/>
      <c r="D210" s="101"/>
      <c r="E210" s="101"/>
      <c r="F210" s="370" t="s">
        <v>378</v>
      </c>
      <c r="G210" s="149">
        <v>47000</v>
      </c>
      <c r="H210" s="149"/>
      <c r="I210" s="329">
        <f t="shared" si="425"/>
        <v>47000</v>
      </c>
      <c r="J210" s="329">
        <f t="shared" si="426"/>
        <v>47000</v>
      </c>
      <c r="K210" s="274"/>
      <c r="L210" s="274"/>
      <c r="M210" s="274"/>
      <c r="N210" s="275">
        <f t="shared" si="427"/>
        <v>47000</v>
      </c>
      <c r="O210" s="274">
        <v>1468.65</v>
      </c>
      <c r="P210" s="274">
        <v>900</v>
      </c>
      <c r="Q210" s="274">
        <f>553.38+592.25</f>
        <v>1145.6300000000001</v>
      </c>
      <c r="R210" s="274">
        <f>22300+9540+8890+2000+755.72</f>
        <v>43485.72</v>
      </c>
      <c r="S210" s="274">
        <f t="shared" si="428"/>
        <v>47000</v>
      </c>
      <c r="T210" s="274">
        <v>1468.65</v>
      </c>
      <c r="U210" s="274">
        <v>900</v>
      </c>
      <c r="V210" s="274">
        <f>553.38+592.25</f>
        <v>1145.6300000000001</v>
      </c>
      <c r="W210" s="274">
        <f>22300+9540+755.72+2000+8890</f>
        <v>43485.72</v>
      </c>
      <c r="X210" s="274">
        <f t="shared" si="429"/>
        <v>47000</v>
      </c>
      <c r="Y210" s="274">
        <f t="shared" si="430"/>
        <v>0</v>
      </c>
      <c r="Z210" s="274">
        <f t="shared" si="431"/>
        <v>0</v>
      </c>
      <c r="AA210" s="274"/>
      <c r="AB210" s="306">
        <f t="shared" si="432"/>
        <v>0</v>
      </c>
    </row>
    <row r="211" spans="1:28" s="90" customFormat="1" ht="14.1" hidden="1" customHeight="1" x14ac:dyDescent="0.2">
      <c r="A211" s="301"/>
      <c r="B211" s="350" t="s">
        <v>379</v>
      </c>
      <c r="C211" s="101"/>
      <c r="D211" s="101"/>
      <c r="E211" s="101"/>
      <c r="F211" s="370" t="s">
        <v>380</v>
      </c>
      <c r="G211" s="149"/>
      <c r="H211" s="149"/>
      <c r="I211" s="329">
        <f t="shared" si="425"/>
        <v>0</v>
      </c>
      <c r="J211" s="329">
        <f t="shared" si="426"/>
        <v>0</v>
      </c>
      <c r="K211" s="274"/>
      <c r="L211" s="274"/>
      <c r="M211" s="274"/>
      <c r="N211" s="275">
        <f t="shared" si="427"/>
        <v>0</v>
      </c>
      <c r="O211" s="274"/>
      <c r="P211" s="274"/>
      <c r="Q211" s="274"/>
      <c r="R211" s="274"/>
      <c r="S211" s="274">
        <f t="shared" si="428"/>
        <v>0</v>
      </c>
      <c r="T211" s="274"/>
      <c r="U211" s="274"/>
      <c r="V211" s="274"/>
      <c r="W211" s="274"/>
      <c r="X211" s="274">
        <f t="shared" si="429"/>
        <v>0</v>
      </c>
      <c r="Y211" s="274">
        <f t="shared" si="430"/>
        <v>0</v>
      </c>
      <c r="Z211" s="274">
        <f t="shared" si="431"/>
        <v>0</v>
      </c>
      <c r="AA211" s="274"/>
      <c r="AB211" s="306">
        <f t="shared" si="432"/>
        <v>0</v>
      </c>
    </row>
    <row r="212" spans="1:28" s="90" customFormat="1" ht="14.1" hidden="1" customHeight="1" x14ac:dyDescent="0.2">
      <c r="A212" s="301"/>
      <c r="B212" s="350" t="s">
        <v>381</v>
      </c>
      <c r="C212" s="101"/>
      <c r="D212" s="101"/>
      <c r="E212" s="101"/>
      <c r="F212" s="370" t="s">
        <v>382</v>
      </c>
      <c r="G212" s="149"/>
      <c r="H212" s="149"/>
      <c r="I212" s="329">
        <f t="shared" si="425"/>
        <v>0</v>
      </c>
      <c r="J212" s="329">
        <f t="shared" si="426"/>
        <v>0</v>
      </c>
      <c r="K212" s="274"/>
      <c r="L212" s="274"/>
      <c r="M212" s="274"/>
      <c r="N212" s="275">
        <f t="shared" si="427"/>
        <v>0</v>
      </c>
      <c r="O212" s="274"/>
      <c r="P212" s="274"/>
      <c r="Q212" s="274"/>
      <c r="R212" s="274"/>
      <c r="S212" s="274">
        <f t="shared" si="428"/>
        <v>0</v>
      </c>
      <c r="T212" s="274"/>
      <c r="U212" s="274"/>
      <c r="V212" s="274"/>
      <c r="W212" s="274"/>
      <c r="X212" s="274">
        <f t="shared" si="429"/>
        <v>0</v>
      </c>
      <c r="Y212" s="274">
        <f t="shared" si="430"/>
        <v>0</v>
      </c>
      <c r="Z212" s="274">
        <f t="shared" si="431"/>
        <v>0</v>
      </c>
      <c r="AA212" s="274"/>
      <c r="AB212" s="306">
        <f t="shared" si="432"/>
        <v>0</v>
      </c>
    </row>
    <row r="213" spans="1:28" s="90" customFormat="1" ht="14.1" hidden="1" customHeight="1" x14ac:dyDescent="0.2">
      <c r="A213" s="301"/>
      <c r="B213" s="350" t="s">
        <v>383</v>
      </c>
      <c r="C213" s="101"/>
      <c r="D213" s="101"/>
      <c r="E213" s="101"/>
      <c r="F213" s="370" t="s">
        <v>384</v>
      </c>
      <c r="G213" s="149"/>
      <c r="H213" s="149"/>
      <c r="I213" s="329">
        <f t="shared" si="425"/>
        <v>0</v>
      </c>
      <c r="J213" s="329">
        <f t="shared" si="426"/>
        <v>0</v>
      </c>
      <c r="K213" s="274"/>
      <c r="L213" s="274"/>
      <c r="M213" s="274"/>
      <c r="N213" s="275">
        <f t="shared" si="427"/>
        <v>0</v>
      </c>
      <c r="O213" s="274"/>
      <c r="P213" s="274"/>
      <c r="Q213" s="274"/>
      <c r="R213" s="274"/>
      <c r="S213" s="274">
        <f t="shared" si="428"/>
        <v>0</v>
      </c>
      <c r="T213" s="274"/>
      <c r="U213" s="274"/>
      <c r="V213" s="274"/>
      <c r="W213" s="274"/>
      <c r="X213" s="274">
        <f t="shared" si="429"/>
        <v>0</v>
      </c>
      <c r="Y213" s="274">
        <f t="shared" si="430"/>
        <v>0</v>
      </c>
      <c r="Z213" s="274">
        <f t="shared" si="431"/>
        <v>0</v>
      </c>
      <c r="AA213" s="274"/>
      <c r="AB213" s="306">
        <f t="shared" si="432"/>
        <v>0</v>
      </c>
    </row>
    <row r="214" spans="1:28" s="90" customFormat="1" ht="14.1" hidden="1" customHeight="1" x14ac:dyDescent="0.2">
      <c r="A214" s="301"/>
      <c r="B214" s="350" t="s">
        <v>385</v>
      </c>
      <c r="C214" s="101"/>
      <c r="D214" s="101"/>
      <c r="E214" s="101"/>
      <c r="F214" s="370" t="s">
        <v>386</v>
      </c>
      <c r="G214" s="149"/>
      <c r="H214" s="149"/>
      <c r="I214" s="329">
        <f t="shared" si="425"/>
        <v>0</v>
      </c>
      <c r="J214" s="329">
        <f t="shared" si="426"/>
        <v>0</v>
      </c>
      <c r="K214" s="274"/>
      <c r="L214" s="274"/>
      <c r="M214" s="274"/>
      <c r="N214" s="275">
        <f t="shared" si="427"/>
        <v>0</v>
      </c>
      <c r="O214" s="274"/>
      <c r="P214" s="274"/>
      <c r="Q214" s="274"/>
      <c r="R214" s="274"/>
      <c r="S214" s="274">
        <f t="shared" si="428"/>
        <v>0</v>
      </c>
      <c r="T214" s="274"/>
      <c r="U214" s="274"/>
      <c r="V214" s="274"/>
      <c r="W214" s="274"/>
      <c r="X214" s="274">
        <f t="shared" si="429"/>
        <v>0</v>
      </c>
      <c r="Y214" s="274">
        <f t="shared" si="430"/>
        <v>0</v>
      </c>
      <c r="Z214" s="274">
        <f t="shared" si="431"/>
        <v>0</v>
      </c>
      <c r="AA214" s="274"/>
      <c r="AB214" s="306">
        <f t="shared" si="432"/>
        <v>0</v>
      </c>
    </row>
    <row r="215" spans="1:28" s="90" customFormat="1" ht="14.1" customHeight="1" x14ac:dyDescent="0.2">
      <c r="A215" s="301"/>
      <c r="B215" s="350" t="s">
        <v>726</v>
      </c>
      <c r="C215" s="718"/>
      <c r="D215" s="718"/>
      <c r="E215" s="718"/>
      <c r="F215" s="370" t="s">
        <v>387</v>
      </c>
      <c r="G215" s="149">
        <v>56000</v>
      </c>
      <c r="H215" s="149"/>
      <c r="I215" s="329">
        <f t="shared" si="425"/>
        <v>56000</v>
      </c>
      <c r="J215" s="329">
        <f t="shared" si="426"/>
        <v>56000</v>
      </c>
      <c r="K215" s="274"/>
      <c r="L215" s="274"/>
      <c r="M215" s="274"/>
      <c r="N215" s="275">
        <f t="shared" si="427"/>
        <v>56000</v>
      </c>
      <c r="O215" s="274">
        <v>1600</v>
      </c>
      <c r="P215" s="274">
        <f>400+400+1500</f>
        <v>2300</v>
      </c>
      <c r="Q215" s="274">
        <f>1000+9059+400+2550+795+2050+1400+500</f>
        <v>17754</v>
      </c>
      <c r="R215" s="274">
        <f>1000+4780+1200+27366</f>
        <v>34346</v>
      </c>
      <c r="S215" s="274">
        <f t="shared" si="428"/>
        <v>56000</v>
      </c>
      <c r="T215" s="274">
        <v>1600</v>
      </c>
      <c r="U215" s="274">
        <f>400+1500+400</f>
        <v>2300</v>
      </c>
      <c r="V215" s="274">
        <f>1000+9059+400+2550+795+2050+500+1400</f>
        <v>17754</v>
      </c>
      <c r="W215" s="274">
        <f>1000+1200+4580+200+27366</f>
        <v>34346</v>
      </c>
      <c r="X215" s="274">
        <f t="shared" si="429"/>
        <v>56000</v>
      </c>
      <c r="Y215" s="274">
        <f t="shared" si="430"/>
        <v>0</v>
      </c>
      <c r="Z215" s="274">
        <f t="shared" si="431"/>
        <v>0</v>
      </c>
      <c r="AA215" s="274"/>
      <c r="AB215" s="306">
        <f t="shared" si="432"/>
        <v>0</v>
      </c>
    </row>
    <row r="216" spans="1:28" s="90" customFormat="1" ht="14.1" hidden="1" customHeight="1" x14ac:dyDescent="0.2">
      <c r="A216" s="301"/>
      <c r="B216" s="350" t="s">
        <v>388</v>
      </c>
      <c r="C216" s="101"/>
      <c r="D216" s="101"/>
      <c r="E216" s="101"/>
      <c r="F216" s="370" t="s">
        <v>389</v>
      </c>
      <c r="G216" s="149"/>
      <c r="H216" s="149"/>
      <c r="I216" s="329">
        <f t="shared" si="425"/>
        <v>0</v>
      </c>
      <c r="J216" s="329">
        <f t="shared" si="426"/>
        <v>0</v>
      </c>
      <c r="K216" s="274"/>
      <c r="L216" s="274"/>
      <c r="M216" s="274"/>
      <c r="N216" s="275">
        <f t="shared" si="427"/>
        <v>0</v>
      </c>
      <c r="O216" s="274"/>
      <c r="P216" s="274"/>
      <c r="Q216" s="274"/>
      <c r="R216" s="274"/>
      <c r="S216" s="274">
        <f t="shared" si="428"/>
        <v>0</v>
      </c>
      <c r="T216" s="274"/>
      <c r="U216" s="274"/>
      <c r="V216" s="274"/>
      <c r="W216" s="274"/>
      <c r="X216" s="274">
        <f t="shared" si="429"/>
        <v>0</v>
      </c>
      <c r="Y216" s="274">
        <f t="shared" si="430"/>
        <v>0</v>
      </c>
      <c r="Z216" s="274">
        <f t="shared" si="431"/>
        <v>0</v>
      </c>
      <c r="AA216" s="274"/>
      <c r="AB216" s="306">
        <f t="shared" si="432"/>
        <v>0</v>
      </c>
    </row>
    <row r="217" spans="1:28" s="90" customFormat="1" ht="14.1" hidden="1" customHeight="1" x14ac:dyDescent="0.2">
      <c r="A217" s="301"/>
      <c r="B217" s="350" t="s">
        <v>390</v>
      </c>
      <c r="C217" s="101"/>
      <c r="D217" s="101"/>
      <c r="E217" s="101"/>
      <c r="F217" s="370" t="s">
        <v>391</v>
      </c>
      <c r="G217" s="149"/>
      <c r="H217" s="149"/>
      <c r="I217" s="329">
        <f t="shared" si="425"/>
        <v>0</v>
      </c>
      <c r="J217" s="329">
        <f t="shared" si="426"/>
        <v>0</v>
      </c>
      <c r="K217" s="274"/>
      <c r="L217" s="274"/>
      <c r="M217" s="274"/>
      <c r="N217" s="275">
        <f t="shared" si="427"/>
        <v>0</v>
      </c>
      <c r="O217" s="274"/>
      <c r="P217" s="274"/>
      <c r="Q217" s="274"/>
      <c r="R217" s="274"/>
      <c r="S217" s="274">
        <f t="shared" si="428"/>
        <v>0</v>
      </c>
      <c r="T217" s="274"/>
      <c r="U217" s="274"/>
      <c r="V217" s="274"/>
      <c r="W217" s="274"/>
      <c r="X217" s="274">
        <f t="shared" si="429"/>
        <v>0</v>
      </c>
      <c r="Y217" s="274">
        <f t="shared" si="430"/>
        <v>0</v>
      </c>
      <c r="Z217" s="274">
        <f t="shared" si="431"/>
        <v>0</v>
      </c>
      <c r="AA217" s="274"/>
      <c r="AB217" s="306">
        <f t="shared" si="432"/>
        <v>0</v>
      </c>
    </row>
    <row r="218" spans="1:28" s="90" customFormat="1" ht="14.1" hidden="1" customHeight="1" x14ac:dyDescent="0.2">
      <c r="A218" s="301"/>
      <c r="B218" s="350" t="s">
        <v>392</v>
      </c>
      <c r="C218" s="101"/>
      <c r="D218" s="101"/>
      <c r="E218" s="101"/>
      <c r="F218" s="370" t="s">
        <v>393</v>
      </c>
      <c r="G218" s="149"/>
      <c r="H218" s="149"/>
      <c r="I218" s="329">
        <f t="shared" si="425"/>
        <v>0</v>
      </c>
      <c r="J218" s="329">
        <f t="shared" si="426"/>
        <v>0</v>
      </c>
      <c r="K218" s="274"/>
      <c r="L218" s="274"/>
      <c r="M218" s="274"/>
      <c r="N218" s="275">
        <f t="shared" si="427"/>
        <v>0</v>
      </c>
      <c r="O218" s="274"/>
      <c r="P218" s="274"/>
      <c r="Q218" s="274"/>
      <c r="R218" s="274"/>
      <c r="S218" s="274">
        <f t="shared" si="428"/>
        <v>0</v>
      </c>
      <c r="T218" s="274"/>
      <c r="U218" s="274"/>
      <c r="V218" s="274"/>
      <c r="W218" s="274"/>
      <c r="X218" s="274">
        <f t="shared" si="429"/>
        <v>0</v>
      </c>
      <c r="Y218" s="274">
        <f t="shared" si="430"/>
        <v>0</v>
      </c>
      <c r="Z218" s="274">
        <f t="shared" si="431"/>
        <v>0</v>
      </c>
      <c r="AA218" s="274"/>
      <c r="AB218" s="306">
        <f t="shared" si="432"/>
        <v>0</v>
      </c>
    </row>
    <row r="219" spans="1:28" s="90" customFormat="1" ht="14.1" hidden="1" customHeight="1" x14ac:dyDescent="0.2">
      <c r="A219" s="301"/>
      <c r="B219" s="350" t="s">
        <v>394</v>
      </c>
      <c r="C219" s="101"/>
      <c r="D219" s="101"/>
      <c r="E219" s="101"/>
      <c r="F219" s="370" t="s">
        <v>395</v>
      </c>
      <c r="G219" s="149"/>
      <c r="H219" s="149"/>
      <c r="I219" s="329">
        <f t="shared" si="425"/>
        <v>0</v>
      </c>
      <c r="J219" s="329">
        <f t="shared" si="426"/>
        <v>0</v>
      </c>
      <c r="K219" s="274"/>
      <c r="L219" s="274"/>
      <c r="M219" s="274"/>
      <c r="N219" s="275">
        <f t="shared" si="427"/>
        <v>0</v>
      </c>
      <c r="O219" s="274"/>
      <c r="P219" s="274"/>
      <c r="Q219" s="274"/>
      <c r="R219" s="274"/>
      <c r="S219" s="274">
        <f t="shared" si="428"/>
        <v>0</v>
      </c>
      <c r="T219" s="274"/>
      <c r="U219" s="274"/>
      <c r="V219" s="274"/>
      <c r="W219" s="274"/>
      <c r="X219" s="274">
        <f t="shared" si="429"/>
        <v>0</v>
      </c>
      <c r="Y219" s="274">
        <f t="shared" si="430"/>
        <v>0</v>
      </c>
      <c r="Z219" s="274">
        <f t="shared" si="431"/>
        <v>0</v>
      </c>
      <c r="AA219" s="274"/>
      <c r="AB219" s="306">
        <f t="shared" si="432"/>
        <v>0</v>
      </c>
    </row>
    <row r="220" spans="1:28" s="90" customFormat="1" ht="14.1" hidden="1" customHeight="1" x14ac:dyDescent="0.2">
      <c r="A220" s="301"/>
      <c r="B220" s="350" t="s">
        <v>396</v>
      </c>
      <c r="C220" s="101"/>
      <c r="D220" s="101"/>
      <c r="E220" s="101"/>
      <c r="F220" s="370" t="s">
        <v>397</v>
      </c>
      <c r="G220" s="149"/>
      <c r="H220" s="149"/>
      <c r="I220" s="329">
        <f t="shared" si="425"/>
        <v>0</v>
      </c>
      <c r="J220" s="329">
        <f t="shared" si="426"/>
        <v>0</v>
      </c>
      <c r="K220" s="274"/>
      <c r="L220" s="274"/>
      <c r="M220" s="274"/>
      <c r="N220" s="275">
        <f t="shared" si="427"/>
        <v>0</v>
      </c>
      <c r="O220" s="274"/>
      <c r="P220" s="274"/>
      <c r="Q220" s="274"/>
      <c r="R220" s="274"/>
      <c r="S220" s="274">
        <f t="shared" si="428"/>
        <v>0</v>
      </c>
      <c r="T220" s="274"/>
      <c r="U220" s="274"/>
      <c r="V220" s="274"/>
      <c r="W220" s="274"/>
      <c r="X220" s="274">
        <f t="shared" si="429"/>
        <v>0</v>
      </c>
      <c r="Y220" s="274">
        <f t="shared" si="430"/>
        <v>0</v>
      </c>
      <c r="Z220" s="274">
        <f t="shared" si="431"/>
        <v>0</v>
      </c>
      <c r="AA220" s="274"/>
      <c r="AB220" s="306">
        <f t="shared" si="432"/>
        <v>0</v>
      </c>
    </row>
    <row r="221" spans="1:28" s="90" customFormat="1" ht="14.1" customHeight="1" x14ac:dyDescent="0.2">
      <c r="A221" s="301"/>
      <c r="B221" s="350" t="s">
        <v>398</v>
      </c>
      <c r="C221" s="101"/>
      <c r="D221" s="101"/>
      <c r="E221" s="101"/>
      <c r="F221" s="370" t="s">
        <v>399</v>
      </c>
      <c r="G221" s="149">
        <v>98000</v>
      </c>
      <c r="H221" s="149"/>
      <c r="I221" s="329">
        <f t="shared" si="425"/>
        <v>98000</v>
      </c>
      <c r="J221" s="329">
        <f t="shared" si="426"/>
        <v>98000</v>
      </c>
      <c r="K221" s="274"/>
      <c r="L221" s="274"/>
      <c r="M221" s="274"/>
      <c r="N221" s="275">
        <f t="shared" si="427"/>
        <v>98000</v>
      </c>
      <c r="O221" s="274">
        <v>9209.75</v>
      </c>
      <c r="P221" s="274">
        <f>7842.27+3076.5+3016.68</f>
        <v>13935.45</v>
      </c>
      <c r="Q221" s="274">
        <f>290+13048+6073.75+6300+6605+741+41797.05</f>
        <v>74854.8</v>
      </c>
      <c r="R221" s="274"/>
      <c r="S221" s="274">
        <f t="shared" si="428"/>
        <v>98000</v>
      </c>
      <c r="T221" s="274">
        <v>9209.75</v>
      </c>
      <c r="U221" s="274">
        <f>7842.27+3076.5+3016.68</f>
        <v>13935.45</v>
      </c>
      <c r="V221" s="274">
        <f>290+13048+6073.75+6605+6300+741+41797.05</f>
        <v>74854.8</v>
      </c>
      <c r="W221" s="274"/>
      <c r="X221" s="274">
        <f t="shared" si="429"/>
        <v>98000</v>
      </c>
      <c r="Y221" s="274">
        <f t="shared" si="430"/>
        <v>0</v>
      </c>
      <c r="Z221" s="274">
        <f t="shared" si="431"/>
        <v>0</v>
      </c>
      <c r="AA221" s="274"/>
      <c r="AB221" s="306">
        <f t="shared" si="432"/>
        <v>0</v>
      </c>
    </row>
    <row r="222" spans="1:28" s="90" customFormat="1" ht="14.1" hidden="1" customHeight="1" x14ac:dyDescent="0.2">
      <c r="A222" s="301"/>
      <c r="B222" s="350" t="s">
        <v>400</v>
      </c>
      <c r="C222" s="101"/>
      <c r="D222" s="101"/>
      <c r="E222" s="101"/>
      <c r="F222" s="370" t="s">
        <v>401</v>
      </c>
      <c r="G222" s="149"/>
      <c r="H222" s="149"/>
      <c r="I222" s="329">
        <f t="shared" si="425"/>
        <v>0</v>
      </c>
      <c r="J222" s="329">
        <f t="shared" si="426"/>
        <v>0</v>
      </c>
      <c r="K222" s="274"/>
      <c r="L222" s="274"/>
      <c r="M222" s="274"/>
      <c r="N222" s="275">
        <f t="shared" si="427"/>
        <v>0</v>
      </c>
      <c r="O222" s="274"/>
      <c r="P222" s="274"/>
      <c r="Q222" s="274"/>
      <c r="R222" s="274"/>
      <c r="S222" s="274">
        <f t="shared" si="428"/>
        <v>0</v>
      </c>
      <c r="T222" s="274"/>
      <c r="U222" s="274"/>
      <c r="V222" s="274"/>
      <c r="W222" s="274"/>
      <c r="X222" s="274">
        <f t="shared" si="429"/>
        <v>0</v>
      </c>
      <c r="Y222" s="274">
        <f t="shared" si="430"/>
        <v>0</v>
      </c>
      <c r="Z222" s="274">
        <f t="shared" si="431"/>
        <v>0</v>
      </c>
      <c r="AA222" s="274"/>
      <c r="AB222" s="306">
        <f t="shared" si="432"/>
        <v>0</v>
      </c>
    </row>
    <row r="223" spans="1:28" s="90" customFormat="1" ht="14.1" hidden="1" customHeight="1" x14ac:dyDescent="0.2">
      <c r="A223" s="301"/>
      <c r="B223" s="350" t="s">
        <v>402</v>
      </c>
      <c r="C223" s="101"/>
      <c r="D223" s="101"/>
      <c r="E223" s="101"/>
      <c r="F223" s="370" t="s">
        <v>403</v>
      </c>
      <c r="G223" s="149"/>
      <c r="H223" s="149"/>
      <c r="I223" s="329">
        <f t="shared" si="425"/>
        <v>0</v>
      </c>
      <c r="J223" s="329">
        <f t="shared" si="426"/>
        <v>0</v>
      </c>
      <c r="K223" s="274"/>
      <c r="L223" s="274"/>
      <c r="M223" s="274"/>
      <c r="N223" s="275">
        <f t="shared" si="427"/>
        <v>0</v>
      </c>
      <c r="O223" s="274"/>
      <c r="P223" s="274"/>
      <c r="Q223" s="274"/>
      <c r="R223" s="274"/>
      <c r="S223" s="274">
        <f t="shared" si="428"/>
        <v>0</v>
      </c>
      <c r="T223" s="274"/>
      <c r="U223" s="274"/>
      <c r="V223" s="274"/>
      <c r="W223" s="274"/>
      <c r="X223" s="274">
        <f t="shared" si="429"/>
        <v>0</v>
      </c>
      <c r="Y223" s="274">
        <f t="shared" si="430"/>
        <v>0</v>
      </c>
      <c r="Z223" s="274">
        <f t="shared" si="431"/>
        <v>0</v>
      </c>
      <c r="AA223" s="274"/>
      <c r="AB223" s="306">
        <f t="shared" si="432"/>
        <v>0</v>
      </c>
    </row>
    <row r="224" spans="1:28" s="90" customFormat="1" ht="14.1" hidden="1" customHeight="1" x14ac:dyDescent="0.2">
      <c r="A224" s="301"/>
      <c r="B224" s="350" t="s">
        <v>404</v>
      </c>
      <c r="C224" s="101"/>
      <c r="D224" s="101"/>
      <c r="E224" s="101"/>
      <c r="F224" s="370" t="s">
        <v>405</v>
      </c>
      <c r="G224" s="149"/>
      <c r="H224" s="149"/>
      <c r="I224" s="329">
        <f t="shared" si="425"/>
        <v>0</v>
      </c>
      <c r="J224" s="329">
        <f t="shared" si="426"/>
        <v>0</v>
      </c>
      <c r="K224" s="274"/>
      <c r="L224" s="274"/>
      <c r="M224" s="274"/>
      <c r="N224" s="275">
        <f t="shared" si="427"/>
        <v>0</v>
      </c>
      <c r="O224" s="274"/>
      <c r="P224" s="274"/>
      <c r="Q224" s="274"/>
      <c r="R224" s="274"/>
      <c r="S224" s="274">
        <f t="shared" si="428"/>
        <v>0</v>
      </c>
      <c r="T224" s="274"/>
      <c r="U224" s="274"/>
      <c r="V224" s="274"/>
      <c r="W224" s="274"/>
      <c r="X224" s="274">
        <f t="shared" si="429"/>
        <v>0</v>
      </c>
      <c r="Y224" s="274">
        <f t="shared" si="430"/>
        <v>0</v>
      </c>
      <c r="Z224" s="274">
        <f t="shared" si="431"/>
        <v>0</v>
      </c>
      <c r="AA224" s="274"/>
      <c r="AB224" s="306">
        <f t="shared" si="432"/>
        <v>0</v>
      </c>
    </row>
    <row r="225" spans="1:28" s="90" customFormat="1" ht="14.1" hidden="1" customHeight="1" x14ac:dyDescent="0.2">
      <c r="A225" s="301"/>
      <c r="B225" s="350" t="s">
        <v>729</v>
      </c>
      <c r="C225" s="718"/>
      <c r="D225" s="718"/>
      <c r="E225" s="718"/>
      <c r="F225" s="370" t="s">
        <v>728</v>
      </c>
      <c r="G225" s="149"/>
      <c r="H225" s="149"/>
      <c r="I225" s="329">
        <f t="shared" ref="I225" si="433">G225+H225</f>
        <v>0</v>
      </c>
      <c r="J225" s="329">
        <f t="shared" ref="J225" si="434">I225</f>
        <v>0</v>
      </c>
      <c r="K225" s="274"/>
      <c r="L225" s="274"/>
      <c r="M225" s="274"/>
      <c r="N225" s="275">
        <f t="shared" si="427"/>
        <v>0</v>
      </c>
      <c r="O225" s="274"/>
      <c r="P225" s="274"/>
      <c r="Q225" s="274"/>
      <c r="R225" s="274"/>
      <c r="S225" s="274">
        <f t="shared" ref="S225" si="435">SUM(O225:R225)</f>
        <v>0</v>
      </c>
      <c r="T225" s="274"/>
      <c r="U225" s="274"/>
      <c r="V225" s="274"/>
      <c r="W225" s="274"/>
      <c r="X225" s="274">
        <f t="shared" ref="X225" si="436">SUM(T225:W225)</f>
        <v>0</v>
      </c>
      <c r="Y225" s="274">
        <f t="shared" ref="Y225" si="437">I225-N225</f>
        <v>0</v>
      </c>
      <c r="Z225" s="274">
        <f t="shared" ref="Z225" si="438">N225-S225</f>
        <v>0</v>
      </c>
      <c r="AA225" s="274"/>
      <c r="AB225" s="306">
        <f t="shared" ref="AB225" si="439">+S225-X225-AA225</f>
        <v>0</v>
      </c>
    </row>
    <row r="226" spans="1:28" s="90" customFormat="1" ht="14.1" hidden="1" customHeight="1" x14ac:dyDescent="0.2">
      <c r="A226" s="301"/>
      <c r="B226" s="350" t="s">
        <v>406</v>
      </c>
      <c r="C226" s="101"/>
      <c r="D226" s="101"/>
      <c r="E226" s="101"/>
      <c r="F226" s="370" t="s">
        <v>407</v>
      </c>
      <c r="G226" s="149"/>
      <c r="H226" s="149"/>
      <c r="I226" s="329">
        <f t="shared" si="425"/>
        <v>0</v>
      </c>
      <c r="J226" s="329">
        <f t="shared" si="426"/>
        <v>0</v>
      </c>
      <c r="K226" s="274"/>
      <c r="L226" s="274"/>
      <c r="M226" s="274"/>
      <c r="N226" s="275">
        <f t="shared" si="427"/>
        <v>0</v>
      </c>
      <c r="O226" s="274"/>
      <c r="P226" s="274"/>
      <c r="Q226" s="274"/>
      <c r="R226" s="274"/>
      <c r="S226" s="274">
        <f t="shared" si="428"/>
        <v>0</v>
      </c>
      <c r="T226" s="274"/>
      <c r="U226" s="274"/>
      <c r="V226" s="274"/>
      <c r="W226" s="274"/>
      <c r="X226" s="274">
        <f t="shared" si="429"/>
        <v>0</v>
      </c>
      <c r="Y226" s="274">
        <f t="shared" si="430"/>
        <v>0</v>
      </c>
      <c r="Z226" s="274">
        <f t="shared" si="431"/>
        <v>0</v>
      </c>
      <c r="AA226" s="274"/>
      <c r="AB226" s="306">
        <f t="shared" si="432"/>
        <v>0</v>
      </c>
    </row>
    <row r="227" spans="1:28" s="90" customFormat="1" ht="14.1" customHeight="1" x14ac:dyDescent="0.2">
      <c r="A227" s="301"/>
      <c r="B227" s="351" t="s">
        <v>408</v>
      </c>
      <c r="C227" s="101"/>
      <c r="D227" s="101"/>
      <c r="E227" s="101"/>
      <c r="F227" s="370"/>
      <c r="G227" s="149"/>
      <c r="H227" s="149"/>
      <c r="I227" s="149"/>
      <c r="J227" s="14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583"/>
    </row>
    <row r="228" spans="1:28" s="90" customFormat="1" ht="14.1" customHeight="1" x14ac:dyDescent="0.2">
      <c r="A228" s="301"/>
      <c r="B228" s="350" t="s">
        <v>409</v>
      </c>
      <c r="C228" s="101"/>
      <c r="D228" s="101"/>
      <c r="E228" s="101"/>
      <c r="F228" s="370" t="s">
        <v>410</v>
      </c>
      <c r="G228" s="149">
        <v>3000</v>
      </c>
      <c r="H228" s="149"/>
      <c r="I228" s="329">
        <f t="shared" ref="I228:I230" si="440">G228+H228</f>
        <v>3000</v>
      </c>
      <c r="J228" s="329">
        <f t="shared" ref="J228:J230" si="441">I228</f>
        <v>3000</v>
      </c>
      <c r="K228" s="274"/>
      <c r="L228" s="274"/>
      <c r="M228" s="274"/>
      <c r="N228" s="275">
        <f t="shared" ref="N228:N230" si="442">J228+K228-L228+M228</f>
        <v>3000</v>
      </c>
      <c r="O228" s="274"/>
      <c r="P228" s="274"/>
      <c r="Q228" s="274">
        <f>757.82</f>
        <v>757.82</v>
      </c>
      <c r="R228" s="274">
        <v>2242.1799999999998</v>
      </c>
      <c r="S228" s="274">
        <f t="shared" ref="S228:S230" si="443">SUM(O228:R228)</f>
        <v>3000</v>
      </c>
      <c r="T228" s="274"/>
      <c r="U228" s="274"/>
      <c r="V228" s="274">
        <f>757.82</f>
        <v>757.82</v>
      </c>
      <c r="W228" s="274">
        <v>2242.1799999999998</v>
      </c>
      <c r="X228" s="274">
        <f t="shared" ref="X228:X230" si="444">SUM(T228:W228)</f>
        <v>3000</v>
      </c>
      <c r="Y228" s="274">
        <f t="shared" ref="Y228:Y230" si="445">I228-N228</f>
        <v>0</v>
      </c>
      <c r="Z228" s="274">
        <f t="shared" ref="Z228:Z230" si="446">N228-S228</f>
        <v>0</v>
      </c>
      <c r="AA228" s="274"/>
      <c r="AB228" s="306">
        <f t="shared" ref="AB228:AB230" si="447">+S228-X228-AA228</f>
        <v>0</v>
      </c>
    </row>
    <row r="229" spans="1:28" s="90" customFormat="1" ht="14.1" customHeight="1" x14ac:dyDescent="0.2">
      <c r="A229" s="301"/>
      <c r="B229" s="350" t="s">
        <v>411</v>
      </c>
      <c r="C229" s="101"/>
      <c r="D229" s="101"/>
      <c r="E229" s="101"/>
      <c r="F229" s="370" t="s">
        <v>412</v>
      </c>
      <c r="G229" s="149">
        <v>12000</v>
      </c>
      <c r="H229" s="149"/>
      <c r="I229" s="329">
        <f t="shared" si="440"/>
        <v>12000</v>
      </c>
      <c r="J229" s="329">
        <f t="shared" si="441"/>
        <v>12000</v>
      </c>
      <c r="K229" s="274"/>
      <c r="L229" s="274"/>
      <c r="M229" s="274"/>
      <c r="N229" s="275">
        <f t="shared" si="442"/>
        <v>12000</v>
      </c>
      <c r="O229" s="274">
        <v>9382.5</v>
      </c>
      <c r="P229" s="274">
        <v>2617.5</v>
      </c>
      <c r="Q229" s="274"/>
      <c r="R229" s="274"/>
      <c r="S229" s="274">
        <f t="shared" si="443"/>
        <v>12000</v>
      </c>
      <c r="T229" s="274">
        <v>9382.5</v>
      </c>
      <c r="U229" s="274">
        <v>2617.5</v>
      </c>
      <c r="V229" s="274"/>
      <c r="W229" s="274"/>
      <c r="X229" s="274">
        <f t="shared" si="444"/>
        <v>12000</v>
      </c>
      <c r="Y229" s="274">
        <f t="shared" si="445"/>
        <v>0</v>
      </c>
      <c r="Z229" s="274">
        <f t="shared" si="446"/>
        <v>0</v>
      </c>
      <c r="AA229" s="274"/>
      <c r="AB229" s="306">
        <f t="shared" si="447"/>
        <v>0</v>
      </c>
    </row>
    <row r="230" spans="1:28" s="90" customFormat="1" ht="14.1" customHeight="1" x14ac:dyDescent="0.2">
      <c r="A230" s="301"/>
      <c r="B230" s="350" t="s">
        <v>413</v>
      </c>
      <c r="C230" s="101"/>
      <c r="D230" s="101"/>
      <c r="E230" s="101"/>
      <c r="F230" s="370" t="s">
        <v>414</v>
      </c>
      <c r="G230" s="149">
        <v>64000</v>
      </c>
      <c r="H230" s="149"/>
      <c r="I230" s="329">
        <f t="shared" si="440"/>
        <v>64000</v>
      </c>
      <c r="J230" s="329">
        <f t="shared" si="441"/>
        <v>64000</v>
      </c>
      <c r="K230" s="274"/>
      <c r="L230" s="274"/>
      <c r="M230" s="274"/>
      <c r="N230" s="275">
        <f t="shared" si="442"/>
        <v>64000</v>
      </c>
      <c r="O230" s="274"/>
      <c r="P230" s="274"/>
      <c r="Q230" s="274">
        <f>40017.71+23982.29</f>
        <v>64000</v>
      </c>
      <c r="R230" s="274"/>
      <c r="S230" s="274">
        <f t="shared" si="443"/>
        <v>64000</v>
      </c>
      <c r="T230" s="274"/>
      <c r="U230" s="274"/>
      <c r="V230" s="274">
        <f>30000+10017.71+4982.29+19000</f>
        <v>64000</v>
      </c>
      <c r="W230" s="274"/>
      <c r="X230" s="274">
        <f t="shared" si="444"/>
        <v>64000</v>
      </c>
      <c r="Y230" s="274">
        <f t="shared" si="445"/>
        <v>0</v>
      </c>
      <c r="Z230" s="274">
        <f t="shared" si="446"/>
        <v>0</v>
      </c>
      <c r="AA230" s="274"/>
      <c r="AB230" s="306">
        <f t="shared" si="447"/>
        <v>0</v>
      </c>
    </row>
    <row r="231" spans="1:28" s="90" customFormat="1" ht="14.1" customHeight="1" x14ac:dyDescent="0.2">
      <c r="A231" s="301"/>
      <c r="B231" s="351" t="s">
        <v>415</v>
      </c>
      <c r="C231" s="101"/>
      <c r="D231" s="101"/>
      <c r="E231" s="101"/>
      <c r="F231" s="370"/>
      <c r="G231" s="149"/>
      <c r="H231" s="149"/>
      <c r="I231" s="149"/>
      <c r="J231" s="14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583"/>
    </row>
    <row r="232" spans="1:28" s="90" customFormat="1" ht="14.1" hidden="1" customHeight="1" x14ac:dyDescent="0.2">
      <c r="A232" s="301"/>
      <c r="B232" s="350" t="s">
        <v>416</v>
      </c>
      <c r="C232" s="101"/>
      <c r="D232" s="101"/>
      <c r="E232" s="101"/>
      <c r="F232" s="370" t="s">
        <v>417</v>
      </c>
      <c r="G232" s="149"/>
      <c r="H232" s="149"/>
      <c r="I232" s="329">
        <f t="shared" ref="I232:I244" si="448">G232+H232</f>
        <v>0</v>
      </c>
      <c r="J232" s="329">
        <f t="shared" ref="J232:J244" si="449">I232</f>
        <v>0</v>
      </c>
      <c r="K232" s="274"/>
      <c r="L232" s="274"/>
      <c r="M232" s="274"/>
      <c r="N232" s="275">
        <f t="shared" ref="N232:N244" si="450">J232+K232-L232+M232</f>
        <v>0</v>
      </c>
      <c r="O232" s="274"/>
      <c r="P232" s="274"/>
      <c r="Q232" s="274"/>
      <c r="R232" s="274"/>
      <c r="S232" s="274">
        <f t="shared" ref="S232:S244" si="451">SUM(O232:R232)</f>
        <v>0</v>
      </c>
      <c r="T232" s="274"/>
      <c r="U232" s="274"/>
      <c r="V232" s="274"/>
      <c r="W232" s="274"/>
      <c r="X232" s="274">
        <f t="shared" ref="X232:X244" si="452">SUM(T232:W232)</f>
        <v>0</v>
      </c>
      <c r="Y232" s="274">
        <f t="shared" ref="Y232:Y244" si="453">I232-N232</f>
        <v>0</v>
      </c>
      <c r="Z232" s="274">
        <f t="shared" ref="Z232:Z244" si="454">N232-S232</f>
        <v>0</v>
      </c>
      <c r="AA232" s="274"/>
      <c r="AB232" s="306">
        <f t="shared" ref="AB232:AB244" si="455">+S232-X232-AA232</f>
        <v>0</v>
      </c>
    </row>
    <row r="233" spans="1:28" s="90" customFormat="1" ht="14.1" customHeight="1" x14ac:dyDescent="0.2">
      <c r="A233" s="301"/>
      <c r="B233" s="350" t="s">
        <v>418</v>
      </c>
      <c r="C233" s="101"/>
      <c r="D233" s="101"/>
      <c r="E233" s="101"/>
      <c r="F233" s="370" t="s">
        <v>419</v>
      </c>
      <c r="G233" s="149">
        <v>54000</v>
      </c>
      <c r="H233" s="149"/>
      <c r="I233" s="329">
        <f t="shared" si="448"/>
        <v>54000</v>
      </c>
      <c r="J233" s="329">
        <f t="shared" si="449"/>
        <v>54000</v>
      </c>
      <c r="K233" s="274"/>
      <c r="L233" s="274"/>
      <c r="M233" s="274"/>
      <c r="N233" s="275">
        <f t="shared" si="450"/>
        <v>54000</v>
      </c>
      <c r="O233" s="274"/>
      <c r="P233" s="274"/>
      <c r="Q233" s="274"/>
      <c r="R233" s="274"/>
      <c r="S233" s="274">
        <f t="shared" si="451"/>
        <v>0</v>
      </c>
      <c r="T233" s="274"/>
      <c r="U233" s="274"/>
      <c r="V233" s="274"/>
      <c r="W233" s="274"/>
      <c r="X233" s="274">
        <f t="shared" si="452"/>
        <v>0</v>
      </c>
      <c r="Y233" s="274">
        <f t="shared" si="453"/>
        <v>0</v>
      </c>
      <c r="Z233" s="274">
        <f t="shared" si="454"/>
        <v>54000</v>
      </c>
      <c r="AA233" s="274"/>
      <c r="AB233" s="306">
        <f t="shared" si="455"/>
        <v>0</v>
      </c>
    </row>
    <row r="234" spans="1:28" s="90" customFormat="1" ht="14.1" hidden="1" customHeight="1" x14ac:dyDescent="0.2">
      <c r="A234" s="301"/>
      <c r="B234" s="350" t="s">
        <v>420</v>
      </c>
      <c r="C234" s="101"/>
      <c r="D234" s="101"/>
      <c r="E234" s="101"/>
      <c r="F234" s="370" t="s">
        <v>421</v>
      </c>
      <c r="G234" s="149"/>
      <c r="H234" s="149"/>
      <c r="I234" s="329">
        <f t="shared" si="448"/>
        <v>0</v>
      </c>
      <c r="J234" s="329">
        <f t="shared" si="449"/>
        <v>0</v>
      </c>
      <c r="K234" s="274"/>
      <c r="L234" s="274"/>
      <c r="M234" s="274"/>
      <c r="N234" s="275">
        <f t="shared" si="450"/>
        <v>0</v>
      </c>
      <c r="O234" s="274"/>
      <c r="P234" s="274"/>
      <c r="Q234" s="274"/>
      <c r="R234" s="274"/>
      <c r="S234" s="274">
        <f t="shared" si="451"/>
        <v>0</v>
      </c>
      <c r="T234" s="274"/>
      <c r="U234" s="274"/>
      <c r="V234" s="274"/>
      <c r="W234" s="274"/>
      <c r="X234" s="274">
        <f t="shared" si="452"/>
        <v>0</v>
      </c>
      <c r="Y234" s="274">
        <f t="shared" si="453"/>
        <v>0</v>
      </c>
      <c r="Z234" s="274">
        <f t="shared" si="454"/>
        <v>0</v>
      </c>
      <c r="AA234" s="274"/>
      <c r="AB234" s="306">
        <f t="shared" si="455"/>
        <v>0</v>
      </c>
    </row>
    <row r="235" spans="1:28" s="90" customFormat="1" ht="14.1" customHeight="1" x14ac:dyDescent="0.2">
      <c r="A235" s="301"/>
      <c r="B235" s="350" t="s">
        <v>422</v>
      </c>
      <c r="C235" s="101"/>
      <c r="D235" s="101"/>
      <c r="E235" s="101"/>
      <c r="F235" s="370" t="s">
        <v>423</v>
      </c>
      <c r="G235" s="149">
        <v>3000</v>
      </c>
      <c r="H235" s="149"/>
      <c r="I235" s="329">
        <f t="shared" si="448"/>
        <v>3000</v>
      </c>
      <c r="J235" s="329">
        <f t="shared" si="449"/>
        <v>3000</v>
      </c>
      <c r="K235" s="274"/>
      <c r="L235" s="274"/>
      <c r="M235" s="274"/>
      <c r="N235" s="275">
        <f t="shared" si="450"/>
        <v>3000</v>
      </c>
      <c r="O235" s="274">
        <v>3000</v>
      </c>
      <c r="P235" s="274"/>
      <c r="Q235" s="274"/>
      <c r="R235" s="274"/>
      <c r="S235" s="274">
        <f t="shared" si="451"/>
        <v>3000</v>
      </c>
      <c r="T235" s="274">
        <v>3000</v>
      </c>
      <c r="U235" s="274"/>
      <c r="V235" s="274"/>
      <c r="W235" s="274"/>
      <c r="X235" s="274">
        <f t="shared" si="452"/>
        <v>3000</v>
      </c>
      <c r="Y235" s="274">
        <f t="shared" si="453"/>
        <v>0</v>
      </c>
      <c r="Z235" s="274">
        <f t="shared" si="454"/>
        <v>0</v>
      </c>
      <c r="AA235" s="274"/>
      <c r="AB235" s="306">
        <f t="shared" si="455"/>
        <v>0</v>
      </c>
    </row>
    <row r="236" spans="1:28" s="90" customFormat="1" ht="14.1" customHeight="1" x14ac:dyDescent="0.2">
      <c r="A236" s="301"/>
      <c r="B236" s="350" t="s">
        <v>424</v>
      </c>
      <c r="C236" s="101"/>
      <c r="D236" s="101"/>
      <c r="E236" s="101"/>
      <c r="F236" s="370" t="s">
        <v>425</v>
      </c>
      <c r="G236" s="149">
        <v>14000</v>
      </c>
      <c r="H236" s="149"/>
      <c r="I236" s="329">
        <f t="shared" si="448"/>
        <v>14000</v>
      </c>
      <c r="J236" s="329">
        <f t="shared" si="449"/>
        <v>14000</v>
      </c>
      <c r="K236" s="274"/>
      <c r="L236" s="274"/>
      <c r="M236" s="274"/>
      <c r="N236" s="275">
        <f t="shared" si="450"/>
        <v>14000</v>
      </c>
      <c r="O236" s="274">
        <v>620</v>
      </c>
      <c r="P236" s="274">
        <v>540</v>
      </c>
      <c r="Q236" s="274">
        <f>283.6</f>
        <v>283.60000000000002</v>
      </c>
      <c r="R236" s="274">
        <v>12556.4</v>
      </c>
      <c r="S236" s="274">
        <f t="shared" si="451"/>
        <v>14000</v>
      </c>
      <c r="T236" s="274">
        <v>620</v>
      </c>
      <c r="U236" s="274">
        <v>540</v>
      </c>
      <c r="V236" s="274">
        <v>283.60000000000002</v>
      </c>
      <c r="W236" s="274">
        <v>12556.4</v>
      </c>
      <c r="X236" s="274">
        <f t="shared" si="452"/>
        <v>14000</v>
      </c>
      <c r="Y236" s="274">
        <f t="shared" si="453"/>
        <v>0</v>
      </c>
      <c r="Z236" s="274">
        <f t="shared" si="454"/>
        <v>0</v>
      </c>
      <c r="AA236" s="274"/>
      <c r="AB236" s="306">
        <f t="shared" si="455"/>
        <v>0</v>
      </c>
    </row>
    <row r="237" spans="1:28" s="90" customFormat="1" ht="12.75" hidden="1" customHeight="1" x14ac:dyDescent="0.2">
      <c r="A237" s="301"/>
      <c r="B237" s="350" t="s">
        <v>426</v>
      </c>
      <c r="C237" s="101"/>
      <c r="D237" s="101"/>
      <c r="E237" s="101"/>
      <c r="F237" s="370" t="s">
        <v>427</v>
      </c>
      <c r="G237" s="149"/>
      <c r="H237" s="149"/>
      <c r="I237" s="329">
        <f t="shared" si="448"/>
        <v>0</v>
      </c>
      <c r="J237" s="329">
        <f t="shared" si="449"/>
        <v>0</v>
      </c>
      <c r="K237" s="274"/>
      <c r="L237" s="274"/>
      <c r="M237" s="274"/>
      <c r="N237" s="275">
        <f t="shared" si="450"/>
        <v>0</v>
      </c>
      <c r="O237" s="274"/>
      <c r="P237" s="274"/>
      <c r="Q237" s="274"/>
      <c r="R237" s="274"/>
      <c r="S237" s="274">
        <f t="shared" si="451"/>
        <v>0</v>
      </c>
      <c r="T237" s="274"/>
      <c r="U237" s="274"/>
      <c r="V237" s="274"/>
      <c r="W237" s="274"/>
      <c r="X237" s="274">
        <f t="shared" si="452"/>
        <v>0</v>
      </c>
      <c r="Y237" s="274">
        <f t="shared" si="453"/>
        <v>0</v>
      </c>
      <c r="Z237" s="274">
        <f t="shared" si="454"/>
        <v>0</v>
      </c>
      <c r="AA237" s="274"/>
      <c r="AB237" s="306">
        <f t="shared" si="455"/>
        <v>0</v>
      </c>
    </row>
    <row r="238" spans="1:28" s="90" customFormat="1" ht="14.1" hidden="1" customHeight="1" x14ac:dyDescent="0.2">
      <c r="A238" s="301"/>
      <c r="B238" s="350" t="s">
        <v>428</v>
      </c>
      <c r="C238" s="101"/>
      <c r="D238" s="101"/>
      <c r="E238" s="101"/>
      <c r="F238" s="370" t="s">
        <v>429</v>
      </c>
      <c r="G238" s="149"/>
      <c r="H238" s="149"/>
      <c r="I238" s="329">
        <f t="shared" si="448"/>
        <v>0</v>
      </c>
      <c r="J238" s="329">
        <f t="shared" si="449"/>
        <v>0</v>
      </c>
      <c r="K238" s="274"/>
      <c r="L238" s="274"/>
      <c r="M238" s="274"/>
      <c r="N238" s="275">
        <f t="shared" si="450"/>
        <v>0</v>
      </c>
      <c r="O238" s="274"/>
      <c r="P238" s="274"/>
      <c r="Q238" s="274"/>
      <c r="R238" s="274"/>
      <c r="S238" s="274">
        <f t="shared" si="451"/>
        <v>0</v>
      </c>
      <c r="T238" s="274"/>
      <c r="U238" s="274"/>
      <c r="V238" s="274"/>
      <c r="W238" s="274"/>
      <c r="X238" s="274">
        <f t="shared" si="452"/>
        <v>0</v>
      </c>
      <c r="Y238" s="274">
        <f t="shared" si="453"/>
        <v>0</v>
      </c>
      <c r="Z238" s="274">
        <f t="shared" si="454"/>
        <v>0</v>
      </c>
      <c r="AA238" s="274"/>
      <c r="AB238" s="306">
        <f t="shared" si="455"/>
        <v>0</v>
      </c>
    </row>
    <row r="239" spans="1:28" s="90" customFormat="1" ht="14.1" hidden="1" customHeight="1" x14ac:dyDescent="0.2">
      <c r="A239" s="301"/>
      <c r="B239" s="350" t="s">
        <v>718</v>
      </c>
      <c r="C239" s="615"/>
      <c r="D239" s="615"/>
      <c r="E239" s="615"/>
      <c r="F239" s="370" t="s">
        <v>719</v>
      </c>
      <c r="G239" s="149"/>
      <c r="H239" s="149"/>
      <c r="I239" s="329">
        <f t="shared" si="448"/>
        <v>0</v>
      </c>
      <c r="J239" s="329">
        <f t="shared" si="449"/>
        <v>0</v>
      </c>
      <c r="K239" s="274"/>
      <c r="L239" s="274"/>
      <c r="M239" s="274"/>
      <c r="N239" s="275">
        <f t="shared" si="450"/>
        <v>0</v>
      </c>
      <c r="O239" s="274"/>
      <c r="P239" s="274"/>
      <c r="Q239" s="274"/>
      <c r="R239" s="274"/>
      <c r="S239" s="274">
        <f t="shared" si="451"/>
        <v>0</v>
      </c>
      <c r="T239" s="274"/>
      <c r="U239" s="274"/>
      <c r="V239" s="274"/>
      <c r="W239" s="274"/>
      <c r="X239" s="274">
        <f t="shared" si="452"/>
        <v>0</v>
      </c>
      <c r="Y239" s="274">
        <f t="shared" si="453"/>
        <v>0</v>
      </c>
      <c r="Z239" s="274">
        <f t="shared" si="454"/>
        <v>0</v>
      </c>
      <c r="AA239" s="274"/>
      <c r="AB239" s="306">
        <f t="shared" si="455"/>
        <v>0</v>
      </c>
    </row>
    <row r="240" spans="1:28" s="90" customFormat="1" ht="14.1" hidden="1" customHeight="1" x14ac:dyDescent="0.2">
      <c r="A240" s="301"/>
      <c r="B240" s="350" t="s">
        <v>432</v>
      </c>
      <c r="C240" s="101"/>
      <c r="D240" s="101"/>
      <c r="E240" s="101"/>
      <c r="F240" s="370" t="s">
        <v>433</v>
      </c>
      <c r="G240" s="149"/>
      <c r="H240" s="149"/>
      <c r="I240" s="329">
        <f t="shared" si="448"/>
        <v>0</v>
      </c>
      <c r="J240" s="329">
        <f t="shared" si="449"/>
        <v>0</v>
      </c>
      <c r="K240" s="274"/>
      <c r="L240" s="274"/>
      <c r="M240" s="274"/>
      <c r="N240" s="275">
        <f t="shared" si="450"/>
        <v>0</v>
      </c>
      <c r="O240" s="274"/>
      <c r="P240" s="274"/>
      <c r="Q240" s="274"/>
      <c r="R240" s="274"/>
      <c r="S240" s="274">
        <f t="shared" si="451"/>
        <v>0</v>
      </c>
      <c r="T240" s="274"/>
      <c r="U240" s="274"/>
      <c r="V240" s="274"/>
      <c r="W240" s="274"/>
      <c r="X240" s="274">
        <f t="shared" si="452"/>
        <v>0</v>
      </c>
      <c r="Y240" s="274">
        <f t="shared" si="453"/>
        <v>0</v>
      </c>
      <c r="Z240" s="274">
        <f t="shared" si="454"/>
        <v>0</v>
      </c>
      <c r="AA240" s="274"/>
      <c r="AB240" s="306">
        <f t="shared" si="455"/>
        <v>0</v>
      </c>
    </row>
    <row r="241" spans="1:28" s="90" customFormat="1" ht="14.1" hidden="1" customHeight="1" x14ac:dyDescent="0.2">
      <c r="A241" s="301"/>
      <c r="B241" s="350" t="s">
        <v>730</v>
      </c>
      <c r="C241" s="744"/>
      <c r="D241" s="744"/>
      <c r="E241" s="744"/>
      <c r="F241" s="370" t="s">
        <v>733</v>
      </c>
      <c r="G241" s="149"/>
      <c r="H241" s="149"/>
      <c r="I241" s="329">
        <f t="shared" si="448"/>
        <v>0</v>
      </c>
      <c r="J241" s="329">
        <f t="shared" si="449"/>
        <v>0</v>
      </c>
      <c r="K241" s="274"/>
      <c r="L241" s="274"/>
      <c r="M241" s="274"/>
      <c r="N241" s="275">
        <f t="shared" si="450"/>
        <v>0</v>
      </c>
      <c r="O241" s="274"/>
      <c r="P241" s="274"/>
      <c r="Q241" s="274"/>
      <c r="R241" s="274"/>
      <c r="S241" s="274">
        <f t="shared" si="451"/>
        <v>0</v>
      </c>
      <c r="T241" s="274"/>
      <c r="U241" s="274"/>
      <c r="V241" s="274"/>
      <c r="W241" s="274"/>
      <c r="X241" s="274">
        <f t="shared" si="452"/>
        <v>0</v>
      </c>
      <c r="Y241" s="274">
        <f t="shared" si="453"/>
        <v>0</v>
      </c>
      <c r="Z241" s="274">
        <f t="shared" si="454"/>
        <v>0</v>
      </c>
      <c r="AA241" s="274"/>
      <c r="AB241" s="306">
        <f t="shared" si="455"/>
        <v>0</v>
      </c>
    </row>
    <row r="242" spans="1:28" s="90" customFormat="1" ht="14.1" customHeight="1" x14ac:dyDescent="0.2">
      <c r="A242" s="301"/>
      <c r="B242" s="350" t="s">
        <v>737</v>
      </c>
      <c r="C242" s="744"/>
      <c r="D242" s="744"/>
      <c r="E242" s="744"/>
      <c r="F242" s="370" t="s">
        <v>738</v>
      </c>
      <c r="G242" s="149">
        <v>6000</v>
      </c>
      <c r="H242" s="149"/>
      <c r="I242" s="329">
        <f t="shared" ref="I242:I243" si="456">G242+H242</f>
        <v>6000</v>
      </c>
      <c r="J242" s="329">
        <f t="shared" ref="J242:J243" si="457">I242</f>
        <v>6000</v>
      </c>
      <c r="K242" s="274"/>
      <c r="L242" s="274"/>
      <c r="M242" s="274"/>
      <c r="N242" s="275">
        <f t="shared" si="450"/>
        <v>6000</v>
      </c>
      <c r="O242" s="274">
        <v>3120</v>
      </c>
      <c r="P242" s="274">
        <f>1680+1200</f>
        <v>2880</v>
      </c>
      <c r="Q242" s="274"/>
      <c r="R242" s="274"/>
      <c r="S242" s="274">
        <f t="shared" ref="S242:S243" si="458">SUM(O242:R242)</f>
        <v>6000</v>
      </c>
      <c r="T242" s="274">
        <v>3120</v>
      </c>
      <c r="U242" s="274">
        <f>1680+1200</f>
        <v>2880</v>
      </c>
      <c r="V242" s="274"/>
      <c r="W242" s="274"/>
      <c r="X242" s="274">
        <f t="shared" ref="X242:X243" si="459">SUM(T242:W242)</f>
        <v>6000</v>
      </c>
      <c r="Y242" s="274">
        <f t="shared" ref="Y242:Y243" si="460">I242-N242</f>
        <v>0</v>
      </c>
      <c r="Z242" s="274">
        <f t="shared" ref="Z242:Z243" si="461">N242-S242</f>
        <v>0</v>
      </c>
      <c r="AA242" s="274"/>
      <c r="AB242" s="306">
        <f t="shared" ref="AB242:AB243" si="462">+S242-X242-AA242</f>
        <v>0</v>
      </c>
    </row>
    <row r="243" spans="1:28" s="90" customFormat="1" ht="14.1" hidden="1" customHeight="1" x14ac:dyDescent="0.2">
      <c r="A243" s="301"/>
      <c r="B243" s="350" t="s">
        <v>434</v>
      </c>
      <c r="C243" s="718"/>
      <c r="D243" s="718"/>
      <c r="E243" s="718"/>
      <c r="F243" s="370" t="s">
        <v>435</v>
      </c>
      <c r="G243" s="149"/>
      <c r="H243" s="149"/>
      <c r="I243" s="329">
        <f t="shared" si="456"/>
        <v>0</v>
      </c>
      <c r="J243" s="329">
        <f t="shared" si="457"/>
        <v>0</v>
      </c>
      <c r="K243" s="274"/>
      <c r="L243" s="274"/>
      <c r="M243" s="274"/>
      <c r="N243" s="275">
        <f t="shared" si="450"/>
        <v>0</v>
      </c>
      <c r="O243" s="274"/>
      <c r="P243" s="274"/>
      <c r="Q243" s="274"/>
      <c r="R243" s="274"/>
      <c r="S243" s="274">
        <f t="shared" si="458"/>
        <v>0</v>
      </c>
      <c r="T243" s="274"/>
      <c r="U243" s="274"/>
      <c r="V243" s="274"/>
      <c r="W243" s="274"/>
      <c r="X243" s="274">
        <f t="shared" si="459"/>
        <v>0</v>
      </c>
      <c r="Y243" s="274">
        <f t="shared" si="460"/>
        <v>0</v>
      </c>
      <c r="Z243" s="274">
        <f t="shared" si="461"/>
        <v>0</v>
      </c>
      <c r="AA243" s="274"/>
      <c r="AB243" s="306">
        <f t="shared" si="462"/>
        <v>0</v>
      </c>
    </row>
    <row r="244" spans="1:28" s="90" customFormat="1" ht="14.1" hidden="1" customHeight="1" x14ac:dyDescent="0.2">
      <c r="A244" s="301"/>
      <c r="B244" s="350" t="s">
        <v>732</v>
      </c>
      <c r="C244" s="718"/>
      <c r="D244" s="718"/>
      <c r="E244" s="718"/>
      <c r="F244" s="370" t="s">
        <v>731</v>
      </c>
      <c r="G244" s="149"/>
      <c r="H244" s="149"/>
      <c r="I244" s="329">
        <f t="shared" si="448"/>
        <v>0</v>
      </c>
      <c r="J244" s="329">
        <f t="shared" si="449"/>
        <v>0</v>
      </c>
      <c r="K244" s="274"/>
      <c r="L244" s="274"/>
      <c r="M244" s="274"/>
      <c r="N244" s="275">
        <f t="shared" si="450"/>
        <v>0</v>
      </c>
      <c r="O244" s="274"/>
      <c r="P244" s="274"/>
      <c r="Q244" s="274"/>
      <c r="R244" s="274"/>
      <c r="S244" s="274">
        <f t="shared" si="451"/>
        <v>0</v>
      </c>
      <c r="T244" s="274"/>
      <c r="U244" s="274"/>
      <c r="V244" s="274"/>
      <c r="W244" s="274"/>
      <c r="X244" s="274">
        <f t="shared" si="452"/>
        <v>0</v>
      </c>
      <c r="Y244" s="274">
        <f t="shared" si="453"/>
        <v>0</v>
      </c>
      <c r="Z244" s="274">
        <f t="shared" si="454"/>
        <v>0</v>
      </c>
      <c r="AA244" s="274"/>
      <c r="AB244" s="306">
        <f t="shared" si="455"/>
        <v>0</v>
      </c>
    </row>
    <row r="245" spans="1:28" s="90" customFormat="1" ht="14.1" customHeight="1" x14ac:dyDescent="0.2">
      <c r="A245" s="301"/>
      <c r="B245" s="15"/>
      <c r="C245" s="101"/>
      <c r="D245" s="101"/>
      <c r="E245" s="101"/>
      <c r="F245" s="370"/>
      <c r="G245" s="321"/>
      <c r="H245" s="321"/>
      <c r="I245" s="321"/>
      <c r="J245" s="321"/>
      <c r="K245" s="332"/>
      <c r="L245" s="332"/>
      <c r="M245" s="332"/>
      <c r="N245" s="332"/>
      <c r="O245" s="332"/>
      <c r="P245" s="332"/>
      <c r="Q245" s="332"/>
      <c r="R245" s="332"/>
      <c r="S245" s="332"/>
      <c r="T245" s="332"/>
      <c r="U245" s="332"/>
      <c r="V245" s="332"/>
      <c r="W245" s="332"/>
      <c r="X245" s="332"/>
      <c r="Y245" s="332"/>
      <c r="Z245" s="332"/>
      <c r="AA245" s="332"/>
      <c r="AB245" s="302"/>
    </row>
    <row r="246" spans="1:28" s="90" customFormat="1" ht="14.1" customHeight="1" x14ac:dyDescent="0.2">
      <c r="A246" s="301"/>
      <c r="B246" s="355" t="s">
        <v>436</v>
      </c>
      <c r="C246" s="101"/>
      <c r="D246" s="101"/>
      <c r="E246" s="101"/>
      <c r="F246" s="372"/>
      <c r="G246" s="322">
        <f t="shared" ref="G246" si="463">SUM(G249:G273)</f>
        <v>0</v>
      </c>
      <c r="H246" s="322">
        <f t="shared" ref="H246:AB246" si="464">SUM(H249:H273)</f>
        <v>0</v>
      </c>
      <c r="I246" s="322">
        <f t="shared" si="464"/>
        <v>0</v>
      </c>
      <c r="J246" s="322">
        <f t="shared" si="464"/>
        <v>0</v>
      </c>
      <c r="K246" s="322">
        <f t="shared" si="464"/>
        <v>0</v>
      </c>
      <c r="L246" s="322">
        <f t="shared" si="464"/>
        <v>0</v>
      </c>
      <c r="M246" s="322">
        <f t="shared" si="464"/>
        <v>190000</v>
      </c>
      <c r="N246" s="322">
        <f t="shared" si="464"/>
        <v>190000</v>
      </c>
      <c r="O246" s="322">
        <f t="shared" si="464"/>
        <v>0</v>
      </c>
      <c r="P246" s="322">
        <f t="shared" si="464"/>
        <v>0</v>
      </c>
      <c r="Q246" s="322">
        <f t="shared" si="464"/>
        <v>132049.84</v>
      </c>
      <c r="R246" s="322">
        <f t="shared" si="464"/>
        <v>0</v>
      </c>
      <c r="S246" s="322">
        <f t="shared" si="464"/>
        <v>132049.84</v>
      </c>
      <c r="T246" s="322">
        <f t="shared" si="464"/>
        <v>0</v>
      </c>
      <c r="U246" s="322">
        <f t="shared" si="464"/>
        <v>0</v>
      </c>
      <c r="V246" s="322">
        <f t="shared" si="464"/>
        <v>132049.84</v>
      </c>
      <c r="W246" s="322">
        <f t="shared" si="464"/>
        <v>0</v>
      </c>
      <c r="X246" s="322">
        <f t="shared" si="464"/>
        <v>132049.84</v>
      </c>
      <c r="Y246" s="322">
        <f t="shared" si="464"/>
        <v>-190000</v>
      </c>
      <c r="Z246" s="322">
        <f t="shared" si="464"/>
        <v>57950.16</v>
      </c>
      <c r="AA246" s="333">
        <f t="shared" ref="AA246" si="465">SUM(AA249:AA273)</f>
        <v>0</v>
      </c>
      <c r="AB246" s="305">
        <f t="shared" si="464"/>
        <v>0</v>
      </c>
    </row>
    <row r="247" spans="1:28" s="90" customFormat="1" ht="14.1" customHeight="1" x14ac:dyDescent="0.2">
      <c r="A247" s="301"/>
      <c r="B247" s="347" t="s">
        <v>437</v>
      </c>
      <c r="C247" s="101"/>
      <c r="D247" s="101"/>
      <c r="E247" s="101"/>
      <c r="F247" s="370"/>
      <c r="G247" s="321"/>
      <c r="H247" s="321"/>
      <c r="I247" s="321"/>
      <c r="J247" s="321"/>
      <c r="K247" s="332"/>
      <c r="L247" s="332"/>
      <c r="M247" s="332"/>
      <c r="N247" s="332"/>
      <c r="O247" s="332"/>
      <c r="P247" s="332"/>
      <c r="Q247" s="332"/>
      <c r="R247" s="332"/>
      <c r="S247" s="332"/>
      <c r="T247" s="332"/>
      <c r="U247" s="332"/>
      <c r="V247" s="332"/>
      <c r="W247" s="332"/>
      <c r="X247" s="332"/>
      <c r="Y247" s="332"/>
      <c r="Z247" s="332"/>
      <c r="AA247" s="332"/>
      <c r="AB247" s="302"/>
    </row>
    <row r="248" spans="1:28" s="90" customFormat="1" ht="14.1" customHeight="1" x14ac:dyDescent="0.2">
      <c r="A248" s="301"/>
      <c r="B248" s="348" t="s">
        <v>438</v>
      </c>
      <c r="C248" s="101"/>
      <c r="D248" s="101"/>
      <c r="E248" s="101"/>
      <c r="F248" s="370"/>
      <c r="G248" s="321"/>
      <c r="H248" s="321"/>
      <c r="I248" s="321"/>
      <c r="J248" s="321"/>
      <c r="K248" s="332"/>
      <c r="L248" s="332"/>
      <c r="M248" s="332"/>
      <c r="N248" s="332"/>
      <c r="O248" s="332"/>
      <c r="P248" s="332"/>
      <c r="Q248" s="332"/>
      <c r="R248" s="332"/>
      <c r="S248" s="332"/>
      <c r="T248" s="332"/>
      <c r="U248" s="332"/>
      <c r="V248" s="332"/>
      <c r="W248" s="332"/>
      <c r="X248" s="332"/>
      <c r="Y248" s="332"/>
      <c r="Z248" s="332"/>
      <c r="AA248" s="332"/>
      <c r="AB248" s="302"/>
    </row>
    <row r="249" spans="1:28" s="90" customFormat="1" ht="14.1" hidden="1" customHeight="1" x14ac:dyDescent="0.2">
      <c r="A249" s="301"/>
      <c r="B249" s="349" t="s">
        <v>439</v>
      </c>
      <c r="C249" s="101"/>
      <c r="D249" s="101"/>
      <c r="E249" s="101"/>
      <c r="F249" s="370" t="s">
        <v>440</v>
      </c>
      <c r="G249" s="149"/>
      <c r="H249" s="149"/>
      <c r="I249" s="329">
        <f t="shared" ref="I249:I250" si="466">G249+H249</f>
        <v>0</v>
      </c>
      <c r="J249" s="329">
        <f t="shared" ref="J249:J250" si="467">I249</f>
        <v>0</v>
      </c>
      <c r="K249" s="274"/>
      <c r="L249" s="274"/>
      <c r="M249" s="274"/>
      <c r="N249" s="275">
        <f t="shared" ref="N249:N250" si="468">J249+K249-L249+M249</f>
        <v>0</v>
      </c>
      <c r="O249" s="274"/>
      <c r="P249" s="274"/>
      <c r="Q249" s="274"/>
      <c r="R249" s="274"/>
      <c r="S249" s="274">
        <f t="shared" ref="S249:S250" si="469">SUM(O249:R249)</f>
        <v>0</v>
      </c>
      <c r="T249" s="274"/>
      <c r="U249" s="274"/>
      <c r="V249" s="274"/>
      <c r="W249" s="274"/>
      <c r="X249" s="274">
        <f t="shared" ref="X249:X250" si="470">SUM(T249:W249)</f>
        <v>0</v>
      </c>
      <c r="Y249" s="274">
        <f t="shared" ref="Y249:Y250" si="471">I249-N249</f>
        <v>0</v>
      </c>
      <c r="Z249" s="274">
        <f t="shared" ref="Z249:Z250" si="472">N249-S249</f>
        <v>0</v>
      </c>
      <c r="AA249" s="274"/>
      <c r="AB249" s="306">
        <f t="shared" ref="AB249:AB250" si="473">+S249-X249-AA249</f>
        <v>0</v>
      </c>
    </row>
    <row r="250" spans="1:28" s="90" customFormat="1" ht="14.1" hidden="1" customHeight="1" x14ac:dyDescent="0.2">
      <c r="A250" s="301"/>
      <c r="B250" s="349" t="s">
        <v>441</v>
      </c>
      <c r="C250" s="101"/>
      <c r="D250" s="101"/>
      <c r="E250" s="101"/>
      <c r="F250" s="370" t="s">
        <v>442</v>
      </c>
      <c r="G250" s="149"/>
      <c r="H250" s="149"/>
      <c r="I250" s="329">
        <f t="shared" si="466"/>
        <v>0</v>
      </c>
      <c r="J250" s="329">
        <f t="shared" si="467"/>
        <v>0</v>
      </c>
      <c r="K250" s="274"/>
      <c r="L250" s="274"/>
      <c r="M250" s="274"/>
      <c r="N250" s="275">
        <f t="shared" si="468"/>
        <v>0</v>
      </c>
      <c r="O250" s="274"/>
      <c r="P250" s="274"/>
      <c r="Q250" s="274"/>
      <c r="R250" s="274"/>
      <c r="S250" s="274">
        <f t="shared" si="469"/>
        <v>0</v>
      </c>
      <c r="T250" s="274"/>
      <c r="U250" s="274"/>
      <c r="V250" s="274"/>
      <c r="W250" s="274"/>
      <c r="X250" s="274">
        <f t="shared" si="470"/>
        <v>0</v>
      </c>
      <c r="Y250" s="274">
        <f t="shared" si="471"/>
        <v>0</v>
      </c>
      <c r="Z250" s="274">
        <f t="shared" si="472"/>
        <v>0</v>
      </c>
      <c r="AA250" s="274"/>
      <c r="AB250" s="306">
        <f t="shared" si="473"/>
        <v>0</v>
      </c>
    </row>
    <row r="251" spans="1:28" s="90" customFormat="1" ht="14.1" customHeight="1" x14ac:dyDescent="0.2">
      <c r="A251" s="301"/>
      <c r="B251" s="348" t="s">
        <v>443</v>
      </c>
      <c r="C251" s="101"/>
      <c r="D251" s="101"/>
      <c r="E251" s="101"/>
      <c r="F251" s="370"/>
      <c r="G251" s="149"/>
      <c r="H251" s="149"/>
      <c r="I251" s="149"/>
      <c r="J251" s="14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583"/>
    </row>
    <row r="252" spans="1:28" s="90" customFormat="1" ht="14.1" hidden="1" customHeight="1" x14ac:dyDescent="0.2">
      <c r="A252" s="301"/>
      <c r="B252" s="349" t="s">
        <v>444</v>
      </c>
      <c r="C252" s="101"/>
      <c r="D252" s="101"/>
      <c r="E252" s="101"/>
      <c r="F252" s="370" t="s">
        <v>445</v>
      </c>
      <c r="G252" s="149"/>
      <c r="H252" s="149"/>
      <c r="I252" s="329">
        <f t="shared" ref="I252:I254" si="474">G252+H252</f>
        <v>0</v>
      </c>
      <c r="J252" s="329">
        <f t="shared" ref="J252:J254" si="475">I252</f>
        <v>0</v>
      </c>
      <c r="K252" s="274"/>
      <c r="L252" s="274"/>
      <c r="M252" s="274"/>
      <c r="N252" s="275">
        <f t="shared" ref="N252:N254" si="476">J252+K252-L252+M252</f>
        <v>0</v>
      </c>
      <c r="O252" s="274"/>
      <c r="P252" s="274"/>
      <c r="Q252" s="274"/>
      <c r="R252" s="274"/>
      <c r="S252" s="274">
        <f t="shared" ref="S252:S254" si="477">SUM(O252:R252)</f>
        <v>0</v>
      </c>
      <c r="T252" s="274"/>
      <c r="U252" s="274"/>
      <c r="V252" s="274"/>
      <c r="W252" s="274"/>
      <c r="X252" s="274">
        <f t="shared" ref="X252:X254" si="478">SUM(T252:W252)</f>
        <v>0</v>
      </c>
      <c r="Y252" s="274">
        <f t="shared" ref="Y252:Y254" si="479">I252-N252</f>
        <v>0</v>
      </c>
      <c r="Z252" s="274">
        <f t="shared" ref="Z252:Z254" si="480">N252-S252</f>
        <v>0</v>
      </c>
      <c r="AA252" s="274"/>
      <c r="AB252" s="306">
        <f t="shared" ref="AB252:AB254" si="481">+S252-X252-AA252</f>
        <v>0</v>
      </c>
    </row>
    <row r="253" spans="1:28" s="90" customFormat="1" ht="14.1" hidden="1" customHeight="1" x14ac:dyDescent="0.2">
      <c r="A253" s="301"/>
      <c r="B253" s="349" t="s">
        <v>446</v>
      </c>
      <c r="C253" s="101"/>
      <c r="D253" s="101"/>
      <c r="E253" s="101"/>
      <c r="F253" s="370" t="s">
        <v>447</v>
      </c>
      <c r="G253" s="149"/>
      <c r="H253" s="149"/>
      <c r="I253" s="329">
        <f t="shared" si="474"/>
        <v>0</v>
      </c>
      <c r="J253" s="329">
        <f t="shared" si="475"/>
        <v>0</v>
      </c>
      <c r="K253" s="274"/>
      <c r="L253" s="274"/>
      <c r="M253" s="274"/>
      <c r="N253" s="275">
        <f t="shared" si="476"/>
        <v>0</v>
      </c>
      <c r="O253" s="274"/>
      <c r="P253" s="274"/>
      <c r="Q253" s="274"/>
      <c r="R253" s="274"/>
      <c r="S253" s="274">
        <f t="shared" si="477"/>
        <v>0</v>
      </c>
      <c r="T253" s="274"/>
      <c r="U253" s="274"/>
      <c r="V253" s="274"/>
      <c r="W253" s="274"/>
      <c r="X253" s="274">
        <f t="shared" si="478"/>
        <v>0</v>
      </c>
      <c r="Y253" s="274">
        <f t="shared" si="479"/>
        <v>0</v>
      </c>
      <c r="Z253" s="274">
        <f t="shared" si="480"/>
        <v>0</v>
      </c>
      <c r="AA253" s="274"/>
      <c r="AB253" s="306">
        <f t="shared" si="481"/>
        <v>0</v>
      </c>
    </row>
    <row r="254" spans="1:28" s="90" customFormat="1" ht="14.1" hidden="1" customHeight="1" x14ac:dyDescent="0.2">
      <c r="A254" s="301"/>
      <c r="B254" s="349" t="s">
        <v>448</v>
      </c>
      <c r="C254" s="101"/>
      <c r="D254" s="101"/>
      <c r="E254" s="101"/>
      <c r="F254" s="370" t="s">
        <v>449</v>
      </c>
      <c r="G254" s="149"/>
      <c r="H254" s="149"/>
      <c r="I254" s="329">
        <f t="shared" si="474"/>
        <v>0</v>
      </c>
      <c r="J254" s="329">
        <f t="shared" si="475"/>
        <v>0</v>
      </c>
      <c r="K254" s="274"/>
      <c r="L254" s="274"/>
      <c r="M254" s="274"/>
      <c r="N254" s="275">
        <f t="shared" si="476"/>
        <v>0</v>
      </c>
      <c r="O254" s="274"/>
      <c r="P254" s="274"/>
      <c r="Q254" s="274"/>
      <c r="R254" s="274"/>
      <c r="S254" s="274">
        <f t="shared" si="477"/>
        <v>0</v>
      </c>
      <c r="T254" s="274"/>
      <c r="U254" s="274"/>
      <c r="V254" s="274"/>
      <c r="W254" s="274"/>
      <c r="X254" s="274">
        <f t="shared" si="478"/>
        <v>0</v>
      </c>
      <c r="Y254" s="274">
        <f t="shared" si="479"/>
        <v>0</v>
      </c>
      <c r="Z254" s="274">
        <f t="shared" si="480"/>
        <v>0</v>
      </c>
      <c r="AA254" s="274"/>
      <c r="AB254" s="306">
        <f t="shared" si="481"/>
        <v>0</v>
      </c>
    </row>
    <row r="255" spans="1:28" s="90" customFormat="1" ht="14.1" customHeight="1" x14ac:dyDescent="0.2">
      <c r="A255" s="301"/>
      <c r="B255" s="348" t="s">
        <v>450</v>
      </c>
      <c r="C255" s="101"/>
      <c r="D255" s="101"/>
      <c r="E255" s="101"/>
      <c r="F255" s="370"/>
      <c r="G255" s="149"/>
      <c r="H255" s="149"/>
      <c r="I255" s="149"/>
      <c r="J255" s="14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583"/>
    </row>
    <row r="256" spans="1:28" s="90" customFormat="1" ht="14.1" hidden="1" customHeight="1" x14ac:dyDescent="0.2">
      <c r="A256" s="301"/>
      <c r="B256" s="349" t="s">
        <v>451</v>
      </c>
      <c r="C256" s="101"/>
      <c r="D256" s="101"/>
      <c r="E256" s="101"/>
      <c r="F256" s="370" t="s">
        <v>452</v>
      </c>
      <c r="G256" s="149"/>
      <c r="H256" s="149"/>
      <c r="I256" s="329">
        <f t="shared" ref="I256:I262" si="482">G256+H256</f>
        <v>0</v>
      </c>
      <c r="J256" s="329">
        <f t="shared" ref="J256:J262" si="483">I256</f>
        <v>0</v>
      </c>
      <c r="K256" s="274"/>
      <c r="L256" s="274"/>
      <c r="M256" s="274"/>
      <c r="N256" s="275">
        <f t="shared" ref="N256:N262" si="484">J256+K256-L256+M256</f>
        <v>0</v>
      </c>
      <c r="O256" s="274"/>
      <c r="P256" s="274"/>
      <c r="Q256" s="274"/>
      <c r="R256" s="274"/>
      <c r="S256" s="274">
        <f t="shared" ref="S256:S262" si="485">SUM(O256:R256)</f>
        <v>0</v>
      </c>
      <c r="T256" s="274"/>
      <c r="U256" s="274"/>
      <c r="V256" s="274"/>
      <c r="W256" s="274"/>
      <c r="X256" s="274">
        <f t="shared" ref="X256:X262" si="486">SUM(T256:W256)</f>
        <v>0</v>
      </c>
      <c r="Y256" s="274">
        <f t="shared" ref="Y256:Y262" si="487">I256-N256</f>
        <v>0</v>
      </c>
      <c r="Z256" s="274">
        <f t="shared" ref="Z256:Z262" si="488">N256-S256</f>
        <v>0</v>
      </c>
      <c r="AA256" s="274"/>
      <c r="AB256" s="306">
        <f t="shared" ref="AB256:AB262" si="489">+S256-X256-AA256</f>
        <v>0</v>
      </c>
    </row>
    <row r="257" spans="1:28" s="90" customFormat="1" ht="14.1" hidden="1" customHeight="1" x14ac:dyDescent="0.2">
      <c r="A257" s="301"/>
      <c r="B257" s="349" t="s">
        <v>453</v>
      </c>
      <c r="C257" s="101"/>
      <c r="D257" s="101"/>
      <c r="E257" s="101"/>
      <c r="F257" s="370" t="s">
        <v>454</v>
      </c>
      <c r="G257" s="149"/>
      <c r="H257" s="149"/>
      <c r="I257" s="329">
        <f t="shared" si="482"/>
        <v>0</v>
      </c>
      <c r="J257" s="329">
        <f t="shared" si="483"/>
        <v>0</v>
      </c>
      <c r="K257" s="274"/>
      <c r="L257" s="274"/>
      <c r="M257" s="274"/>
      <c r="N257" s="275">
        <f t="shared" si="484"/>
        <v>0</v>
      </c>
      <c r="O257" s="274"/>
      <c r="P257" s="274"/>
      <c r="Q257" s="274"/>
      <c r="R257" s="274"/>
      <c r="S257" s="274">
        <f t="shared" si="485"/>
        <v>0</v>
      </c>
      <c r="T257" s="274"/>
      <c r="U257" s="274"/>
      <c r="V257" s="274"/>
      <c r="W257" s="274"/>
      <c r="X257" s="274">
        <f t="shared" si="486"/>
        <v>0</v>
      </c>
      <c r="Y257" s="274">
        <f t="shared" si="487"/>
        <v>0</v>
      </c>
      <c r="Z257" s="274">
        <f t="shared" si="488"/>
        <v>0</v>
      </c>
      <c r="AA257" s="274"/>
      <c r="AB257" s="306">
        <f t="shared" si="489"/>
        <v>0</v>
      </c>
    </row>
    <row r="258" spans="1:28" s="90" customFormat="1" ht="14.1" customHeight="1" x14ac:dyDescent="0.2">
      <c r="A258" s="301"/>
      <c r="B258" s="349" t="s">
        <v>455</v>
      </c>
      <c r="C258" s="101"/>
      <c r="D258" s="101"/>
      <c r="E258" s="101"/>
      <c r="F258" s="370" t="s">
        <v>456</v>
      </c>
      <c r="G258" s="149"/>
      <c r="H258" s="149"/>
      <c r="I258" s="329">
        <f t="shared" si="482"/>
        <v>0</v>
      </c>
      <c r="J258" s="329">
        <f t="shared" si="483"/>
        <v>0</v>
      </c>
      <c r="K258" s="274"/>
      <c r="L258" s="274"/>
      <c r="M258" s="274">
        <v>190000</v>
      </c>
      <c r="N258" s="275">
        <f t="shared" si="484"/>
        <v>190000</v>
      </c>
      <c r="O258" s="274"/>
      <c r="P258" s="274"/>
      <c r="Q258" s="274">
        <v>132049.84</v>
      </c>
      <c r="R258" s="274"/>
      <c r="S258" s="274">
        <f t="shared" si="485"/>
        <v>132049.84</v>
      </c>
      <c r="T258" s="274"/>
      <c r="U258" s="274"/>
      <c r="V258" s="274">
        <v>132049.84</v>
      </c>
      <c r="W258" s="274"/>
      <c r="X258" s="274">
        <f t="shared" si="486"/>
        <v>132049.84</v>
      </c>
      <c r="Y258" s="274">
        <f t="shared" si="487"/>
        <v>-190000</v>
      </c>
      <c r="Z258" s="274">
        <f t="shared" si="488"/>
        <v>57950.16</v>
      </c>
      <c r="AA258" s="274"/>
      <c r="AB258" s="306">
        <f t="shared" si="489"/>
        <v>0</v>
      </c>
    </row>
    <row r="259" spans="1:28" s="90" customFormat="1" ht="14.1" hidden="1" customHeight="1" x14ac:dyDescent="0.2">
      <c r="A259" s="301"/>
      <c r="B259" s="349" t="s">
        <v>457</v>
      </c>
      <c r="C259" s="101"/>
      <c r="D259" s="101"/>
      <c r="E259" s="101"/>
      <c r="F259" s="370" t="s">
        <v>458</v>
      </c>
      <c r="G259" s="149"/>
      <c r="H259" s="149"/>
      <c r="I259" s="329">
        <f t="shared" si="482"/>
        <v>0</v>
      </c>
      <c r="J259" s="329">
        <f t="shared" si="483"/>
        <v>0</v>
      </c>
      <c r="K259" s="274"/>
      <c r="L259" s="274"/>
      <c r="M259" s="274"/>
      <c r="N259" s="275">
        <f t="shared" si="484"/>
        <v>0</v>
      </c>
      <c r="O259" s="274"/>
      <c r="P259" s="274"/>
      <c r="Q259" s="274"/>
      <c r="R259" s="274"/>
      <c r="S259" s="274">
        <f t="shared" si="485"/>
        <v>0</v>
      </c>
      <c r="T259" s="274"/>
      <c r="U259" s="274"/>
      <c r="V259" s="274"/>
      <c r="W259" s="274"/>
      <c r="X259" s="274">
        <f t="shared" si="486"/>
        <v>0</v>
      </c>
      <c r="Y259" s="274">
        <f t="shared" si="487"/>
        <v>0</v>
      </c>
      <c r="Z259" s="274">
        <f t="shared" si="488"/>
        <v>0</v>
      </c>
      <c r="AA259" s="274"/>
      <c r="AB259" s="306">
        <f t="shared" si="489"/>
        <v>0</v>
      </c>
    </row>
    <row r="260" spans="1:28" s="90" customFormat="1" ht="14.1" hidden="1" customHeight="1" x14ac:dyDescent="0.2">
      <c r="A260" s="301"/>
      <c r="B260" s="349" t="s">
        <v>459</v>
      </c>
      <c r="C260" s="101"/>
      <c r="D260" s="101"/>
      <c r="E260" s="101"/>
      <c r="F260" s="370" t="s">
        <v>460</v>
      </c>
      <c r="G260" s="149"/>
      <c r="H260" s="149"/>
      <c r="I260" s="329">
        <f t="shared" si="482"/>
        <v>0</v>
      </c>
      <c r="J260" s="329">
        <f t="shared" si="483"/>
        <v>0</v>
      </c>
      <c r="K260" s="274"/>
      <c r="L260" s="274"/>
      <c r="M260" s="274"/>
      <c r="N260" s="275">
        <f t="shared" si="484"/>
        <v>0</v>
      </c>
      <c r="O260" s="274"/>
      <c r="P260" s="274"/>
      <c r="Q260" s="274"/>
      <c r="R260" s="274"/>
      <c r="S260" s="274">
        <f t="shared" si="485"/>
        <v>0</v>
      </c>
      <c r="T260" s="274"/>
      <c r="U260" s="274"/>
      <c r="V260" s="274"/>
      <c r="W260" s="274"/>
      <c r="X260" s="274">
        <f t="shared" si="486"/>
        <v>0</v>
      </c>
      <c r="Y260" s="274">
        <f t="shared" si="487"/>
        <v>0</v>
      </c>
      <c r="Z260" s="274">
        <f t="shared" si="488"/>
        <v>0</v>
      </c>
      <c r="AA260" s="274"/>
      <c r="AB260" s="306">
        <f t="shared" si="489"/>
        <v>0</v>
      </c>
    </row>
    <row r="261" spans="1:28" s="90" customFormat="1" ht="14.1" hidden="1" customHeight="1" x14ac:dyDescent="0.2">
      <c r="A261" s="301"/>
      <c r="B261" s="349" t="s">
        <v>461</v>
      </c>
      <c r="C261" s="101"/>
      <c r="D261" s="101"/>
      <c r="E261" s="101"/>
      <c r="F261" s="370" t="s">
        <v>462</v>
      </c>
      <c r="G261" s="149"/>
      <c r="H261" s="149"/>
      <c r="I261" s="329">
        <f t="shared" si="482"/>
        <v>0</v>
      </c>
      <c r="J261" s="329">
        <f t="shared" si="483"/>
        <v>0</v>
      </c>
      <c r="K261" s="274"/>
      <c r="L261" s="274"/>
      <c r="M261" s="274"/>
      <c r="N261" s="275">
        <f t="shared" si="484"/>
        <v>0</v>
      </c>
      <c r="O261" s="274"/>
      <c r="P261" s="274"/>
      <c r="Q261" s="274"/>
      <c r="R261" s="274"/>
      <c r="S261" s="274">
        <f t="shared" si="485"/>
        <v>0</v>
      </c>
      <c r="T261" s="274"/>
      <c r="U261" s="274"/>
      <c r="V261" s="274"/>
      <c r="W261" s="274"/>
      <c r="X261" s="274">
        <f t="shared" si="486"/>
        <v>0</v>
      </c>
      <c r="Y261" s="274">
        <f t="shared" si="487"/>
        <v>0</v>
      </c>
      <c r="Z261" s="274">
        <f t="shared" si="488"/>
        <v>0</v>
      </c>
      <c r="AA261" s="274"/>
      <c r="AB261" s="306">
        <f t="shared" si="489"/>
        <v>0</v>
      </c>
    </row>
    <row r="262" spans="1:28" s="90" customFormat="1" ht="14.1" hidden="1" customHeight="1" x14ac:dyDescent="0.2">
      <c r="A262" s="301"/>
      <c r="B262" s="349" t="s">
        <v>463</v>
      </c>
      <c r="C262" s="101"/>
      <c r="D262" s="101"/>
      <c r="E262" s="101"/>
      <c r="F262" s="370" t="s">
        <v>464</v>
      </c>
      <c r="G262" s="149"/>
      <c r="H262" s="149"/>
      <c r="I262" s="329">
        <f t="shared" si="482"/>
        <v>0</v>
      </c>
      <c r="J262" s="329">
        <f t="shared" si="483"/>
        <v>0</v>
      </c>
      <c r="K262" s="274"/>
      <c r="L262" s="274"/>
      <c r="M262" s="274"/>
      <c r="N262" s="275">
        <f t="shared" si="484"/>
        <v>0</v>
      </c>
      <c r="O262" s="274"/>
      <c r="P262" s="274"/>
      <c r="Q262" s="274"/>
      <c r="R262" s="274"/>
      <c r="S262" s="274">
        <f t="shared" si="485"/>
        <v>0</v>
      </c>
      <c r="T262" s="274"/>
      <c r="U262" s="274"/>
      <c r="V262" s="274"/>
      <c r="W262" s="274"/>
      <c r="X262" s="274">
        <f t="shared" si="486"/>
        <v>0</v>
      </c>
      <c r="Y262" s="274">
        <f t="shared" si="487"/>
        <v>0</v>
      </c>
      <c r="Z262" s="274">
        <f t="shared" si="488"/>
        <v>0</v>
      </c>
      <c r="AA262" s="274"/>
      <c r="AB262" s="306">
        <f t="shared" si="489"/>
        <v>0</v>
      </c>
    </row>
    <row r="263" spans="1:28" s="90" customFormat="1" ht="14.1" customHeight="1" x14ac:dyDescent="0.2">
      <c r="A263" s="301"/>
      <c r="B263" s="348" t="s">
        <v>465</v>
      </c>
      <c r="C263" s="101"/>
      <c r="D263" s="101"/>
      <c r="E263" s="101"/>
      <c r="F263" s="370"/>
      <c r="G263" s="149"/>
      <c r="H263" s="149"/>
      <c r="I263" s="149"/>
      <c r="J263" s="14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583"/>
    </row>
    <row r="264" spans="1:28" s="90" customFormat="1" ht="14.1" hidden="1" customHeight="1" x14ac:dyDescent="0.2">
      <c r="A264" s="301"/>
      <c r="B264" s="349" t="s">
        <v>466</v>
      </c>
      <c r="C264" s="101"/>
      <c r="D264" s="101"/>
      <c r="E264" s="101"/>
      <c r="F264" s="370" t="s">
        <v>467</v>
      </c>
      <c r="G264" s="149"/>
      <c r="H264" s="149"/>
      <c r="I264" s="329">
        <f t="shared" ref="I264:I266" si="490">G264+H264</f>
        <v>0</v>
      </c>
      <c r="J264" s="329">
        <f t="shared" ref="J264:J266" si="491">I264</f>
        <v>0</v>
      </c>
      <c r="K264" s="274"/>
      <c r="L264" s="274"/>
      <c r="M264" s="274"/>
      <c r="N264" s="275">
        <f t="shared" ref="N264:N266" si="492">J264+K264-L264+M264</f>
        <v>0</v>
      </c>
      <c r="O264" s="274"/>
      <c r="P264" s="274"/>
      <c r="Q264" s="274"/>
      <c r="R264" s="274"/>
      <c r="S264" s="274">
        <f t="shared" ref="S264:S266" si="493">SUM(O264:R264)</f>
        <v>0</v>
      </c>
      <c r="T264" s="274"/>
      <c r="U264" s="274"/>
      <c r="V264" s="274"/>
      <c r="W264" s="274"/>
      <c r="X264" s="274">
        <f t="shared" ref="X264:X266" si="494">SUM(T264:W264)</f>
        <v>0</v>
      </c>
      <c r="Y264" s="274">
        <f t="shared" ref="Y264:Y266" si="495">I264-N264</f>
        <v>0</v>
      </c>
      <c r="Z264" s="274">
        <f t="shared" ref="Z264:Z266" si="496">N264-S264</f>
        <v>0</v>
      </c>
      <c r="AA264" s="274"/>
      <c r="AB264" s="306">
        <f t="shared" ref="AB264:AB266" si="497">+S264-X264-AA264</f>
        <v>0</v>
      </c>
    </row>
    <row r="265" spans="1:28" s="90" customFormat="1" ht="14.1" hidden="1" customHeight="1" x14ac:dyDescent="0.2">
      <c r="A265" s="301"/>
      <c r="B265" s="349" t="s">
        <v>468</v>
      </c>
      <c r="C265" s="101"/>
      <c r="D265" s="101"/>
      <c r="E265" s="101"/>
      <c r="F265" s="370" t="s">
        <v>469</v>
      </c>
      <c r="G265" s="149"/>
      <c r="H265" s="149"/>
      <c r="I265" s="329">
        <f t="shared" si="490"/>
        <v>0</v>
      </c>
      <c r="J265" s="329">
        <f t="shared" si="491"/>
        <v>0</v>
      </c>
      <c r="K265" s="274"/>
      <c r="L265" s="274"/>
      <c r="M265" s="274"/>
      <c r="N265" s="275">
        <f t="shared" si="492"/>
        <v>0</v>
      </c>
      <c r="O265" s="274"/>
      <c r="P265" s="274"/>
      <c r="Q265" s="274"/>
      <c r="R265" s="274"/>
      <c r="S265" s="274">
        <f t="shared" si="493"/>
        <v>0</v>
      </c>
      <c r="T265" s="274"/>
      <c r="U265" s="274"/>
      <c r="V265" s="274"/>
      <c r="W265" s="274"/>
      <c r="X265" s="274">
        <f t="shared" si="494"/>
        <v>0</v>
      </c>
      <c r="Y265" s="274">
        <f t="shared" si="495"/>
        <v>0</v>
      </c>
      <c r="Z265" s="274">
        <f t="shared" si="496"/>
        <v>0</v>
      </c>
      <c r="AA265" s="274"/>
      <c r="AB265" s="306">
        <f t="shared" si="497"/>
        <v>0</v>
      </c>
    </row>
    <row r="266" spans="1:28" s="90" customFormat="1" ht="14.1" hidden="1" customHeight="1" x14ac:dyDescent="0.2">
      <c r="A266" s="301"/>
      <c r="B266" s="349" t="s">
        <v>470</v>
      </c>
      <c r="C266" s="101"/>
      <c r="D266" s="101"/>
      <c r="E266" s="101"/>
      <c r="F266" s="370" t="s">
        <v>471</v>
      </c>
      <c r="G266" s="149"/>
      <c r="H266" s="149"/>
      <c r="I266" s="329">
        <f t="shared" si="490"/>
        <v>0</v>
      </c>
      <c r="J266" s="329">
        <f t="shared" si="491"/>
        <v>0</v>
      </c>
      <c r="K266" s="274"/>
      <c r="L266" s="274"/>
      <c r="M266" s="274"/>
      <c r="N266" s="275">
        <f t="shared" si="492"/>
        <v>0</v>
      </c>
      <c r="O266" s="274"/>
      <c r="P266" s="274"/>
      <c r="Q266" s="274"/>
      <c r="R266" s="274"/>
      <c r="S266" s="274">
        <f t="shared" si="493"/>
        <v>0</v>
      </c>
      <c r="T266" s="274"/>
      <c r="U266" s="274"/>
      <c r="V266" s="274"/>
      <c r="W266" s="274"/>
      <c r="X266" s="274">
        <f t="shared" si="494"/>
        <v>0</v>
      </c>
      <c r="Y266" s="274">
        <f t="shared" si="495"/>
        <v>0</v>
      </c>
      <c r="Z266" s="274">
        <f t="shared" si="496"/>
        <v>0</v>
      </c>
      <c r="AA266" s="274"/>
      <c r="AB266" s="306">
        <f t="shared" si="497"/>
        <v>0</v>
      </c>
    </row>
    <row r="267" spans="1:28" s="90" customFormat="1" ht="14.1" customHeight="1" x14ac:dyDescent="0.2">
      <c r="A267" s="301"/>
      <c r="B267" s="348" t="s">
        <v>472</v>
      </c>
      <c r="C267" s="101"/>
      <c r="D267" s="101"/>
      <c r="E267" s="101"/>
      <c r="F267" s="370"/>
      <c r="G267" s="149"/>
      <c r="H267" s="149"/>
      <c r="I267" s="149"/>
      <c r="J267" s="14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  <c r="AB267" s="583"/>
    </row>
    <row r="268" spans="1:28" s="90" customFormat="1" ht="14.1" hidden="1" customHeight="1" x14ac:dyDescent="0.2">
      <c r="A268" s="301"/>
      <c r="B268" s="349" t="s">
        <v>473</v>
      </c>
      <c r="C268" s="101"/>
      <c r="D268" s="101"/>
      <c r="E268" s="101"/>
      <c r="F268" s="370" t="s">
        <v>474</v>
      </c>
      <c r="G268" s="149"/>
      <c r="H268" s="149"/>
      <c r="I268" s="329">
        <f t="shared" ref="I268:I269" si="498">G268+H268</f>
        <v>0</v>
      </c>
      <c r="J268" s="329">
        <f t="shared" ref="J268:J269" si="499">I268</f>
        <v>0</v>
      </c>
      <c r="K268" s="274"/>
      <c r="L268" s="274"/>
      <c r="M268" s="274"/>
      <c r="N268" s="275">
        <f t="shared" ref="N268:N269" si="500">J268+K268-L268+M268</f>
        <v>0</v>
      </c>
      <c r="O268" s="274"/>
      <c r="P268" s="274"/>
      <c r="Q268" s="274"/>
      <c r="R268" s="274"/>
      <c r="S268" s="274">
        <f t="shared" ref="S268:S269" si="501">SUM(O268:R268)</f>
        <v>0</v>
      </c>
      <c r="T268" s="274"/>
      <c r="U268" s="274"/>
      <c r="V268" s="274"/>
      <c r="W268" s="274"/>
      <c r="X268" s="274">
        <f t="shared" ref="X268:X269" si="502">SUM(T268:W268)</f>
        <v>0</v>
      </c>
      <c r="Y268" s="274">
        <f t="shared" ref="Y268:Y269" si="503">I268-N268</f>
        <v>0</v>
      </c>
      <c r="Z268" s="274">
        <f t="shared" ref="Z268:Z269" si="504">N268-S268</f>
        <v>0</v>
      </c>
      <c r="AA268" s="274"/>
      <c r="AB268" s="306">
        <f t="shared" ref="AB268:AB269" si="505">+S268-X268-AA268</f>
        <v>0</v>
      </c>
    </row>
    <row r="269" spans="1:28" s="90" customFormat="1" ht="14.1" hidden="1" customHeight="1" x14ac:dyDescent="0.2">
      <c r="A269" s="301"/>
      <c r="B269" s="349" t="s">
        <v>475</v>
      </c>
      <c r="C269" s="101"/>
      <c r="D269" s="101"/>
      <c r="E269" s="101"/>
      <c r="F269" s="370" t="s">
        <v>476</v>
      </c>
      <c r="G269" s="149"/>
      <c r="H269" s="149"/>
      <c r="I269" s="329">
        <f t="shared" si="498"/>
        <v>0</v>
      </c>
      <c r="J269" s="329">
        <f t="shared" si="499"/>
        <v>0</v>
      </c>
      <c r="K269" s="274"/>
      <c r="L269" s="274"/>
      <c r="M269" s="274"/>
      <c r="N269" s="275">
        <f t="shared" si="500"/>
        <v>0</v>
      </c>
      <c r="O269" s="274"/>
      <c r="P269" s="274"/>
      <c r="Q269" s="274"/>
      <c r="R269" s="274"/>
      <c r="S269" s="274">
        <f t="shared" si="501"/>
        <v>0</v>
      </c>
      <c r="T269" s="274"/>
      <c r="U269" s="274"/>
      <c r="V269" s="274"/>
      <c r="W269" s="274"/>
      <c r="X269" s="274">
        <f t="shared" si="502"/>
        <v>0</v>
      </c>
      <c r="Y269" s="274">
        <f t="shared" si="503"/>
        <v>0</v>
      </c>
      <c r="Z269" s="274">
        <f t="shared" si="504"/>
        <v>0</v>
      </c>
      <c r="AA269" s="274"/>
      <c r="AB269" s="306">
        <f t="shared" si="505"/>
        <v>0</v>
      </c>
    </row>
    <row r="270" spans="1:28" s="90" customFormat="1" ht="14.1" customHeight="1" x14ac:dyDescent="0.2">
      <c r="A270" s="301"/>
      <c r="B270" s="348" t="s">
        <v>477</v>
      </c>
      <c r="C270" s="101"/>
      <c r="D270" s="101"/>
      <c r="E270" s="101"/>
      <c r="F270" s="370"/>
      <c r="G270" s="149"/>
      <c r="H270" s="149"/>
      <c r="I270" s="149"/>
      <c r="J270" s="14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  <c r="AB270" s="583"/>
    </row>
    <row r="271" spans="1:28" s="90" customFormat="1" ht="14.1" hidden="1" customHeight="1" x14ac:dyDescent="0.2">
      <c r="A271" s="301"/>
      <c r="B271" s="349" t="s">
        <v>478</v>
      </c>
      <c r="C271" s="101"/>
      <c r="D271" s="101"/>
      <c r="E271" s="101"/>
      <c r="F271" s="370" t="s">
        <v>479</v>
      </c>
      <c r="G271" s="149"/>
      <c r="H271" s="149"/>
      <c r="I271" s="329">
        <f t="shared" ref="I271" si="506">G271+H271</f>
        <v>0</v>
      </c>
      <c r="J271" s="329">
        <f t="shared" ref="J271" si="507">I271</f>
        <v>0</v>
      </c>
      <c r="K271" s="274"/>
      <c r="L271" s="274"/>
      <c r="M271" s="274"/>
      <c r="N271" s="275">
        <f>J271+K271-L271+M271</f>
        <v>0</v>
      </c>
      <c r="O271" s="274"/>
      <c r="P271" s="274"/>
      <c r="Q271" s="274"/>
      <c r="R271" s="274"/>
      <c r="S271" s="274">
        <f t="shared" ref="S271" si="508">SUM(O271:R271)</f>
        <v>0</v>
      </c>
      <c r="T271" s="274"/>
      <c r="U271" s="274"/>
      <c r="V271" s="274"/>
      <c r="W271" s="274"/>
      <c r="X271" s="274">
        <f t="shared" ref="X271" si="509">SUM(T271:W271)</f>
        <v>0</v>
      </c>
      <c r="Y271" s="274">
        <f t="shared" ref="Y271" si="510">I271-N271</f>
        <v>0</v>
      </c>
      <c r="Z271" s="274">
        <f t="shared" ref="Z271" si="511">N271-S271</f>
        <v>0</v>
      </c>
      <c r="AA271" s="274"/>
      <c r="AB271" s="306">
        <f t="shared" ref="AB271" si="512">+S271-X271-AA271</f>
        <v>0</v>
      </c>
    </row>
    <row r="272" spans="1:28" s="90" customFormat="1" ht="14.1" customHeight="1" x14ac:dyDescent="0.2">
      <c r="A272" s="301"/>
      <c r="B272" s="348" t="s">
        <v>480</v>
      </c>
      <c r="C272" s="101"/>
      <c r="D272" s="101"/>
      <c r="E272" s="101"/>
      <c r="F272" s="370"/>
      <c r="G272" s="149"/>
      <c r="H272" s="149"/>
      <c r="I272" s="149"/>
      <c r="J272" s="14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583"/>
    </row>
    <row r="273" spans="1:91" s="90" customFormat="1" ht="14.1" hidden="1" customHeight="1" x14ac:dyDescent="0.2">
      <c r="A273" s="301"/>
      <c r="B273" s="349" t="s">
        <v>481</v>
      </c>
      <c r="C273" s="101"/>
      <c r="D273" s="101"/>
      <c r="E273" s="101"/>
      <c r="F273" s="370" t="s">
        <v>482</v>
      </c>
      <c r="G273" s="149"/>
      <c r="H273" s="149"/>
      <c r="I273" s="329">
        <f t="shared" ref="I273" si="513">G273+H273</f>
        <v>0</v>
      </c>
      <c r="J273" s="329">
        <f t="shared" ref="J273" si="514">I273</f>
        <v>0</v>
      </c>
      <c r="K273" s="274"/>
      <c r="L273" s="274"/>
      <c r="M273" s="274"/>
      <c r="N273" s="275">
        <f>J273+K273-L273+M273</f>
        <v>0</v>
      </c>
      <c r="O273" s="274"/>
      <c r="P273" s="274"/>
      <c r="Q273" s="274"/>
      <c r="R273" s="274"/>
      <c r="S273" s="274">
        <f t="shared" ref="S273" si="515">SUM(O273:R273)</f>
        <v>0</v>
      </c>
      <c r="T273" s="274"/>
      <c r="U273" s="274"/>
      <c r="V273" s="274"/>
      <c r="W273" s="274"/>
      <c r="X273" s="274">
        <f t="shared" ref="X273" si="516">SUM(T273:W273)</f>
        <v>0</v>
      </c>
      <c r="Y273" s="274">
        <f t="shared" ref="Y273" si="517">I273-N273</f>
        <v>0</v>
      </c>
      <c r="Z273" s="274">
        <f t="shared" ref="Z273" si="518">N273-S273</f>
        <v>0</v>
      </c>
      <c r="AA273" s="274"/>
      <c r="AB273" s="306">
        <f t="shared" ref="AB273" si="519">+S273-X273-AA273</f>
        <v>0</v>
      </c>
    </row>
    <row r="274" spans="1:91" s="61" customFormat="1" ht="14.1" customHeight="1" x14ac:dyDescent="0.2">
      <c r="A274" s="303"/>
      <c r="B274" s="80"/>
      <c r="C274" s="94"/>
      <c r="D274" s="94"/>
      <c r="E274" s="69"/>
      <c r="F274" s="289"/>
      <c r="G274" s="323"/>
      <c r="H274" s="323"/>
      <c r="I274" s="329"/>
      <c r="J274" s="329"/>
      <c r="K274" s="274"/>
      <c r="L274" s="274"/>
      <c r="M274" s="274"/>
      <c r="N274" s="275"/>
      <c r="O274" s="274"/>
      <c r="P274" s="274"/>
      <c r="Q274" s="274"/>
      <c r="R274" s="274"/>
      <c r="S274" s="274"/>
      <c r="T274" s="274"/>
      <c r="U274" s="274"/>
      <c r="V274" s="274"/>
      <c r="W274" s="274"/>
      <c r="X274" s="274"/>
      <c r="Y274" s="274"/>
      <c r="Z274" s="274"/>
      <c r="AA274" s="274"/>
      <c r="AB274" s="306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</row>
    <row r="275" spans="1:91" s="61" customFormat="1" ht="14.1" customHeight="1" x14ac:dyDescent="0.2">
      <c r="A275" s="301" t="s">
        <v>119</v>
      </c>
      <c r="B275" s="73" t="s">
        <v>120</v>
      </c>
      <c r="C275" s="73"/>
      <c r="D275" s="73"/>
      <c r="E275" s="69"/>
      <c r="F275" s="258" t="s">
        <v>255</v>
      </c>
      <c r="G275" s="324">
        <f t="shared" ref="G275:AB275" si="520">G276+G485</f>
        <v>37742000</v>
      </c>
      <c r="H275" s="324">
        <f t="shared" si="520"/>
        <v>0</v>
      </c>
      <c r="I275" s="324">
        <f t="shared" si="520"/>
        <v>37742000</v>
      </c>
      <c r="J275" s="324">
        <f t="shared" si="520"/>
        <v>37742000</v>
      </c>
      <c r="K275" s="324">
        <f t="shared" si="520"/>
        <v>0</v>
      </c>
      <c r="L275" s="324">
        <f t="shared" si="520"/>
        <v>0</v>
      </c>
      <c r="M275" s="324">
        <f t="shared" si="520"/>
        <v>263600</v>
      </c>
      <c r="N275" s="324">
        <f t="shared" si="520"/>
        <v>38005600</v>
      </c>
      <c r="O275" s="324">
        <f t="shared" si="520"/>
        <v>5395445.1899999995</v>
      </c>
      <c r="P275" s="324">
        <f t="shared" si="520"/>
        <v>5560437.6600000001</v>
      </c>
      <c r="Q275" s="324">
        <f t="shared" si="520"/>
        <v>7654897.25</v>
      </c>
      <c r="R275" s="324">
        <f t="shared" si="520"/>
        <v>15590063.83</v>
      </c>
      <c r="S275" s="324">
        <f t="shared" si="520"/>
        <v>34200843.93</v>
      </c>
      <c r="T275" s="324">
        <f t="shared" si="520"/>
        <v>4234933.2699999996</v>
      </c>
      <c r="U275" s="324">
        <f t="shared" si="520"/>
        <v>6025585.3000000007</v>
      </c>
      <c r="V275" s="324">
        <f t="shared" si="520"/>
        <v>8115350.4100000001</v>
      </c>
      <c r="W275" s="324">
        <f t="shared" si="520"/>
        <v>13267409.499999998</v>
      </c>
      <c r="X275" s="324">
        <f t="shared" si="520"/>
        <v>31643278.479999997</v>
      </c>
      <c r="Y275" s="324">
        <f t="shared" si="520"/>
        <v>-263600</v>
      </c>
      <c r="Z275" s="324">
        <f t="shared" si="520"/>
        <v>3804756.0700000003</v>
      </c>
      <c r="AA275" s="324">
        <f t="shared" si="520"/>
        <v>205</v>
      </c>
      <c r="AB275" s="324">
        <f t="shared" si="520"/>
        <v>2557360.4500000011</v>
      </c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</row>
    <row r="276" spans="1:91" s="61" customFormat="1" ht="14.1" customHeight="1" x14ac:dyDescent="0.2">
      <c r="A276" s="750" t="s">
        <v>256</v>
      </c>
      <c r="B276" s="73"/>
      <c r="C276" s="73"/>
      <c r="D276" s="73"/>
      <c r="E276" s="73"/>
      <c r="F276" s="258" t="s">
        <v>257</v>
      </c>
      <c r="G276" s="324">
        <f>G277+G356</f>
        <v>24344000</v>
      </c>
      <c r="H276" s="324">
        <f t="shared" ref="H276:AB276" si="521">H277+H356</f>
        <v>0</v>
      </c>
      <c r="I276" s="324">
        <f t="shared" si="521"/>
        <v>24344000</v>
      </c>
      <c r="J276" s="324">
        <f t="shared" si="521"/>
        <v>24344000</v>
      </c>
      <c r="K276" s="324">
        <f t="shared" si="521"/>
        <v>0</v>
      </c>
      <c r="L276" s="324">
        <f t="shared" si="521"/>
        <v>0</v>
      </c>
      <c r="M276" s="324">
        <f t="shared" si="521"/>
        <v>263600</v>
      </c>
      <c r="N276" s="324">
        <f t="shared" si="521"/>
        <v>24607600</v>
      </c>
      <c r="O276" s="324">
        <f t="shared" si="521"/>
        <v>2294703.81</v>
      </c>
      <c r="P276" s="324">
        <f t="shared" si="521"/>
        <v>2352147.4800000004</v>
      </c>
      <c r="Q276" s="324">
        <f t="shared" si="521"/>
        <v>5532845.6000000006</v>
      </c>
      <c r="R276" s="324">
        <f t="shared" si="521"/>
        <v>11617929.33</v>
      </c>
      <c r="S276" s="324">
        <f t="shared" si="521"/>
        <v>21797626.219999999</v>
      </c>
      <c r="T276" s="324">
        <f t="shared" si="521"/>
        <v>1824631.8900000001</v>
      </c>
      <c r="U276" s="324">
        <f t="shared" si="521"/>
        <v>2634405.4000000004</v>
      </c>
      <c r="V276" s="324">
        <f t="shared" si="521"/>
        <v>5543534.6000000006</v>
      </c>
      <c r="W276" s="324">
        <f t="shared" si="521"/>
        <v>10041950.739999998</v>
      </c>
      <c r="X276" s="324">
        <f t="shared" si="521"/>
        <v>20044522.629999999</v>
      </c>
      <c r="Y276" s="324">
        <f t="shared" si="521"/>
        <v>-263600</v>
      </c>
      <c r="Z276" s="324">
        <f t="shared" si="521"/>
        <v>2809973.7800000003</v>
      </c>
      <c r="AA276" s="324">
        <f t="shared" si="521"/>
        <v>200</v>
      </c>
      <c r="AB276" s="324">
        <f t="shared" si="521"/>
        <v>1752903.5900000015</v>
      </c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</row>
    <row r="277" spans="1:91" s="61" customFormat="1" ht="14.1" customHeight="1" x14ac:dyDescent="0.2">
      <c r="A277" s="303" t="s">
        <v>121</v>
      </c>
      <c r="B277" s="749" t="s">
        <v>122</v>
      </c>
      <c r="C277" s="749"/>
      <c r="D277" s="749"/>
      <c r="E277" s="749"/>
      <c r="F277" s="258" t="s">
        <v>258</v>
      </c>
      <c r="G277" s="325">
        <f>G278+G281</f>
        <v>543000</v>
      </c>
      <c r="H277" s="325">
        <f t="shared" ref="H277:AB277" si="522">H278+H281</f>
        <v>0</v>
      </c>
      <c r="I277" s="325">
        <f t="shared" si="522"/>
        <v>543000</v>
      </c>
      <c r="J277" s="325">
        <f t="shared" si="522"/>
        <v>543000</v>
      </c>
      <c r="K277" s="325">
        <f t="shared" si="522"/>
        <v>0</v>
      </c>
      <c r="L277" s="325">
        <f t="shared" si="522"/>
        <v>0</v>
      </c>
      <c r="M277" s="325">
        <f t="shared" si="522"/>
        <v>0</v>
      </c>
      <c r="N277" s="325">
        <f t="shared" si="522"/>
        <v>543000</v>
      </c>
      <c r="O277" s="325">
        <f t="shared" si="522"/>
        <v>128269</v>
      </c>
      <c r="P277" s="325">
        <f t="shared" si="522"/>
        <v>19379.2</v>
      </c>
      <c r="Q277" s="325">
        <f t="shared" si="522"/>
        <v>88631.8</v>
      </c>
      <c r="R277" s="325">
        <f t="shared" si="522"/>
        <v>125520</v>
      </c>
      <c r="S277" s="325">
        <f t="shared" si="522"/>
        <v>361800</v>
      </c>
      <c r="T277" s="325">
        <f t="shared" si="522"/>
        <v>128269</v>
      </c>
      <c r="U277" s="325">
        <f t="shared" si="522"/>
        <v>19379.2</v>
      </c>
      <c r="V277" s="325">
        <f t="shared" si="522"/>
        <v>88631.8</v>
      </c>
      <c r="W277" s="325">
        <f t="shared" si="522"/>
        <v>125520</v>
      </c>
      <c r="X277" s="325">
        <f t="shared" si="522"/>
        <v>361800</v>
      </c>
      <c r="Y277" s="325">
        <f t="shared" si="522"/>
        <v>0</v>
      </c>
      <c r="Z277" s="325">
        <f t="shared" si="522"/>
        <v>181200</v>
      </c>
      <c r="AA277" s="325">
        <f t="shared" si="522"/>
        <v>0</v>
      </c>
      <c r="AB277" s="325">
        <f t="shared" si="522"/>
        <v>0</v>
      </c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</row>
    <row r="278" spans="1:91" s="61" customFormat="1" ht="14.1" customHeight="1" x14ac:dyDescent="0.2">
      <c r="A278" s="301"/>
      <c r="B278" s="355" t="s">
        <v>283</v>
      </c>
      <c r="C278" s="751"/>
      <c r="D278" s="751"/>
      <c r="E278" s="751"/>
      <c r="F278" s="258"/>
      <c r="G278" s="325">
        <f>G280</f>
        <v>0</v>
      </c>
      <c r="H278" s="325">
        <f t="shared" ref="H278:AB278" si="523">H280</f>
        <v>0</v>
      </c>
      <c r="I278" s="325">
        <f t="shared" si="523"/>
        <v>0</v>
      </c>
      <c r="J278" s="325">
        <f t="shared" si="523"/>
        <v>0</v>
      </c>
      <c r="K278" s="325">
        <f t="shared" si="523"/>
        <v>0</v>
      </c>
      <c r="L278" s="325">
        <f t="shared" si="523"/>
        <v>0</v>
      </c>
      <c r="M278" s="325">
        <f t="shared" si="523"/>
        <v>0</v>
      </c>
      <c r="N278" s="325">
        <f t="shared" si="523"/>
        <v>0</v>
      </c>
      <c r="O278" s="325">
        <f t="shared" si="523"/>
        <v>0</v>
      </c>
      <c r="P278" s="325">
        <f t="shared" si="523"/>
        <v>0</v>
      </c>
      <c r="Q278" s="325">
        <f t="shared" si="523"/>
        <v>0</v>
      </c>
      <c r="R278" s="325">
        <f t="shared" si="523"/>
        <v>0</v>
      </c>
      <c r="S278" s="325">
        <f t="shared" si="523"/>
        <v>0</v>
      </c>
      <c r="T278" s="325">
        <f t="shared" si="523"/>
        <v>0</v>
      </c>
      <c r="U278" s="325">
        <f t="shared" si="523"/>
        <v>0</v>
      </c>
      <c r="V278" s="325">
        <f t="shared" si="523"/>
        <v>0</v>
      </c>
      <c r="W278" s="325">
        <f t="shared" si="523"/>
        <v>0</v>
      </c>
      <c r="X278" s="325">
        <f t="shared" si="523"/>
        <v>0</v>
      </c>
      <c r="Y278" s="325">
        <f t="shared" si="523"/>
        <v>0</v>
      </c>
      <c r="Z278" s="325">
        <f t="shared" si="523"/>
        <v>0</v>
      </c>
      <c r="AA278" s="325">
        <f t="shared" si="523"/>
        <v>0</v>
      </c>
      <c r="AB278" s="325">
        <f t="shared" si="523"/>
        <v>0</v>
      </c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</row>
    <row r="279" spans="1:91" s="61" customFormat="1" ht="14.1" customHeight="1" x14ac:dyDescent="0.2">
      <c r="A279" s="301"/>
      <c r="B279" s="348" t="s">
        <v>287</v>
      </c>
      <c r="C279" s="751"/>
      <c r="D279" s="751"/>
      <c r="E279" s="749"/>
      <c r="F279" s="25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752"/>
      <c r="S279" s="752"/>
      <c r="T279" s="752"/>
      <c r="U279" s="752"/>
      <c r="V279" s="752"/>
      <c r="W279" s="752"/>
      <c r="X279" s="752"/>
      <c r="Y279" s="752"/>
      <c r="Z279" s="752"/>
      <c r="AA279" s="340"/>
      <c r="AB279" s="300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</row>
    <row r="280" spans="1:91" s="61" customFormat="1" ht="14.1" customHeight="1" x14ac:dyDescent="0.2">
      <c r="A280" s="301"/>
      <c r="B280" s="349" t="s">
        <v>304</v>
      </c>
      <c r="C280" s="751"/>
      <c r="D280" s="751"/>
      <c r="E280" s="751"/>
      <c r="F280" s="370" t="s">
        <v>305</v>
      </c>
      <c r="G280" s="149"/>
      <c r="H280" s="149"/>
      <c r="I280" s="660">
        <f t="shared" ref="I280" si="524">G280+H280</f>
        <v>0</v>
      </c>
      <c r="J280" s="660">
        <f t="shared" ref="J280" si="525">I280</f>
        <v>0</v>
      </c>
      <c r="K280" s="662"/>
      <c r="L280" s="662"/>
      <c r="M280" s="662"/>
      <c r="N280" s="275">
        <f>J280+K280-L280+M280</f>
        <v>0</v>
      </c>
      <c r="O280" s="662"/>
      <c r="P280" s="662"/>
      <c r="Q280" s="662"/>
      <c r="R280" s="662"/>
      <c r="S280" s="662">
        <f t="shared" ref="S280" si="526">SUM(O280:R280)</f>
        <v>0</v>
      </c>
      <c r="T280" s="662"/>
      <c r="U280" s="662"/>
      <c r="V280" s="662"/>
      <c r="W280" s="662"/>
      <c r="X280" s="662">
        <f t="shared" ref="X280" si="527">SUM(T280:W280)</f>
        <v>0</v>
      </c>
      <c r="Y280" s="662">
        <f t="shared" ref="Y280" si="528">I280-N280</f>
        <v>0</v>
      </c>
      <c r="Z280" s="662">
        <f t="shared" ref="Z280" si="529">N280-S280</f>
        <v>0</v>
      </c>
      <c r="AA280" s="662"/>
      <c r="AB280" s="663">
        <f t="shared" ref="AB280" si="530">+S280-X280-AA280</f>
        <v>0</v>
      </c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</row>
    <row r="281" spans="1:91" s="90" customFormat="1" ht="14.1" customHeight="1" x14ac:dyDescent="0.2">
      <c r="A281" s="301"/>
      <c r="B281" s="347" t="s">
        <v>316</v>
      </c>
      <c r="C281" s="101"/>
      <c r="D281" s="101"/>
      <c r="E281" s="101"/>
      <c r="F281" s="370"/>
      <c r="G281" s="321">
        <f t="shared" ref="G281" si="531">SUM(G283:G354)</f>
        <v>543000</v>
      </c>
      <c r="H281" s="321">
        <f t="shared" ref="H281:AB281" si="532">SUM(H283:H354)</f>
        <v>0</v>
      </c>
      <c r="I281" s="321">
        <f t="shared" si="532"/>
        <v>543000</v>
      </c>
      <c r="J281" s="321">
        <f t="shared" si="532"/>
        <v>543000</v>
      </c>
      <c r="K281" s="321">
        <f t="shared" si="532"/>
        <v>0</v>
      </c>
      <c r="L281" s="321">
        <f t="shared" si="532"/>
        <v>0</v>
      </c>
      <c r="M281" s="321">
        <f t="shared" si="532"/>
        <v>0</v>
      </c>
      <c r="N281" s="321">
        <f t="shared" si="532"/>
        <v>543000</v>
      </c>
      <c r="O281" s="321">
        <f t="shared" si="532"/>
        <v>128269</v>
      </c>
      <c r="P281" s="321">
        <f t="shared" si="532"/>
        <v>19379.2</v>
      </c>
      <c r="Q281" s="321">
        <f t="shared" si="532"/>
        <v>88631.8</v>
      </c>
      <c r="R281" s="321">
        <f t="shared" si="532"/>
        <v>125520</v>
      </c>
      <c r="S281" s="321">
        <f t="shared" si="532"/>
        <v>361800</v>
      </c>
      <c r="T281" s="321">
        <f t="shared" si="532"/>
        <v>128269</v>
      </c>
      <c r="U281" s="321">
        <f t="shared" si="532"/>
        <v>19379.2</v>
      </c>
      <c r="V281" s="321">
        <f t="shared" si="532"/>
        <v>88631.8</v>
      </c>
      <c r="W281" s="321">
        <f t="shared" si="532"/>
        <v>125520</v>
      </c>
      <c r="X281" s="321">
        <f t="shared" si="532"/>
        <v>361800</v>
      </c>
      <c r="Y281" s="321">
        <f t="shared" si="532"/>
        <v>0</v>
      </c>
      <c r="Z281" s="321">
        <f t="shared" si="532"/>
        <v>181200</v>
      </c>
      <c r="AA281" s="332">
        <f t="shared" ref="AA281" si="533">SUM(AA283:AA354)</f>
        <v>0</v>
      </c>
      <c r="AB281" s="302">
        <f t="shared" si="532"/>
        <v>0</v>
      </c>
    </row>
    <row r="282" spans="1:91" s="90" customFormat="1" ht="14.1" customHeight="1" x14ac:dyDescent="0.2">
      <c r="A282" s="301"/>
      <c r="B282" s="348" t="s">
        <v>317</v>
      </c>
      <c r="C282" s="101"/>
      <c r="D282" s="101"/>
      <c r="E282" s="101"/>
      <c r="F282" s="370"/>
      <c r="G282" s="321"/>
      <c r="H282" s="321"/>
      <c r="I282" s="321"/>
      <c r="J282" s="321"/>
      <c r="K282" s="332"/>
      <c r="L282" s="332"/>
      <c r="M282" s="332"/>
      <c r="N282" s="332"/>
      <c r="O282" s="332"/>
      <c r="P282" s="332"/>
      <c r="Q282" s="332"/>
      <c r="R282" s="332"/>
      <c r="S282" s="332"/>
      <c r="T282" s="332"/>
      <c r="U282" s="332"/>
      <c r="V282" s="332"/>
      <c r="W282" s="332"/>
      <c r="X282" s="332"/>
      <c r="Y282" s="332"/>
      <c r="Z282" s="332"/>
      <c r="AA282" s="332"/>
      <c r="AB282" s="302"/>
    </row>
    <row r="283" spans="1:91" s="90" customFormat="1" ht="14.1" customHeight="1" x14ac:dyDescent="0.2">
      <c r="A283" s="301"/>
      <c r="B283" s="350" t="s">
        <v>318</v>
      </c>
      <c r="C283" s="101"/>
      <c r="D283" s="101"/>
      <c r="E283" s="101"/>
      <c r="F283" s="370" t="s">
        <v>319</v>
      </c>
      <c r="G283" s="149">
        <v>58000</v>
      </c>
      <c r="H283" s="149"/>
      <c r="I283" s="329">
        <f t="shared" ref="I283:I284" si="534">G283+H283</f>
        <v>58000</v>
      </c>
      <c r="J283" s="329">
        <f t="shared" ref="J283:J284" si="535">I283</f>
        <v>58000</v>
      </c>
      <c r="K283" s="274"/>
      <c r="L283" s="274"/>
      <c r="M283" s="274"/>
      <c r="N283" s="275">
        <f t="shared" ref="N283:N346" si="536">J283+K283-L283+M283</f>
        <v>58000</v>
      </c>
      <c r="O283" s="274">
        <v>55849</v>
      </c>
      <c r="P283" s="274">
        <v>2151</v>
      </c>
      <c r="Q283" s="274"/>
      <c r="R283" s="274"/>
      <c r="S283" s="274">
        <f t="shared" ref="S283:S284" si="537">SUM(O283:R283)</f>
        <v>58000</v>
      </c>
      <c r="T283" s="274">
        <v>55849</v>
      </c>
      <c r="U283" s="274">
        <v>2151</v>
      </c>
      <c r="V283" s="274"/>
      <c r="W283" s="274"/>
      <c r="X283" s="274">
        <f t="shared" ref="X283:X284" si="538">SUM(T283:W283)</f>
        <v>58000</v>
      </c>
      <c r="Y283" s="274">
        <f t="shared" ref="Y283:Y284" si="539">I283-N283</f>
        <v>0</v>
      </c>
      <c r="Z283" s="274">
        <f t="shared" ref="Z283:Z284" si="540">N283-S283</f>
        <v>0</v>
      </c>
      <c r="AA283" s="274"/>
      <c r="AB283" s="306">
        <f t="shared" ref="AB283:AB284" si="541">+S283-X283-AA283</f>
        <v>0</v>
      </c>
    </row>
    <row r="284" spans="1:91" s="90" customFormat="1" ht="14.1" hidden="1" customHeight="1" x14ac:dyDescent="0.2">
      <c r="A284" s="301"/>
      <c r="B284" s="350" t="s">
        <v>320</v>
      </c>
      <c r="C284" s="101"/>
      <c r="D284" s="101"/>
      <c r="E284" s="101"/>
      <c r="F284" s="370" t="s">
        <v>321</v>
      </c>
      <c r="G284" s="149"/>
      <c r="H284" s="149"/>
      <c r="I284" s="329">
        <f t="shared" si="534"/>
        <v>0</v>
      </c>
      <c r="J284" s="329">
        <f t="shared" si="535"/>
        <v>0</v>
      </c>
      <c r="K284" s="274"/>
      <c r="L284" s="274"/>
      <c r="M284" s="274"/>
      <c r="N284" s="275">
        <f t="shared" si="536"/>
        <v>0</v>
      </c>
      <c r="O284" s="274"/>
      <c r="P284" s="274"/>
      <c r="Q284" s="274"/>
      <c r="R284" s="274"/>
      <c r="S284" s="274">
        <f t="shared" si="537"/>
        <v>0</v>
      </c>
      <c r="T284" s="274"/>
      <c r="U284" s="274"/>
      <c r="V284" s="274"/>
      <c r="W284" s="274"/>
      <c r="X284" s="274">
        <f t="shared" si="538"/>
        <v>0</v>
      </c>
      <c r="Y284" s="274">
        <f t="shared" si="539"/>
        <v>0</v>
      </c>
      <c r="Z284" s="274">
        <f t="shared" si="540"/>
        <v>0</v>
      </c>
      <c r="AA284" s="274"/>
      <c r="AB284" s="306">
        <f t="shared" si="541"/>
        <v>0</v>
      </c>
    </row>
    <row r="285" spans="1:91" s="90" customFormat="1" ht="14.1" customHeight="1" x14ac:dyDescent="0.2">
      <c r="A285" s="301"/>
      <c r="B285" s="351" t="s">
        <v>322</v>
      </c>
      <c r="C285" s="101"/>
      <c r="D285" s="101"/>
      <c r="E285" s="101"/>
      <c r="F285" s="370"/>
      <c r="G285" s="149"/>
      <c r="H285" s="149"/>
      <c r="I285" s="149"/>
      <c r="J285" s="14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302"/>
    </row>
    <row r="286" spans="1:91" s="90" customFormat="1" ht="14.1" customHeight="1" x14ac:dyDescent="0.2">
      <c r="A286" s="301"/>
      <c r="B286" s="350" t="s">
        <v>323</v>
      </c>
      <c r="C286" s="101"/>
      <c r="D286" s="101"/>
      <c r="E286" s="101"/>
      <c r="F286" s="370" t="s">
        <v>324</v>
      </c>
      <c r="G286" s="149">
        <v>50000</v>
      </c>
      <c r="H286" s="149"/>
      <c r="I286" s="329">
        <f t="shared" ref="I286:I288" si="542">G286+H286</f>
        <v>50000</v>
      </c>
      <c r="J286" s="329">
        <f t="shared" ref="J286:J288" si="543">I286</f>
        <v>50000</v>
      </c>
      <c r="K286" s="274"/>
      <c r="L286" s="274"/>
      <c r="M286" s="274"/>
      <c r="N286" s="275">
        <f t="shared" si="536"/>
        <v>50000</v>
      </c>
      <c r="O286" s="274">
        <v>4800</v>
      </c>
      <c r="P286" s="274"/>
      <c r="Q286" s="274"/>
      <c r="R286" s="274"/>
      <c r="S286" s="274">
        <f t="shared" ref="S286:S288" si="544">SUM(O286:R286)</f>
        <v>4800</v>
      </c>
      <c r="T286" s="274">
        <v>4800</v>
      </c>
      <c r="U286" s="274"/>
      <c r="V286" s="274"/>
      <c r="W286" s="274"/>
      <c r="X286" s="274">
        <f t="shared" ref="X286:X288" si="545">SUM(T286:W286)</f>
        <v>4800</v>
      </c>
      <c r="Y286" s="274">
        <f t="shared" ref="Y286:Y288" si="546">I286-N286</f>
        <v>0</v>
      </c>
      <c r="Z286" s="274">
        <f t="shared" ref="Z286:Z288" si="547">N286-S286</f>
        <v>45200</v>
      </c>
      <c r="AA286" s="274"/>
      <c r="AB286" s="306">
        <f t="shared" ref="AB286:AB288" si="548">+S286-X286-AA286</f>
        <v>0</v>
      </c>
    </row>
    <row r="287" spans="1:91" s="90" customFormat="1" ht="14.1" hidden="1" customHeight="1" x14ac:dyDescent="0.2">
      <c r="A287" s="301"/>
      <c r="B287" s="350" t="s">
        <v>720</v>
      </c>
      <c r="C287" s="718"/>
      <c r="D287" s="718"/>
      <c r="E287" s="718"/>
      <c r="F287" s="370" t="s">
        <v>721</v>
      </c>
      <c r="G287" s="149"/>
      <c r="H287" s="149"/>
      <c r="I287" s="329">
        <f t="shared" ref="I287" si="549">G287+H287</f>
        <v>0</v>
      </c>
      <c r="J287" s="329">
        <f t="shared" ref="J287" si="550">I287</f>
        <v>0</v>
      </c>
      <c r="K287" s="274"/>
      <c r="L287" s="274"/>
      <c r="M287" s="274"/>
      <c r="N287" s="275">
        <f t="shared" si="536"/>
        <v>0</v>
      </c>
      <c r="O287" s="274"/>
      <c r="P287" s="274"/>
      <c r="Q287" s="274"/>
      <c r="R287" s="274"/>
      <c r="S287" s="274">
        <f t="shared" ref="S287" si="551">SUM(O287:R287)</f>
        <v>0</v>
      </c>
      <c r="T287" s="274"/>
      <c r="U287" s="274"/>
      <c r="V287" s="274"/>
      <c r="W287" s="274"/>
      <c r="X287" s="274">
        <f t="shared" ref="X287" si="552">SUM(T287:W287)</f>
        <v>0</v>
      </c>
      <c r="Y287" s="274">
        <f t="shared" ref="Y287" si="553">I287-N287</f>
        <v>0</v>
      </c>
      <c r="Z287" s="274">
        <f t="shared" ref="Z287" si="554">N287-S287</f>
        <v>0</v>
      </c>
      <c r="AA287" s="274"/>
      <c r="AB287" s="306">
        <f t="shared" ref="AB287" si="555">+S287-X287-AA287</f>
        <v>0</v>
      </c>
    </row>
    <row r="288" spans="1:91" s="90" customFormat="1" ht="14.1" hidden="1" customHeight="1" x14ac:dyDescent="0.2">
      <c r="A288" s="301"/>
      <c r="B288" s="350" t="s">
        <v>325</v>
      </c>
      <c r="C288" s="101"/>
      <c r="D288" s="101"/>
      <c r="E288" s="101"/>
      <c r="F288" s="370" t="s">
        <v>326</v>
      </c>
      <c r="G288" s="149"/>
      <c r="H288" s="149"/>
      <c r="I288" s="329">
        <f t="shared" si="542"/>
        <v>0</v>
      </c>
      <c r="J288" s="329">
        <f t="shared" si="543"/>
        <v>0</v>
      </c>
      <c r="K288" s="274"/>
      <c r="L288" s="274"/>
      <c r="M288" s="274"/>
      <c r="N288" s="275">
        <f t="shared" si="536"/>
        <v>0</v>
      </c>
      <c r="O288" s="274"/>
      <c r="P288" s="274"/>
      <c r="Q288" s="274"/>
      <c r="R288" s="274"/>
      <c r="S288" s="274">
        <f t="shared" si="544"/>
        <v>0</v>
      </c>
      <c r="T288" s="274"/>
      <c r="U288" s="274"/>
      <c r="V288" s="274"/>
      <c r="W288" s="274"/>
      <c r="X288" s="274">
        <f t="shared" si="545"/>
        <v>0</v>
      </c>
      <c r="Y288" s="274">
        <f t="shared" si="546"/>
        <v>0</v>
      </c>
      <c r="Z288" s="274">
        <f t="shared" si="547"/>
        <v>0</v>
      </c>
      <c r="AA288" s="274"/>
      <c r="AB288" s="306">
        <f t="shared" si="548"/>
        <v>0</v>
      </c>
    </row>
    <row r="289" spans="1:28" s="90" customFormat="1" ht="14.1" customHeight="1" x14ac:dyDescent="0.2">
      <c r="A289" s="301"/>
      <c r="B289" s="351" t="s">
        <v>327</v>
      </c>
      <c r="C289" s="101"/>
      <c r="D289" s="101"/>
      <c r="E289" s="101"/>
      <c r="F289" s="370"/>
      <c r="G289" s="149"/>
      <c r="H289" s="149"/>
      <c r="I289" s="149"/>
      <c r="J289" s="14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  <c r="AB289" s="302"/>
    </row>
    <row r="290" spans="1:28" s="90" customFormat="1" ht="14.1" hidden="1" customHeight="1" x14ac:dyDescent="0.2">
      <c r="A290" s="301"/>
      <c r="B290" s="350" t="s">
        <v>328</v>
      </c>
      <c r="C290" s="101"/>
      <c r="D290" s="101"/>
      <c r="E290" s="101"/>
      <c r="F290" s="370" t="s">
        <v>743</v>
      </c>
      <c r="G290" s="149"/>
      <c r="H290" s="149"/>
      <c r="I290" s="329">
        <f t="shared" ref="I290:I295" si="556">G290+H290</f>
        <v>0</v>
      </c>
      <c r="J290" s="329">
        <f t="shared" ref="J290:J295" si="557">I290</f>
        <v>0</v>
      </c>
      <c r="K290" s="274"/>
      <c r="L290" s="274"/>
      <c r="M290" s="274"/>
      <c r="N290" s="275">
        <f t="shared" si="536"/>
        <v>0</v>
      </c>
      <c r="O290" s="274"/>
      <c r="P290" s="274"/>
      <c r="Q290" s="274"/>
      <c r="R290" s="274"/>
      <c r="S290" s="274">
        <f t="shared" ref="S290:S295" si="558">SUM(O290:R290)</f>
        <v>0</v>
      </c>
      <c r="T290" s="274"/>
      <c r="U290" s="274"/>
      <c r="V290" s="274"/>
      <c r="W290" s="274"/>
      <c r="X290" s="274">
        <f t="shared" ref="X290:X295" si="559">SUM(T290:W290)</f>
        <v>0</v>
      </c>
      <c r="Y290" s="274">
        <f t="shared" ref="Y290:Y295" si="560">I290-N290</f>
        <v>0</v>
      </c>
      <c r="Z290" s="274">
        <f t="shared" ref="Z290:Z295" si="561">N290-S290</f>
        <v>0</v>
      </c>
      <c r="AA290" s="274"/>
      <c r="AB290" s="306">
        <f t="shared" ref="AB290:AB295" si="562">+S290-X290-AA290</f>
        <v>0</v>
      </c>
    </row>
    <row r="291" spans="1:28" s="90" customFormat="1" ht="14.1" hidden="1" customHeight="1" x14ac:dyDescent="0.2">
      <c r="A291" s="301"/>
      <c r="B291" s="350" t="s">
        <v>330</v>
      </c>
      <c r="C291" s="101"/>
      <c r="D291" s="101"/>
      <c r="E291" s="101"/>
      <c r="F291" s="370" t="s">
        <v>331</v>
      </c>
      <c r="G291" s="149"/>
      <c r="H291" s="149"/>
      <c r="I291" s="329">
        <f t="shared" si="556"/>
        <v>0</v>
      </c>
      <c r="J291" s="329">
        <f t="shared" si="557"/>
        <v>0</v>
      </c>
      <c r="K291" s="274"/>
      <c r="L291" s="274"/>
      <c r="M291" s="274"/>
      <c r="N291" s="275">
        <f t="shared" si="536"/>
        <v>0</v>
      </c>
      <c r="O291" s="274"/>
      <c r="P291" s="274"/>
      <c r="Q291" s="274"/>
      <c r="R291" s="274"/>
      <c r="S291" s="274">
        <f t="shared" si="558"/>
        <v>0</v>
      </c>
      <c r="T291" s="274"/>
      <c r="U291" s="274"/>
      <c r="V291" s="274"/>
      <c r="W291" s="274"/>
      <c r="X291" s="274">
        <f t="shared" si="559"/>
        <v>0</v>
      </c>
      <c r="Y291" s="274">
        <f t="shared" si="560"/>
        <v>0</v>
      </c>
      <c r="Z291" s="274">
        <f t="shared" si="561"/>
        <v>0</v>
      </c>
      <c r="AA291" s="274"/>
      <c r="AB291" s="306">
        <f t="shared" si="562"/>
        <v>0</v>
      </c>
    </row>
    <row r="292" spans="1:28" s="90" customFormat="1" ht="14.1" customHeight="1" x14ac:dyDescent="0.2">
      <c r="A292" s="301"/>
      <c r="B292" s="350" t="s">
        <v>332</v>
      </c>
      <c r="C292" s="101"/>
      <c r="D292" s="101"/>
      <c r="E292" s="101"/>
      <c r="F292" s="370" t="s">
        <v>333</v>
      </c>
      <c r="G292" s="149">
        <v>83000</v>
      </c>
      <c r="H292" s="149"/>
      <c r="I292" s="329">
        <f t="shared" si="556"/>
        <v>83000</v>
      </c>
      <c r="J292" s="329">
        <f t="shared" si="557"/>
        <v>83000</v>
      </c>
      <c r="K292" s="274"/>
      <c r="L292" s="274"/>
      <c r="M292" s="274"/>
      <c r="N292" s="275">
        <f t="shared" si="536"/>
        <v>83000</v>
      </c>
      <c r="O292" s="274"/>
      <c r="P292" s="274"/>
      <c r="Q292" s="274"/>
      <c r="R292" s="274">
        <v>83000</v>
      </c>
      <c r="S292" s="274">
        <f t="shared" si="558"/>
        <v>83000</v>
      </c>
      <c r="T292" s="274"/>
      <c r="U292" s="274"/>
      <c r="V292" s="274"/>
      <c r="W292" s="274">
        <v>83000</v>
      </c>
      <c r="X292" s="274">
        <f t="shared" si="559"/>
        <v>83000</v>
      </c>
      <c r="Y292" s="274">
        <f t="shared" si="560"/>
        <v>0</v>
      </c>
      <c r="Z292" s="274">
        <f t="shared" si="561"/>
        <v>0</v>
      </c>
      <c r="AA292" s="274"/>
      <c r="AB292" s="306">
        <f t="shared" si="562"/>
        <v>0</v>
      </c>
    </row>
    <row r="293" spans="1:28" s="90" customFormat="1" ht="14.1" hidden="1" customHeight="1" x14ac:dyDescent="0.2">
      <c r="A293" s="301"/>
      <c r="B293" s="350" t="s">
        <v>334</v>
      </c>
      <c r="C293" s="101"/>
      <c r="D293" s="101"/>
      <c r="E293" s="101"/>
      <c r="F293" s="370" t="s">
        <v>335</v>
      </c>
      <c r="G293" s="149"/>
      <c r="H293" s="149"/>
      <c r="I293" s="329">
        <f t="shared" si="556"/>
        <v>0</v>
      </c>
      <c r="J293" s="329">
        <f t="shared" si="557"/>
        <v>0</v>
      </c>
      <c r="K293" s="274"/>
      <c r="L293" s="274"/>
      <c r="M293" s="274"/>
      <c r="N293" s="275">
        <f t="shared" si="536"/>
        <v>0</v>
      </c>
      <c r="O293" s="274"/>
      <c r="P293" s="274"/>
      <c r="Q293" s="274"/>
      <c r="R293" s="274"/>
      <c r="S293" s="274">
        <f t="shared" si="558"/>
        <v>0</v>
      </c>
      <c r="T293" s="274"/>
      <c r="U293" s="274"/>
      <c r="V293" s="274"/>
      <c r="W293" s="274"/>
      <c r="X293" s="274">
        <f t="shared" si="559"/>
        <v>0</v>
      </c>
      <c r="Y293" s="274">
        <f t="shared" si="560"/>
        <v>0</v>
      </c>
      <c r="Z293" s="274">
        <f t="shared" si="561"/>
        <v>0</v>
      </c>
      <c r="AA293" s="274"/>
      <c r="AB293" s="306">
        <f t="shared" si="562"/>
        <v>0</v>
      </c>
    </row>
    <row r="294" spans="1:28" s="90" customFormat="1" ht="14.1" customHeight="1" x14ac:dyDescent="0.2">
      <c r="A294" s="301"/>
      <c r="B294" s="350" t="s">
        <v>336</v>
      </c>
      <c r="C294" s="101"/>
      <c r="D294" s="101"/>
      <c r="E294" s="101"/>
      <c r="F294" s="370" t="s">
        <v>337</v>
      </c>
      <c r="G294" s="149">
        <v>120000</v>
      </c>
      <c r="H294" s="149"/>
      <c r="I294" s="329">
        <f t="shared" si="556"/>
        <v>120000</v>
      </c>
      <c r="J294" s="329">
        <f t="shared" si="557"/>
        <v>120000</v>
      </c>
      <c r="K294" s="274"/>
      <c r="L294" s="274"/>
      <c r="M294" s="274"/>
      <c r="N294" s="275">
        <f t="shared" si="536"/>
        <v>120000</v>
      </c>
      <c r="O294" s="274"/>
      <c r="P294" s="274"/>
      <c r="Q294" s="274"/>
      <c r="R294" s="274"/>
      <c r="S294" s="274">
        <f t="shared" si="558"/>
        <v>0</v>
      </c>
      <c r="T294" s="274"/>
      <c r="U294" s="274"/>
      <c r="V294" s="274"/>
      <c r="W294" s="274"/>
      <c r="X294" s="274">
        <f t="shared" si="559"/>
        <v>0</v>
      </c>
      <c r="Y294" s="274">
        <f t="shared" si="560"/>
        <v>0</v>
      </c>
      <c r="Z294" s="274">
        <f t="shared" si="561"/>
        <v>120000</v>
      </c>
      <c r="AA294" s="274"/>
      <c r="AB294" s="306">
        <f t="shared" si="562"/>
        <v>0</v>
      </c>
    </row>
    <row r="295" spans="1:28" s="90" customFormat="1" ht="14.1" customHeight="1" x14ac:dyDescent="0.2">
      <c r="A295" s="301"/>
      <c r="B295" s="350" t="s">
        <v>338</v>
      </c>
      <c r="C295" s="101"/>
      <c r="D295" s="101"/>
      <c r="E295" s="101"/>
      <c r="F295" s="370" t="s">
        <v>339</v>
      </c>
      <c r="G295" s="149"/>
      <c r="H295" s="149"/>
      <c r="I295" s="329">
        <f t="shared" si="556"/>
        <v>0</v>
      </c>
      <c r="J295" s="329">
        <f t="shared" si="557"/>
        <v>0</v>
      </c>
      <c r="K295" s="274"/>
      <c r="L295" s="274"/>
      <c r="M295" s="274"/>
      <c r="N295" s="275">
        <f t="shared" si="536"/>
        <v>0</v>
      </c>
      <c r="O295" s="274"/>
      <c r="P295" s="274"/>
      <c r="Q295" s="274"/>
      <c r="R295" s="274"/>
      <c r="S295" s="274">
        <f t="shared" si="558"/>
        <v>0</v>
      </c>
      <c r="T295" s="274"/>
      <c r="U295" s="274"/>
      <c r="V295" s="274"/>
      <c r="W295" s="274"/>
      <c r="X295" s="274">
        <f t="shared" si="559"/>
        <v>0</v>
      </c>
      <c r="Y295" s="274">
        <f t="shared" si="560"/>
        <v>0</v>
      </c>
      <c r="Z295" s="274">
        <f t="shared" si="561"/>
        <v>0</v>
      </c>
      <c r="AA295" s="274"/>
      <c r="AB295" s="306">
        <f t="shared" si="562"/>
        <v>0</v>
      </c>
    </row>
    <row r="296" spans="1:28" s="90" customFormat="1" ht="14.1" customHeight="1" x14ac:dyDescent="0.2">
      <c r="A296" s="301"/>
      <c r="B296" s="351" t="s">
        <v>340</v>
      </c>
      <c r="C296" s="101"/>
      <c r="D296" s="101"/>
      <c r="E296" s="101"/>
      <c r="F296" s="370"/>
      <c r="G296" s="149"/>
      <c r="H296" s="149"/>
      <c r="I296" s="149"/>
      <c r="J296" s="14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  <c r="AA296" s="159"/>
      <c r="AB296" s="302"/>
    </row>
    <row r="297" spans="1:28" s="90" customFormat="1" ht="14.1" customHeight="1" x14ac:dyDescent="0.2">
      <c r="A297" s="301"/>
      <c r="B297" s="350" t="s">
        <v>341</v>
      </c>
      <c r="C297" s="101"/>
      <c r="D297" s="101"/>
      <c r="E297" s="101"/>
      <c r="F297" s="370" t="s">
        <v>342</v>
      </c>
      <c r="G297" s="149">
        <v>7000</v>
      </c>
      <c r="H297" s="149"/>
      <c r="I297" s="329">
        <f t="shared" ref="I297:I298" si="563">G297+H297</f>
        <v>7000</v>
      </c>
      <c r="J297" s="329">
        <f t="shared" ref="J297:J298" si="564">I297</f>
        <v>7000</v>
      </c>
      <c r="K297" s="274"/>
      <c r="L297" s="274"/>
      <c r="M297" s="274"/>
      <c r="N297" s="275">
        <f t="shared" si="536"/>
        <v>7000</v>
      </c>
      <c r="O297" s="274"/>
      <c r="P297" s="274"/>
      <c r="Q297" s="274">
        <f>3200.79+3100+600+99.21</f>
        <v>7000</v>
      </c>
      <c r="R297" s="274"/>
      <c r="S297" s="274">
        <f t="shared" ref="S297:S298" si="565">SUM(O297:R297)</f>
        <v>7000</v>
      </c>
      <c r="T297" s="274"/>
      <c r="U297" s="274"/>
      <c r="V297" s="274">
        <f>3200.79+3100+600+99.21</f>
        <v>7000</v>
      </c>
      <c r="W297" s="274"/>
      <c r="X297" s="274">
        <f t="shared" ref="X297:X298" si="566">SUM(T297:W297)</f>
        <v>7000</v>
      </c>
      <c r="Y297" s="274">
        <f t="shared" ref="Y297:Y298" si="567">I297-N297</f>
        <v>0</v>
      </c>
      <c r="Z297" s="274">
        <f t="shared" ref="Z297:Z298" si="568">N297-S297</f>
        <v>0</v>
      </c>
      <c r="AA297" s="274"/>
      <c r="AB297" s="306">
        <f t="shared" ref="AB297:AB298" si="569">+S297-X297-AA297</f>
        <v>0</v>
      </c>
    </row>
    <row r="298" spans="1:28" s="90" customFormat="1" ht="14.1" customHeight="1" x14ac:dyDescent="0.2">
      <c r="A298" s="301"/>
      <c r="B298" s="350" t="s">
        <v>343</v>
      </c>
      <c r="C298" s="101"/>
      <c r="D298" s="101"/>
      <c r="E298" s="101"/>
      <c r="F298" s="370" t="s">
        <v>344</v>
      </c>
      <c r="G298" s="149">
        <v>64000</v>
      </c>
      <c r="H298" s="149"/>
      <c r="I298" s="329">
        <f t="shared" si="563"/>
        <v>64000</v>
      </c>
      <c r="J298" s="329">
        <f t="shared" si="564"/>
        <v>64000</v>
      </c>
      <c r="K298" s="274"/>
      <c r="L298" s="274"/>
      <c r="M298" s="274"/>
      <c r="N298" s="275">
        <f t="shared" si="536"/>
        <v>64000</v>
      </c>
      <c r="O298" s="274">
        <v>64000</v>
      </c>
      <c r="P298" s="274"/>
      <c r="Q298" s="274"/>
      <c r="R298" s="274"/>
      <c r="S298" s="274">
        <f t="shared" si="565"/>
        <v>64000</v>
      </c>
      <c r="T298" s="274">
        <v>64000</v>
      </c>
      <c r="U298" s="274"/>
      <c r="V298" s="274"/>
      <c r="W298" s="274"/>
      <c r="X298" s="274">
        <f t="shared" si="566"/>
        <v>64000</v>
      </c>
      <c r="Y298" s="274">
        <f t="shared" si="567"/>
        <v>0</v>
      </c>
      <c r="Z298" s="274">
        <f t="shared" si="568"/>
        <v>0</v>
      </c>
      <c r="AA298" s="274"/>
      <c r="AB298" s="306">
        <f t="shared" si="569"/>
        <v>0</v>
      </c>
    </row>
    <row r="299" spans="1:28" s="90" customFormat="1" ht="14.1" customHeight="1" x14ac:dyDescent="0.2">
      <c r="A299" s="301"/>
      <c r="B299" s="351" t="s">
        <v>345</v>
      </c>
      <c r="C299" s="101"/>
      <c r="D299" s="101"/>
      <c r="E299" s="101"/>
      <c r="F299" s="370"/>
      <c r="G299" s="149"/>
      <c r="H299" s="149"/>
      <c r="I299" s="149"/>
      <c r="J299" s="14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  <c r="AA299" s="159"/>
      <c r="AB299" s="302"/>
    </row>
    <row r="300" spans="1:28" s="90" customFormat="1" ht="14.1" customHeight="1" x14ac:dyDescent="0.2">
      <c r="A300" s="301"/>
      <c r="B300" s="350" t="s">
        <v>346</v>
      </c>
      <c r="C300" s="101"/>
      <c r="D300" s="101"/>
      <c r="E300" s="101"/>
      <c r="F300" s="370" t="s">
        <v>347</v>
      </c>
      <c r="G300" s="149">
        <v>2000</v>
      </c>
      <c r="H300" s="149"/>
      <c r="I300" s="329">
        <f t="shared" ref="I300:I304" si="570">G300+H300</f>
        <v>2000</v>
      </c>
      <c r="J300" s="329">
        <f t="shared" ref="J300:J304" si="571">I300</f>
        <v>2000</v>
      </c>
      <c r="K300" s="274"/>
      <c r="L300" s="274"/>
      <c r="M300" s="274"/>
      <c r="N300" s="275">
        <f t="shared" si="536"/>
        <v>2000</v>
      </c>
      <c r="O300" s="274"/>
      <c r="P300" s="274">
        <f>368.2</f>
        <v>368.2</v>
      </c>
      <c r="Q300" s="274">
        <v>1631.8</v>
      </c>
      <c r="R300" s="274"/>
      <c r="S300" s="274">
        <f t="shared" ref="S300:S304" si="572">SUM(O300:R300)</f>
        <v>2000</v>
      </c>
      <c r="T300" s="274"/>
      <c r="U300" s="274">
        <f>368.2</f>
        <v>368.2</v>
      </c>
      <c r="V300" s="274">
        <v>1631.8</v>
      </c>
      <c r="W300" s="274"/>
      <c r="X300" s="274">
        <f t="shared" ref="X300:X304" si="573">SUM(T300:W300)</f>
        <v>2000</v>
      </c>
      <c r="Y300" s="274">
        <f t="shared" ref="Y300:Y304" si="574">I300-N300</f>
        <v>0</v>
      </c>
      <c r="Z300" s="274">
        <f t="shared" ref="Z300:Z304" si="575">N300-S300</f>
        <v>0</v>
      </c>
      <c r="AA300" s="274"/>
      <c r="AB300" s="306">
        <f t="shared" ref="AB300:AB304" si="576">+S300-X300-AA300</f>
        <v>0</v>
      </c>
    </row>
    <row r="301" spans="1:28" s="90" customFormat="1" ht="14.1" hidden="1" customHeight="1" x14ac:dyDescent="0.2">
      <c r="A301" s="301"/>
      <c r="B301" s="350" t="s">
        <v>348</v>
      </c>
      <c r="C301" s="101"/>
      <c r="D301" s="101"/>
      <c r="E301" s="101"/>
      <c r="F301" s="370" t="s">
        <v>349</v>
      </c>
      <c r="G301" s="149">
        <v>5000</v>
      </c>
      <c r="H301" s="149"/>
      <c r="I301" s="329">
        <f t="shared" si="570"/>
        <v>5000</v>
      </c>
      <c r="J301" s="329">
        <f t="shared" si="571"/>
        <v>5000</v>
      </c>
      <c r="K301" s="274"/>
      <c r="L301" s="274"/>
      <c r="M301" s="274"/>
      <c r="N301" s="275">
        <f t="shared" si="536"/>
        <v>5000</v>
      </c>
      <c r="O301" s="274"/>
      <c r="P301" s="274"/>
      <c r="Q301" s="274"/>
      <c r="R301" s="274"/>
      <c r="S301" s="274">
        <f t="shared" si="572"/>
        <v>0</v>
      </c>
      <c r="T301" s="274"/>
      <c r="U301" s="274"/>
      <c r="V301" s="274"/>
      <c r="W301" s="274"/>
      <c r="X301" s="274">
        <f t="shared" si="573"/>
        <v>0</v>
      </c>
      <c r="Y301" s="274">
        <f t="shared" si="574"/>
        <v>0</v>
      </c>
      <c r="Z301" s="274">
        <f t="shared" si="575"/>
        <v>5000</v>
      </c>
      <c r="AA301" s="274"/>
      <c r="AB301" s="306">
        <f t="shared" si="576"/>
        <v>0</v>
      </c>
    </row>
    <row r="302" spans="1:28" s="90" customFormat="1" ht="14.1" hidden="1" customHeight="1" x14ac:dyDescent="0.2">
      <c r="A302" s="301"/>
      <c r="B302" s="350" t="s">
        <v>350</v>
      </c>
      <c r="C302" s="101"/>
      <c r="D302" s="101"/>
      <c r="E302" s="101"/>
      <c r="F302" s="370" t="s">
        <v>351</v>
      </c>
      <c r="G302" s="149">
        <v>11000</v>
      </c>
      <c r="H302" s="149"/>
      <c r="I302" s="329">
        <f t="shared" si="570"/>
        <v>11000</v>
      </c>
      <c r="J302" s="329">
        <f t="shared" si="571"/>
        <v>11000</v>
      </c>
      <c r="K302" s="274"/>
      <c r="L302" s="274"/>
      <c r="M302" s="274"/>
      <c r="N302" s="275">
        <f t="shared" si="536"/>
        <v>11000</v>
      </c>
      <c r="O302" s="274"/>
      <c r="P302" s="274"/>
      <c r="Q302" s="274"/>
      <c r="R302" s="274"/>
      <c r="S302" s="274">
        <f t="shared" si="572"/>
        <v>0</v>
      </c>
      <c r="T302" s="274"/>
      <c r="U302" s="274"/>
      <c r="V302" s="274"/>
      <c r="W302" s="274"/>
      <c r="X302" s="274">
        <f t="shared" si="573"/>
        <v>0</v>
      </c>
      <c r="Y302" s="274">
        <f t="shared" si="574"/>
        <v>0</v>
      </c>
      <c r="Z302" s="274">
        <f t="shared" si="575"/>
        <v>11000</v>
      </c>
      <c r="AA302" s="274"/>
      <c r="AB302" s="306">
        <f t="shared" si="576"/>
        <v>0</v>
      </c>
    </row>
    <row r="303" spans="1:28" s="90" customFormat="1" ht="14.1" customHeight="1" x14ac:dyDescent="0.2">
      <c r="A303" s="301"/>
      <c r="B303" s="350" t="s">
        <v>352</v>
      </c>
      <c r="C303" s="101"/>
      <c r="D303" s="101"/>
      <c r="E303" s="101"/>
      <c r="F303" s="370" t="s">
        <v>353</v>
      </c>
      <c r="G303" s="149">
        <v>4000</v>
      </c>
      <c r="H303" s="149"/>
      <c r="I303" s="329">
        <f t="shared" si="570"/>
        <v>4000</v>
      </c>
      <c r="J303" s="329">
        <f t="shared" si="571"/>
        <v>4000</v>
      </c>
      <c r="K303" s="274"/>
      <c r="L303" s="274"/>
      <c r="M303" s="274"/>
      <c r="N303" s="275">
        <f t="shared" si="536"/>
        <v>4000</v>
      </c>
      <c r="O303" s="274">
        <v>3620</v>
      </c>
      <c r="P303" s="274">
        <v>380</v>
      </c>
      <c r="Q303" s="274"/>
      <c r="R303" s="274"/>
      <c r="S303" s="274">
        <f t="shared" si="572"/>
        <v>4000</v>
      </c>
      <c r="T303" s="274">
        <v>3620</v>
      </c>
      <c r="U303" s="274">
        <v>380</v>
      </c>
      <c r="V303" s="274"/>
      <c r="W303" s="274"/>
      <c r="X303" s="274">
        <f t="shared" si="573"/>
        <v>4000</v>
      </c>
      <c r="Y303" s="274">
        <f t="shared" si="574"/>
        <v>0</v>
      </c>
      <c r="Z303" s="274">
        <f t="shared" si="575"/>
        <v>0</v>
      </c>
      <c r="AA303" s="274"/>
      <c r="AB303" s="306">
        <f t="shared" si="576"/>
        <v>0</v>
      </c>
    </row>
    <row r="304" spans="1:28" s="90" customFormat="1" ht="14.1" customHeight="1" x14ac:dyDescent="0.2">
      <c r="A304" s="301"/>
      <c r="B304" s="350" t="s">
        <v>354</v>
      </c>
      <c r="C304" s="101"/>
      <c r="D304" s="101"/>
      <c r="E304" s="101"/>
      <c r="F304" s="370" t="s">
        <v>355</v>
      </c>
      <c r="G304" s="149">
        <v>1000</v>
      </c>
      <c r="H304" s="149"/>
      <c r="I304" s="329">
        <f t="shared" si="570"/>
        <v>1000</v>
      </c>
      <c r="J304" s="329">
        <f t="shared" si="571"/>
        <v>1000</v>
      </c>
      <c r="K304" s="274"/>
      <c r="L304" s="274"/>
      <c r="M304" s="274"/>
      <c r="N304" s="275">
        <f t="shared" si="536"/>
        <v>1000</v>
      </c>
      <c r="O304" s="274"/>
      <c r="P304" s="274">
        <v>1000</v>
      </c>
      <c r="Q304" s="274"/>
      <c r="R304" s="274"/>
      <c r="S304" s="274">
        <f t="shared" si="572"/>
        <v>1000</v>
      </c>
      <c r="T304" s="274"/>
      <c r="U304" s="274">
        <v>1000</v>
      </c>
      <c r="V304" s="274"/>
      <c r="W304" s="274"/>
      <c r="X304" s="274">
        <f t="shared" si="573"/>
        <v>1000</v>
      </c>
      <c r="Y304" s="274">
        <f t="shared" si="574"/>
        <v>0</v>
      </c>
      <c r="Z304" s="274">
        <f t="shared" si="575"/>
        <v>0</v>
      </c>
      <c r="AA304" s="274"/>
      <c r="AB304" s="306">
        <f t="shared" si="576"/>
        <v>0</v>
      </c>
    </row>
    <row r="305" spans="1:28" s="90" customFormat="1" ht="14.1" customHeight="1" x14ac:dyDescent="0.2">
      <c r="A305" s="301"/>
      <c r="B305" s="351" t="s">
        <v>356</v>
      </c>
      <c r="C305" s="101"/>
      <c r="D305" s="101"/>
      <c r="E305" s="101"/>
      <c r="F305" s="370"/>
      <c r="G305" s="149"/>
      <c r="H305" s="149"/>
      <c r="I305" s="149"/>
      <c r="J305" s="14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  <c r="X305" s="159"/>
      <c r="Y305" s="159"/>
      <c r="Z305" s="159"/>
      <c r="AA305" s="159"/>
      <c r="AB305" s="302"/>
    </row>
    <row r="306" spans="1:28" s="90" customFormat="1" ht="14.1" hidden="1" customHeight="1" x14ac:dyDescent="0.2">
      <c r="A306" s="301"/>
      <c r="B306" s="350" t="s">
        <v>357</v>
      </c>
      <c r="C306" s="101"/>
      <c r="D306" s="101"/>
      <c r="E306" s="101"/>
      <c r="F306" s="370" t="s">
        <v>358</v>
      </c>
      <c r="G306" s="149"/>
      <c r="H306" s="149"/>
      <c r="I306" s="329">
        <f t="shared" ref="I306" si="577">G306+H306</f>
        <v>0</v>
      </c>
      <c r="J306" s="329">
        <f t="shared" ref="J306" si="578">I306</f>
        <v>0</v>
      </c>
      <c r="K306" s="274"/>
      <c r="L306" s="274"/>
      <c r="M306" s="274"/>
      <c r="N306" s="275">
        <f t="shared" si="536"/>
        <v>0</v>
      </c>
      <c r="O306" s="274"/>
      <c r="P306" s="274"/>
      <c r="Q306" s="274"/>
      <c r="R306" s="274"/>
      <c r="S306" s="274">
        <f t="shared" ref="S306" si="579">SUM(O306:R306)</f>
        <v>0</v>
      </c>
      <c r="T306" s="274"/>
      <c r="U306" s="274"/>
      <c r="V306" s="274"/>
      <c r="W306" s="274"/>
      <c r="X306" s="274">
        <f t="shared" ref="X306" si="580">SUM(T306:W306)</f>
        <v>0</v>
      </c>
      <c r="Y306" s="274">
        <f t="shared" ref="Y306" si="581">I306-N306</f>
        <v>0</v>
      </c>
      <c r="Z306" s="274">
        <f t="shared" ref="Z306" si="582">N306-S306</f>
        <v>0</v>
      </c>
      <c r="AA306" s="274"/>
      <c r="AB306" s="306">
        <f t="shared" ref="AB306" si="583">+S306-X306-AA306</f>
        <v>0</v>
      </c>
    </row>
    <row r="307" spans="1:28" s="90" customFormat="1" ht="14.1" customHeight="1" x14ac:dyDescent="0.2">
      <c r="A307" s="301"/>
      <c r="B307" s="351" t="s">
        <v>359</v>
      </c>
      <c r="C307" s="101"/>
      <c r="D307" s="101"/>
      <c r="E307" s="101"/>
      <c r="F307" s="370"/>
      <c r="G307" s="149"/>
      <c r="H307" s="149"/>
      <c r="I307" s="149"/>
      <c r="J307" s="14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  <c r="Y307" s="159"/>
      <c r="Z307" s="159"/>
      <c r="AA307" s="159"/>
      <c r="AB307" s="302"/>
    </row>
    <row r="308" spans="1:28" s="90" customFormat="1" ht="14.1" hidden="1" customHeight="1" x14ac:dyDescent="0.2">
      <c r="A308" s="301"/>
      <c r="B308" s="350" t="s">
        <v>360</v>
      </c>
      <c r="C308" s="101"/>
      <c r="D308" s="101"/>
      <c r="E308" s="101"/>
      <c r="F308" s="370" t="s">
        <v>361</v>
      </c>
      <c r="G308" s="149"/>
      <c r="H308" s="149"/>
      <c r="I308" s="329">
        <f t="shared" ref="I308:I311" si="584">G308+H308</f>
        <v>0</v>
      </c>
      <c r="J308" s="329">
        <f t="shared" ref="J308:J311" si="585">I308</f>
        <v>0</v>
      </c>
      <c r="K308" s="274"/>
      <c r="L308" s="274"/>
      <c r="M308" s="274"/>
      <c r="N308" s="275">
        <f t="shared" si="536"/>
        <v>0</v>
      </c>
      <c r="O308" s="274"/>
      <c r="P308" s="274"/>
      <c r="Q308" s="274"/>
      <c r="R308" s="274"/>
      <c r="S308" s="274">
        <f t="shared" ref="S308:S311" si="586">SUM(O308:R308)</f>
        <v>0</v>
      </c>
      <c r="T308" s="274"/>
      <c r="U308" s="274"/>
      <c r="V308" s="274"/>
      <c r="W308" s="274"/>
      <c r="X308" s="274">
        <f t="shared" ref="X308:X311" si="587">SUM(T308:W308)</f>
        <v>0</v>
      </c>
      <c r="Y308" s="274">
        <f t="shared" ref="Y308:Y311" si="588">I308-N308</f>
        <v>0</v>
      </c>
      <c r="Z308" s="274">
        <f t="shared" ref="Z308:Z311" si="589">N308-S308</f>
        <v>0</v>
      </c>
      <c r="AA308" s="274"/>
      <c r="AB308" s="306">
        <f t="shared" ref="AB308:AB311" si="590">+S308-X308-AA308</f>
        <v>0</v>
      </c>
    </row>
    <row r="309" spans="1:28" s="90" customFormat="1" ht="14.1" hidden="1" customHeight="1" x14ac:dyDescent="0.2">
      <c r="A309" s="301"/>
      <c r="B309" s="350" t="s">
        <v>362</v>
      </c>
      <c r="C309" s="101"/>
      <c r="D309" s="101"/>
      <c r="E309" s="101"/>
      <c r="F309" s="370" t="s">
        <v>363</v>
      </c>
      <c r="G309" s="149"/>
      <c r="H309" s="149"/>
      <c r="I309" s="329">
        <f t="shared" si="584"/>
        <v>0</v>
      </c>
      <c r="J309" s="329">
        <f t="shared" si="585"/>
        <v>0</v>
      </c>
      <c r="K309" s="274"/>
      <c r="L309" s="274"/>
      <c r="M309" s="274"/>
      <c r="N309" s="275">
        <f t="shared" si="536"/>
        <v>0</v>
      </c>
      <c r="O309" s="274"/>
      <c r="P309" s="274"/>
      <c r="Q309" s="274"/>
      <c r="R309" s="274"/>
      <c r="S309" s="274">
        <f t="shared" si="586"/>
        <v>0</v>
      </c>
      <c r="T309" s="274"/>
      <c r="U309" s="274"/>
      <c r="V309" s="274"/>
      <c r="W309" s="274"/>
      <c r="X309" s="274">
        <f t="shared" si="587"/>
        <v>0</v>
      </c>
      <c r="Y309" s="274">
        <f t="shared" si="588"/>
        <v>0</v>
      </c>
      <c r="Z309" s="274">
        <f t="shared" si="589"/>
        <v>0</v>
      </c>
      <c r="AA309" s="274"/>
      <c r="AB309" s="306">
        <f t="shared" si="590"/>
        <v>0</v>
      </c>
    </row>
    <row r="310" spans="1:28" s="90" customFormat="1" ht="14.1" hidden="1" customHeight="1" x14ac:dyDescent="0.2">
      <c r="A310" s="301"/>
      <c r="B310" s="350" t="s">
        <v>722</v>
      </c>
      <c r="C310" s="718"/>
      <c r="D310" s="718"/>
      <c r="E310" s="718"/>
      <c r="F310" s="370" t="s">
        <v>723</v>
      </c>
      <c r="G310" s="149"/>
      <c r="H310" s="149"/>
      <c r="I310" s="329">
        <f t="shared" si="584"/>
        <v>0</v>
      </c>
      <c r="J310" s="329">
        <f t="shared" si="585"/>
        <v>0</v>
      </c>
      <c r="K310" s="274"/>
      <c r="L310" s="274"/>
      <c r="M310" s="274"/>
      <c r="N310" s="275">
        <f t="shared" si="536"/>
        <v>0</v>
      </c>
      <c r="O310" s="274"/>
      <c r="P310" s="274"/>
      <c r="Q310" s="274"/>
      <c r="R310" s="274"/>
      <c r="S310" s="274">
        <f t="shared" si="586"/>
        <v>0</v>
      </c>
      <c r="T310" s="274"/>
      <c r="U310" s="274"/>
      <c r="V310" s="274"/>
      <c r="W310" s="274"/>
      <c r="X310" s="274">
        <f t="shared" si="587"/>
        <v>0</v>
      </c>
      <c r="Y310" s="274">
        <f t="shared" si="588"/>
        <v>0</v>
      </c>
      <c r="Z310" s="274">
        <f t="shared" si="589"/>
        <v>0</v>
      </c>
      <c r="AA310" s="274"/>
      <c r="AB310" s="306">
        <f t="shared" si="590"/>
        <v>0</v>
      </c>
    </row>
    <row r="311" spans="1:28" s="90" customFormat="1" ht="14.1" customHeight="1" x14ac:dyDescent="0.2">
      <c r="A311" s="301"/>
      <c r="B311" s="350" t="s">
        <v>364</v>
      </c>
      <c r="C311" s="101"/>
      <c r="D311" s="101"/>
      <c r="E311" s="101"/>
      <c r="F311" s="370" t="s">
        <v>365</v>
      </c>
      <c r="G311" s="149">
        <v>66000</v>
      </c>
      <c r="H311" s="149"/>
      <c r="I311" s="329">
        <f t="shared" si="584"/>
        <v>66000</v>
      </c>
      <c r="J311" s="329">
        <f t="shared" si="585"/>
        <v>66000</v>
      </c>
      <c r="K311" s="274"/>
      <c r="L311" s="274"/>
      <c r="M311" s="274"/>
      <c r="N311" s="275">
        <f t="shared" si="536"/>
        <v>66000</v>
      </c>
      <c r="O311" s="274"/>
      <c r="P311" s="274"/>
      <c r="Q311" s="274">
        <f>493.45+5830+5842+8400+7078.75+8400+8258.48+6360+6096+7700+1541.32</f>
        <v>66000</v>
      </c>
      <c r="R311" s="274"/>
      <c r="S311" s="274">
        <f t="shared" si="586"/>
        <v>66000</v>
      </c>
      <c r="T311" s="274"/>
      <c r="U311" s="274"/>
      <c r="V311" s="274">
        <f>493.45+5580+5842+250+8200+6878.75+8200+8058.48+5896+200+200+200+200+6110+7500+1541.32+250+200+200</f>
        <v>66000</v>
      </c>
      <c r="W311" s="274"/>
      <c r="X311" s="274">
        <f t="shared" si="587"/>
        <v>66000</v>
      </c>
      <c r="Y311" s="274">
        <f t="shared" si="588"/>
        <v>0</v>
      </c>
      <c r="Z311" s="274">
        <f t="shared" si="589"/>
        <v>0</v>
      </c>
      <c r="AA311" s="274"/>
      <c r="AB311" s="306">
        <f t="shared" si="590"/>
        <v>0</v>
      </c>
    </row>
    <row r="312" spans="1:28" s="90" customFormat="1" ht="14.1" customHeight="1" x14ac:dyDescent="0.2">
      <c r="A312" s="301"/>
      <c r="B312" s="351" t="s">
        <v>366</v>
      </c>
      <c r="C312" s="101"/>
      <c r="D312" s="101"/>
      <c r="E312" s="101"/>
      <c r="F312" s="370"/>
      <c r="G312" s="149"/>
      <c r="H312" s="149"/>
      <c r="I312" s="149"/>
      <c r="J312" s="14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  <c r="Y312" s="159"/>
      <c r="Z312" s="159"/>
      <c r="AA312" s="159"/>
      <c r="AB312" s="302"/>
    </row>
    <row r="313" spans="1:28" s="90" customFormat="1" ht="14.1" hidden="1" customHeight="1" x14ac:dyDescent="0.2">
      <c r="A313" s="301"/>
      <c r="B313" s="350" t="s">
        <v>366</v>
      </c>
      <c r="C313" s="101"/>
      <c r="D313" s="101"/>
      <c r="E313" s="101"/>
      <c r="F313" s="370" t="s">
        <v>367</v>
      </c>
      <c r="G313" s="149"/>
      <c r="H313" s="149"/>
      <c r="I313" s="329">
        <f t="shared" ref="I313:I317" si="591">G313+H313</f>
        <v>0</v>
      </c>
      <c r="J313" s="329">
        <f t="shared" ref="J313:J317" si="592">I313</f>
        <v>0</v>
      </c>
      <c r="K313" s="274"/>
      <c r="L313" s="274"/>
      <c r="M313" s="274"/>
      <c r="N313" s="275">
        <f t="shared" si="536"/>
        <v>0</v>
      </c>
      <c r="O313" s="274"/>
      <c r="P313" s="274"/>
      <c r="Q313" s="274"/>
      <c r="R313" s="274"/>
      <c r="S313" s="274">
        <f t="shared" ref="S313:S317" si="593">SUM(O313:R313)</f>
        <v>0</v>
      </c>
      <c r="T313" s="274"/>
      <c r="U313" s="274"/>
      <c r="V313" s="274"/>
      <c r="W313" s="274"/>
      <c r="X313" s="274">
        <f t="shared" ref="X313:X317" si="594">SUM(T313:W313)</f>
        <v>0</v>
      </c>
      <c r="Y313" s="274">
        <f t="shared" ref="Y313:Y317" si="595">I313-N313</f>
        <v>0</v>
      </c>
      <c r="Z313" s="274">
        <f t="shared" ref="Z313:Z317" si="596">N313-S313</f>
        <v>0</v>
      </c>
      <c r="AA313" s="274"/>
      <c r="AB313" s="306">
        <f t="shared" ref="AB313:AB317" si="597">+S313-X313-AA313</f>
        <v>0</v>
      </c>
    </row>
    <row r="314" spans="1:28" s="90" customFormat="1" ht="14.1" hidden="1" customHeight="1" x14ac:dyDescent="0.2">
      <c r="A314" s="301"/>
      <c r="B314" s="350" t="s">
        <v>724</v>
      </c>
      <c r="C314" s="718"/>
      <c r="D314" s="718"/>
      <c r="E314" s="718"/>
      <c r="F314" s="370" t="s">
        <v>725</v>
      </c>
      <c r="G314" s="149"/>
      <c r="H314" s="149"/>
      <c r="I314" s="329">
        <f t="shared" ref="I314" si="598">G314+H314</f>
        <v>0</v>
      </c>
      <c r="J314" s="329">
        <f t="shared" ref="J314" si="599">I314</f>
        <v>0</v>
      </c>
      <c r="K314" s="274"/>
      <c r="L314" s="274"/>
      <c r="M314" s="274"/>
      <c r="N314" s="275">
        <f t="shared" si="536"/>
        <v>0</v>
      </c>
      <c r="O314" s="274"/>
      <c r="P314" s="274"/>
      <c r="Q314" s="274"/>
      <c r="R314" s="274"/>
      <c r="S314" s="274">
        <f t="shared" ref="S314" si="600">SUM(O314:R314)</f>
        <v>0</v>
      </c>
      <c r="T314" s="274"/>
      <c r="U314" s="274"/>
      <c r="V314" s="274"/>
      <c r="W314" s="274"/>
      <c r="X314" s="274">
        <f t="shared" ref="X314" si="601">SUM(T314:W314)</f>
        <v>0</v>
      </c>
      <c r="Y314" s="274">
        <f t="shared" ref="Y314" si="602">I314-N314</f>
        <v>0</v>
      </c>
      <c r="Z314" s="274">
        <f t="shared" ref="Z314" si="603">N314-S314</f>
        <v>0</v>
      </c>
      <c r="AA314" s="274"/>
      <c r="AB314" s="306">
        <f t="shared" ref="AB314" si="604">+S314-X314-AA314</f>
        <v>0</v>
      </c>
    </row>
    <row r="315" spans="1:28" s="90" customFormat="1" ht="14.1" customHeight="1" x14ac:dyDescent="0.2">
      <c r="A315" s="301"/>
      <c r="B315" s="350" t="s">
        <v>368</v>
      </c>
      <c r="C315" s="101"/>
      <c r="D315" s="101"/>
      <c r="E315" s="101"/>
      <c r="F315" s="370" t="s">
        <v>369</v>
      </c>
      <c r="G315" s="149">
        <v>13000</v>
      </c>
      <c r="H315" s="149"/>
      <c r="I315" s="329">
        <f t="shared" si="591"/>
        <v>13000</v>
      </c>
      <c r="J315" s="329">
        <f t="shared" si="592"/>
        <v>13000</v>
      </c>
      <c r="K315" s="274"/>
      <c r="L315" s="274"/>
      <c r="M315" s="274"/>
      <c r="N315" s="275">
        <f t="shared" si="536"/>
        <v>13000</v>
      </c>
      <c r="O315" s="274"/>
      <c r="P315" s="274">
        <f>2154.35+3200+2600+4000+1045.65</f>
        <v>13000</v>
      </c>
      <c r="Q315" s="274"/>
      <c r="R315" s="274"/>
      <c r="S315" s="274">
        <f t="shared" si="593"/>
        <v>13000</v>
      </c>
      <c r="T315" s="274"/>
      <c r="U315" s="274">
        <f>2154.35+3600+2400+2800+1045.65+400+200+400</f>
        <v>13000</v>
      </c>
      <c r="V315" s="274"/>
      <c r="W315" s="274"/>
      <c r="X315" s="274">
        <f t="shared" si="594"/>
        <v>13000</v>
      </c>
      <c r="Y315" s="274">
        <f t="shared" si="595"/>
        <v>0</v>
      </c>
      <c r="Z315" s="274">
        <f t="shared" si="596"/>
        <v>0</v>
      </c>
      <c r="AA315" s="274"/>
      <c r="AB315" s="306">
        <f t="shared" si="597"/>
        <v>0</v>
      </c>
    </row>
    <row r="316" spans="1:28" s="90" customFormat="1" ht="14.1" customHeight="1" x14ac:dyDescent="0.2">
      <c r="A316" s="301"/>
      <c r="B316" s="350" t="s">
        <v>370</v>
      </c>
      <c r="C316" s="101"/>
      <c r="D316" s="101"/>
      <c r="E316" s="101"/>
      <c r="F316" s="370" t="s">
        <v>371</v>
      </c>
      <c r="G316" s="149">
        <v>24000</v>
      </c>
      <c r="H316" s="149"/>
      <c r="I316" s="329">
        <f t="shared" si="591"/>
        <v>24000</v>
      </c>
      <c r="J316" s="329">
        <f t="shared" si="592"/>
        <v>24000</v>
      </c>
      <c r="K316" s="274"/>
      <c r="L316" s="274"/>
      <c r="M316" s="274"/>
      <c r="N316" s="275">
        <f t="shared" si="536"/>
        <v>24000</v>
      </c>
      <c r="O316" s="274"/>
      <c r="P316" s="274"/>
      <c r="Q316" s="274"/>
      <c r="R316" s="274">
        <f>1703.58+10296.42+12000</f>
        <v>24000</v>
      </c>
      <c r="S316" s="274">
        <f t="shared" si="593"/>
        <v>24000</v>
      </c>
      <c r="T316" s="274"/>
      <c r="U316" s="274"/>
      <c r="V316" s="274"/>
      <c r="W316" s="274">
        <f>1703.58+22296.42</f>
        <v>24000</v>
      </c>
      <c r="X316" s="274">
        <f t="shared" si="594"/>
        <v>24000</v>
      </c>
      <c r="Y316" s="274">
        <f t="shared" si="595"/>
        <v>0</v>
      </c>
      <c r="Z316" s="274">
        <f t="shared" si="596"/>
        <v>0</v>
      </c>
      <c r="AA316" s="274"/>
      <c r="AB316" s="306">
        <f t="shared" si="597"/>
        <v>0</v>
      </c>
    </row>
    <row r="317" spans="1:28" s="90" customFormat="1" ht="14.1" hidden="1" customHeight="1" x14ac:dyDescent="0.2">
      <c r="A317" s="301"/>
      <c r="B317" s="350" t="s">
        <v>372</v>
      </c>
      <c r="C317" s="101"/>
      <c r="D317" s="101"/>
      <c r="E317" s="101"/>
      <c r="F317" s="370" t="s">
        <v>373</v>
      </c>
      <c r="G317" s="149"/>
      <c r="H317" s="149"/>
      <c r="I317" s="329">
        <f t="shared" si="591"/>
        <v>0</v>
      </c>
      <c r="J317" s="329">
        <f t="shared" si="592"/>
        <v>0</v>
      </c>
      <c r="K317" s="274"/>
      <c r="L317" s="274"/>
      <c r="M317" s="274"/>
      <c r="N317" s="275">
        <f t="shared" si="536"/>
        <v>0</v>
      </c>
      <c r="O317" s="274"/>
      <c r="P317" s="274"/>
      <c r="Q317" s="274"/>
      <c r="R317" s="274"/>
      <c r="S317" s="274">
        <f t="shared" si="593"/>
        <v>0</v>
      </c>
      <c r="T317" s="274"/>
      <c r="U317" s="274"/>
      <c r="V317" s="274"/>
      <c r="W317" s="274"/>
      <c r="X317" s="274">
        <f t="shared" si="594"/>
        <v>0</v>
      </c>
      <c r="Y317" s="274">
        <f t="shared" si="595"/>
        <v>0</v>
      </c>
      <c r="Z317" s="274">
        <f t="shared" si="596"/>
        <v>0</v>
      </c>
      <c r="AA317" s="274"/>
      <c r="AB317" s="306">
        <f t="shared" si="597"/>
        <v>0</v>
      </c>
    </row>
    <row r="318" spans="1:28" s="90" customFormat="1" ht="14.1" customHeight="1" x14ac:dyDescent="0.2">
      <c r="A318" s="301"/>
      <c r="B318" s="351" t="s">
        <v>374</v>
      </c>
      <c r="C318" s="101"/>
      <c r="D318" s="101"/>
      <c r="E318" s="101"/>
      <c r="F318" s="370"/>
      <c r="G318" s="149"/>
      <c r="H318" s="149"/>
      <c r="I318" s="149"/>
      <c r="J318" s="149"/>
      <c r="K318" s="159"/>
      <c r="L318" s="159"/>
      <c r="M318" s="159"/>
      <c r="N318" s="159"/>
      <c r="O318" s="159"/>
      <c r="P318" s="159"/>
      <c r="Q318" s="159"/>
      <c r="R318" s="159"/>
      <c r="S318" s="159"/>
      <c r="T318" s="159"/>
      <c r="U318" s="159"/>
      <c r="V318" s="159"/>
      <c r="W318" s="159"/>
      <c r="X318" s="159"/>
      <c r="Y318" s="159"/>
      <c r="Z318" s="159"/>
      <c r="AA318" s="159"/>
      <c r="AB318" s="302"/>
    </row>
    <row r="319" spans="1:28" s="90" customFormat="1" ht="14.1" hidden="1" customHeight="1" x14ac:dyDescent="0.2">
      <c r="A319" s="301"/>
      <c r="B319" s="350" t="s">
        <v>375</v>
      </c>
      <c r="C319" s="101"/>
      <c r="D319" s="101"/>
      <c r="E319" s="101"/>
      <c r="F319" s="370" t="s">
        <v>376</v>
      </c>
      <c r="G319" s="149"/>
      <c r="H319" s="149"/>
      <c r="I319" s="329">
        <f t="shared" ref="I319:I336" si="605">G319+H319</f>
        <v>0</v>
      </c>
      <c r="J319" s="329">
        <f t="shared" ref="J319:J336" si="606">I319</f>
        <v>0</v>
      </c>
      <c r="K319" s="274"/>
      <c r="L319" s="274"/>
      <c r="M319" s="274"/>
      <c r="N319" s="275">
        <f t="shared" si="536"/>
        <v>0</v>
      </c>
      <c r="O319" s="274"/>
      <c r="P319" s="274"/>
      <c r="Q319" s="274"/>
      <c r="R319" s="274"/>
      <c r="S319" s="274">
        <f t="shared" ref="S319:S336" si="607">SUM(O319:R319)</f>
        <v>0</v>
      </c>
      <c r="T319" s="274"/>
      <c r="U319" s="274"/>
      <c r="V319" s="274"/>
      <c r="W319" s="274"/>
      <c r="X319" s="274">
        <f t="shared" ref="X319:X336" si="608">SUM(T319:W319)</f>
        <v>0</v>
      </c>
      <c r="Y319" s="274">
        <f t="shared" ref="Y319:Y336" si="609">I319-N319</f>
        <v>0</v>
      </c>
      <c r="Z319" s="274">
        <f t="shared" ref="Z319:Z336" si="610">N319-S319</f>
        <v>0</v>
      </c>
      <c r="AA319" s="274"/>
      <c r="AB319" s="306">
        <f t="shared" ref="AB319:AB336" si="611">+S319-X319-AA319</f>
        <v>0</v>
      </c>
    </row>
    <row r="320" spans="1:28" s="90" customFormat="1" ht="14.1" customHeight="1" x14ac:dyDescent="0.2">
      <c r="A320" s="301"/>
      <c r="B320" s="350" t="s">
        <v>377</v>
      </c>
      <c r="C320" s="101"/>
      <c r="D320" s="101"/>
      <c r="E320" s="101"/>
      <c r="F320" s="370" t="s">
        <v>378</v>
      </c>
      <c r="G320" s="149">
        <v>7000</v>
      </c>
      <c r="H320" s="149"/>
      <c r="I320" s="329">
        <f t="shared" si="605"/>
        <v>7000</v>
      </c>
      <c r="J320" s="329">
        <f t="shared" si="606"/>
        <v>7000</v>
      </c>
      <c r="K320" s="274"/>
      <c r="L320" s="274"/>
      <c r="M320" s="274"/>
      <c r="N320" s="275">
        <f t="shared" si="536"/>
        <v>7000</v>
      </c>
      <c r="O320" s="274"/>
      <c r="P320" s="274"/>
      <c r="Q320" s="274"/>
      <c r="R320" s="274">
        <f>676.78+6323.22</f>
        <v>7000</v>
      </c>
      <c r="S320" s="274">
        <f t="shared" si="607"/>
        <v>7000</v>
      </c>
      <c r="T320" s="274"/>
      <c r="U320" s="274"/>
      <c r="V320" s="274"/>
      <c r="W320" s="274">
        <f>676.78+2823.22+3500</f>
        <v>7000</v>
      </c>
      <c r="X320" s="274">
        <f t="shared" si="608"/>
        <v>7000</v>
      </c>
      <c r="Y320" s="274">
        <f t="shared" si="609"/>
        <v>0</v>
      </c>
      <c r="Z320" s="274">
        <f t="shared" si="610"/>
        <v>0</v>
      </c>
      <c r="AA320" s="274"/>
      <c r="AB320" s="306">
        <f t="shared" si="611"/>
        <v>0</v>
      </c>
    </row>
    <row r="321" spans="1:28" s="90" customFormat="1" ht="14.1" hidden="1" customHeight="1" x14ac:dyDescent="0.2">
      <c r="A321" s="301"/>
      <c r="B321" s="350" t="s">
        <v>379</v>
      </c>
      <c r="C321" s="101"/>
      <c r="D321" s="101"/>
      <c r="E321" s="101"/>
      <c r="F321" s="370" t="s">
        <v>380</v>
      </c>
      <c r="G321" s="149"/>
      <c r="H321" s="149"/>
      <c r="I321" s="329">
        <f t="shared" si="605"/>
        <v>0</v>
      </c>
      <c r="J321" s="329">
        <f t="shared" si="606"/>
        <v>0</v>
      </c>
      <c r="K321" s="274"/>
      <c r="L321" s="274"/>
      <c r="M321" s="274"/>
      <c r="N321" s="275">
        <f t="shared" si="536"/>
        <v>0</v>
      </c>
      <c r="O321" s="274"/>
      <c r="P321" s="274"/>
      <c r="Q321" s="274"/>
      <c r="R321" s="274"/>
      <c r="S321" s="274">
        <f t="shared" si="607"/>
        <v>0</v>
      </c>
      <c r="T321" s="274"/>
      <c r="U321" s="274"/>
      <c r="V321" s="274"/>
      <c r="W321" s="274"/>
      <c r="X321" s="274">
        <f t="shared" si="608"/>
        <v>0</v>
      </c>
      <c r="Y321" s="274">
        <f t="shared" si="609"/>
        <v>0</v>
      </c>
      <c r="Z321" s="274">
        <f t="shared" si="610"/>
        <v>0</v>
      </c>
      <c r="AA321" s="274"/>
      <c r="AB321" s="306">
        <f t="shared" si="611"/>
        <v>0</v>
      </c>
    </row>
    <row r="322" spans="1:28" s="90" customFormat="1" ht="14.1" hidden="1" customHeight="1" x14ac:dyDescent="0.2">
      <c r="A322" s="301"/>
      <c r="B322" s="350" t="s">
        <v>381</v>
      </c>
      <c r="C322" s="101"/>
      <c r="D322" s="101"/>
      <c r="E322" s="101"/>
      <c r="F322" s="370" t="s">
        <v>382</v>
      </c>
      <c r="G322" s="149"/>
      <c r="H322" s="149"/>
      <c r="I322" s="329">
        <f t="shared" si="605"/>
        <v>0</v>
      </c>
      <c r="J322" s="329">
        <f t="shared" si="606"/>
        <v>0</v>
      </c>
      <c r="K322" s="274"/>
      <c r="L322" s="274"/>
      <c r="M322" s="274"/>
      <c r="N322" s="275">
        <f t="shared" si="536"/>
        <v>0</v>
      </c>
      <c r="O322" s="274"/>
      <c r="P322" s="274"/>
      <c r="Q322" s="274"/>
      <c r="R322" s="274"/>
      <c r="S322" s="274">
        <f t="shared" si="607"/>
        <v>0</v>
      </c>
      <c r="T322" s="274"/>
      <c r="U322" s="274"/>
      <c r="V322" s="274"/>
      <c r="W322" s="274"/>
      <c r="X322" s="274">
        <f t="shared" si="608"/>
        <v>0</v>
      </c>
      <c r="Y322" s="274">
        <f t="shared" si="609"/>
        <v>0</v>
      </c>
      <c r="Z322" s="274">
        <f t="shared" si="610"/>
        <v>0</v>
      </c>
      <c r="AA322" s="274"/>
      <c r="AB322" s="306">
        <f t="shared" si="611"/>
        <v>0</v>
      </c>
    </row>
    <row r="323" spans="1:28" s="90" customFormat="1" ht="14.1" hidden="1" customHeight="1" x14ac:dyDescent="0.2">
      <c r="A323" s="301"/>
      <c r="B323" s="350" t="s">
        <v>383</v>
      </c>
      <c r="C323" s="101"/>
      <c r="D323" s="101"/>
      <c r="E323" s="101"/>
      <c r="F323" s="370" t="s">
        <v>384</v>
      </c>
      <c r="G323" s="149"/>
      <c r="H323" s="149"/>
      <c r="I323" s="329">
        <f t="shared" si="605"/>
        <v>0</v>
      </c>
      <c r="J323" s="329">
        <f t="shared" si="606"/>
        <v>0</v>
      </c>
      <c r="K323" s="274"/>
      <c r="L323" s="274"/>
      <c r="M323" s="274"/>
      <c r="N323" s="275">
        <f t="shared" si="536"/>
        <v>0</v>
      </c>
      <c r="O323" s="274"/>
      <c r="P323" s="274"/>
      <c r="Q323" s="274"/>
      <c r="R323" s="274"/>
      <c r="S323" s="274">
        <f t="shared" si="607"/>
        <v>0</v>
      </c>
      <c r="T323" s="274"/>
      <c r="U323" s="274"/>
      <c r="V323" s="274"/>
      <c r="W323" s="274"/>
      <c r="X323" s="274">
        <f t="shared" si="608"/>
        <v>0</v>
      </c>
      <c r="Y323" s="274">
        <f t="shared" si="609"/>
        <v>0</v>
      </c>
      <c r="Z323" s="274">
        <f t="shared" si="610"/>
        <v>0</v>
      </c>
      <c r="AA323" s="274"/>
      <c r="AB323" s="306">
        <f t="shared" si="611"/>
        <v>0</v>
      </c>
    </row>
    <row r="324" spans="1:28" s="90" customFormat="1" ht="14.1" hidden="1" customHeight="1" x14ac:dyDescent="0.2">
      <c r="A324" s="301"/>
      <c r="B324" s="350" t="s">
        <v>385</v>
      </c>
      <c r="C324" s="101"/>
      <c r="D324" s="101"/>
      <c r="E324" s="101"/>
      <c r="F324" s="370" t="s">
        <v>386</v>
      </c>
      <c r="G324" s="149"/>
      <c r="H324" s="149"/>
      <c r="I324" s="329">
        <f t="shared" si="605"/>
        <v>0</v>
      </c>
      <c r="J324" s="329">
        <f t="shared" si="606"/>
        <v>0</v>
      </c>
      <c r="K324" s="274"/>
      <c r="L324" s="274"/>
      <c r="M324" s="274"/>
      <c r="N324" s="275">
        <f t="shared" si="536"/>
        <v>0</v>
      </c>
      <c r="O324" s="274"/>
      <c r="P324" s="274"/>
      <c r="Q324" s="274"/>
      <c r="R324" s="274"/>
      <c r="S324" s="274">
        <f t="shared" si="607"/>
        <v>0</v>
      </c>
      <c r="T324" s="274"/>
      <c r="U324" s="274"/>
      <c r="V324" s="274"/>
      <c r="W324" s="274"/>
      <c r="X324" s="274">
        <f t="shared" si="608"/>
        <v>0</v>
      </c>
      <c r="Y324" s="274">
        <f t="shared" si="609"/>
        <v>0</v>
      </c>
      <c r="Z324" s="274">
        <f t="shared" si="610"/>
        <v>0</v>
      </c>
      <c r="AA324" s="274"/>
      <c r="AB324" s="306">
        <f t="shared" si="611"/>
        <v>0</v>
      </c>
    </row>
    <row r="325" spans="1:28" s="90" customFormat="1" ht="14.1" customHeight="1" x14ac:dyDescent="0.2">
      <c r="A325" s="301"/>
      <c r="B325" s="350" t="s">
        <v>726</v>
      </c>
      <c r="C325" s="718"/>
      <c r="D325" s="718"/>
      <c r="E325" s="718"/>
      <c r="F325" s="370" t="s">
        <v>387</v>
      </c>
      <c r="G325" s="149">
        <v>9000</v>
      </c>
      <c r="H325" s="149"/>
      <c r="I325" s="329">
        <f t="shared" si="605"/>
        <v>9000</v>
      </c>
      <c r="J325" s="329">
        <f t="shared" si="606"/>
        <v>9000</v>
      </c>
      <c r="K325" s="274"/>
      <c r="L325" s="274"/>
      <c r="M325" s="274"/>
      <c r="N325" s="275">
        <f t="shared" si="536"/>
        <v>9000</v>
      </c>
      <c r="O325" s="274"/>
      <c r="P325" s="274"/>
      <c r="Q325" s="274"/>
      <c r="R325" s="274">
        <v>9000</v>
      </c>
      <c r="S325" s="274">
        <f t="shared" si="607"/>
        <v>9000</v>
      </c>
      <c r="T325" s="274"/>
      <c r="U325" s="274"/>
      <c r="V325" s="274"/>
      <c r="W325" s="274">
        <v>9000</v>
      </c>
      <c r="X325" s="274">
        <f t="shared" si="608"/>
        <v>9000</v>
      </c>
      <c r="Y325" s="274">
        <f t="shared" si="609"/>
        <v>0</v>
      </c>
      <c r="Z325" s="274">
        <f t="shared" si="610"/>
        <v>0</v>
      </c>
      <c r="AA325" s="274"/>
      <c r="AB325" s="306">
        <f t="shared" si="611"/>
        <v>0</v>
      </c>
    </row>
    <row r="326" spans="1:28" s="90" customFormat="1" ht="14.1" hidden="1" customHeight="1" x14ac:dyDescent="0.2">
      <c r="A326" s="301"/>
      <c r="B326" s="350" t="s">
        <v>388</v>
      </c>
      <c r="C326" s="101"/>
      <c r="D326" s="101"/>
      <c r="E326" s="101"/>
      <c r="F326" s="370" t="s">
        <v>389</v>
      </c>
      <c r="G326" s="149"/>
      <c r="H326" s="149"/>
      <c r="I326" s="329">
        <f t="shared" si="605"/>
        <v>0</v>
      </c>
      <c r="J326" s="329">
        <f t="shared" si="606"/>
        <v>0</v>
      </c>
      <c r="K326" s="274"/>
      <c r="L326" s="274"/>
      <c r="M326" s="274"/>
      <c r="N326" s="275">
        <f t="shared" si="536"/>
        <v>0</v>
      </c>
      <c r="O326" s="274"/>
      <c r="P326" s="274"/>
      <c r="Q326" s="274"/>
      <c r="R326" s="274"/>
      <c r="S326" s="274">
        <f t="shared" si="607"/>
        <v>0</v>
      </c>
      <c r="T326" s="274"/>
      <c r="U326" s="274"/>
      <c r="V326" s="274"/>
      <c r="W326" s="274"/>
      <c r="X326" s="274">
        <f t="shared" si="608"/>
        <v>0</v>
      </c>
      <c r="Y326" s="274">
        <f t="shared" si="609"/>
        <v>0</v>
      </c>
      <c r="Z326" s="274">
        <f t="shared" si="610"/>
        <v>0</v>
      </c>
      <c r="AA326" s="274"/>
      <c r="AB326" s="306">
        <f t="shared" si="611"/>
        <v>0</v>
      </c>
    </row>
    <row r="327" spans="1:28" s="90" customFormat="1" ht="14.1" hidden="1" customHeight="1" x14ac:dyDescent="0.2">
      <c r="A327" s="301"/>
      <c r="B327" s="350" t="s">
        <v>390</v>
      </c>
      <c r="C327" s="101"/>
      <c r="D327" s="101"/>
      <c r="E327" s="101"/>
      <c r="F327" s="370" t="s">
        <v>391</v>
      </c>
      <c r="G327" s="149"/>
      <c r="H327" s="149"/>
      <c r="I327" s="329">
        <f t="shared" si="605"/>
        <v>0</v>
      </c>
      <c r="J327" s="329">
        <f t="shared" si="606"/>
        <v>0</v>
      </c>
      <c r="K327" s="274"/>
      <c r="L327" s="274"/>
      <c r="M327" s="274"/>
      <c r="N327" s="275">
        <f t="shared" si="536"/>
        <v>0</v>
      </c>
      <c r="O327" s="274"/>
      <c r="P327" s="274"/>
      <c r="Q327" s="274"/>
      <c r="R327" s="274"/>
      <c r="S327" s="274">
        <f t="shared" si="607"/>
        <v>0</v>
      </c>
      <c r="T327" s="274"/>
      <c r="U327" s="274"/>
      <c r="V327" s="274"/>
      <c r="W327" s="274"/>
      <c r="X327" s="274">
        <f t="shared" si="608"/>
        <v>0</v>
      </c>
      <c r="Y327" s="274">
        <f t="shared" si="609"/>
        <v>0</v>
      </c>
      <c r="Z327" s="274">
        <f t="shared" si="610"/>
        <v>0</v>
      </c>
      <c r="AA327" s="274"/>
      <c r="AB327" s="306">
        <f t="shared" si="611"/>
        <v>0</v>
      </c>
    </row>
    <row r="328" spans="1:28" s="90" customFormat="1" ht="14.1" hidden="1" customHeight="1" x14ac:dyDescent="0.2">
      <c r="A328" s="301"/>
      <c r="B328" s="350" t="s">
        <v>392</v>
      </c>
      <c r="C328" s="101"/>
      <c r="D328" s="101"/>
      <c r="E328" s="101"/>
      <c r="F328" s="370" t="s">
        <v>393</v>
      </c>
      <c r="G328" s="149"/>
      <c r="H328" s="149"/>
      <c r="I328" s="329">
        <f t="shared" si="605"/>
        <v>0</v>
      </c>
      <c r="J328" s="329">
        <f t="shared" si="606"/>
        <v>0</v>
      </c>
      <c r="K328" s="274"/>
      <c r="L328" s="274"/>
      <c r="M328" s="274"/>
      <c r="N328" s="275">
        <f t="shared" si="536"/>
        <v>0</v>
      </c>
      <c r="O328" s="274"/>
      <c r="P328" s="274"/>
      <c r="Q328" s="274"/>
      <c r="R328" s="274"/>
      <c r="S328" s="274">
        <f t="shared" si="607"/>
        <v>0</v>
      </c>
      <c r="T328" s="274"/>
      <c r="U328" s="274"/>
      <c r="V328" s="274"/>
      <c r="W328" s="274"/>
      <c r="X328" s="274">
        <f t="shared" si="608"/>
        <v>0</v>
      </c>
      <c r="Y328" s="274">
        <f t="shared" si="609"/>
        <v>0</v>
      </c>
      <c r="Z328" s="274">
        <f t="shared" si="610"/>
        <v>0</v>
      </c>
      <c r="AA328" s="274"/>
      <c r="AB328" s="306">
        <f t="shared" si="611"/>
        <v>0</v>
      </c>
    </row>
    <row r="329" spans="1:28" s="90" customFormat="1" ht="14.1" hidden="1" customHeight="1" x14ac:dyDescent="0.2">
      <c r="A329" s="301"/>
      <c r="B329" s="350" t="s">
        <v>394</v>
      </c>
      <c r="C329" s="101"/>
      <c r="D329" s="101"/>
      <c r="E329" s="101"/>
      <c r="F329" s="370" t="s">
        <v>395</v>
      </c>
      <c r="G329" s="149"/>
      <c r="H329" s="149"/>
      <c r="I329" s="329">
        <f t="shared" si="605"/>
        <v>0</v>
      </c>
      <c r="J329" s="329">
        <f t="shared" si="606"/>
        <v>0</v>
      </c>
      <c r="K329" s="274"/>
      <c r="L329" s="274"/>
      <c r="M329" s="274"/>
      <c r="N329" s="275">
        <f t="shared" si="536"/>
        <v>0</v>
      </c>
      <c r="O329" s="274"/>
      <c r="P329" s="274"/>
      <c r="Q329" s="274"/>
      <c r="R329" s="274"/>
      <c r="S329" s="274">
        <f t="shared" si="607"/>
        <v>0</v>
      </c>
      <c r="T329" s="274"/>
      <c r="U329" s="274"/>
      <c r="V329" s="274"/>
      <c r="W329" s="274"/>
      <c r="X329" s="274">
        <f t="shared" si="608"/>
        <v>0</v>
      </c>
      <c r="Y329" s="274">
        <f t="shared" si="609"/>
        <v>0</v>
      </c>
      <c r="Z329" s="274">
        <f t="shared" si="610"/>
        <v>0</v>
      </c>
      <c r="AA329" s="274"/>
      <c r="AB329" s="306">
        <f t="shared" si="611"/>
        <v>0</v>
      </c>
    </row>
    <row r="330" spans="1:28" s="90" customFormat="1" ht="14.1" hidden="1" customHeight="1" x14ac:dyDescent="0.2">
      <c r="A330" s="301"/>
      <c r="B330" s="350" t="s">
        <v>396</v>
      </c>
      <c r="C330" s="101"/>
      <c r="D330" s="101"/>
      <c r="E330" s="101"/>
      <c r="F330" s="370" t="s">
        <v>397</v>
      </c>
      <c r="G330" s="149"/>
      <c r="H330" s="149"/>
      <c r="I330" s="329">
        <f t="shared" si="605"/>
        <v>0</v>
      </c>
      <c r="J330" s="329">
        <f t="shared" si="606"/>
        <v>0</v>
      </c>
      <c r="K330" s="274"/>
      <c r="L330" s="274"/>
      <c r="M330" s="274"/>
      <c r="N330" s="275">
        <f t="shared" si="536"/>
        <v>0</v>
      </c>
      <c r="O330" s="274"/>
      <c r="P330" s="274"/>
      <c r="Q330" s="274"/>
      <c r="R330" s="274"/>
      <c r="S330" s="274">
        <f t="shared" si="607"/>
        <v>0</v>
      </c>
      <c r="T330" s="274"/>
      <c r="U330" s="274"/>
      <c r="V330" s="274"/>
      <c r="W330" s="274"/>
      <c r="X330" s="274">
        <f t="shared" si="608"/>
        <v>0</v>
      </c>
      <c r="Y330" s="274">
        <f t="shared" si="609"/>
        <v>0</v>
      </c>
      <c r="Z330" s="274">
        <f t="shared" si="610"/>
        <v>0</v>
      </c>
      <c r="AA330" s="274"/>
      <c r="AB330" s="306">
        <f t="shared" si="611"/>
        <v>0</v>
      </c>
    </row>
    <row r="331" spans="1:28" s="90" customFormat="1" ht="14.1" customHeight="1" x14ac:dyDescent="0.2">
      <c r="A331" s="301"/>
      <c r="B331" s="350" t="s">
        <v>398</v>
      </c>
      <c r="C331" s="101"/>
      <c r="D331" s="101"/>
      <c r="E331" s="101"/>
      <c r="F331" s="370" t="s">
        <v>399</v>
      </c>
      <c r="G331" s="149">
        <v>8000</v>
      </c>
      <c r="H331" s="149"/>
      <c r="I331" s="329">
        <f t="shared" si="605"/>
        <v>8000</v>
      </c>
      <c r="J331" s="329">
        <f t="shared" si="606"/>
        <v>8000</v>
      </c>
      <c r="K331" s="274"/>
      <c r="L331" s="274"/>
      <c r="M331" s="274"/>
      <c r="N331" s="275">
        <f t="shared" si="536"/>
        <v>8000</v>
      </c>
      <c r="O331" s="274"/>
      <c r="P331" s="274"/>
      <c r="Q331" s="274">
        <f>7802.95+197.05</f>
        <v>8000</v>
      </c>
      <c r="R331" s="274"/>
      <c r="S331" s="274">
        <f t="shared" si="607"/>
        <v>8000</v>
      </c>
      <c r="T331" s="274"/>
      <c r="U331" s="274"/>
      <c r="V331" s="274">
        <f>7802.95+197.05</f>
        <v>8000</v>
      </c>
      <c r="W331" s="274"/>
      <c r="X331" s="274">
        <f t="shared" si="608"/>
        <v>8000</v>
      </c>
      <c r="Y331" s="274">
        <f t="shared" si="609"/>
        <v>0</v>
      </c>
      <c r="Z331" s="274">
        <f t="shared" si="610"/>
        <v>0</v>
      </c>
      <c r="AA331" s="274"/>
      <c r="AB331" s="306">
        <f t="shared" si="611"/>
        <v>0</v>
      </c>
    </row>
    <row r="332" spans="1:28" s="90" customFormat="1" ht="14.1" hidden="1" customHeight="1" x14ac:dyDescent="0.2">
      <c r="A332" s="301"/>
      <c r="B332" s="350" t="s">
        <v>400</v>
      </c>
      <c r="C332" s="101"/>
      <c r="D332" s="101"/>
      <c r="E332" s="101"/>
      <c r="F332" s="370" t="s">
        <v>401</v>
      </c>
      <c r="G332" s="149"/>
      <c r="H332" s="149"/>
      <c r="I332" s="329">
        <f t="shared" si="605"/>
        <v>0</v>
      </c>
      <c r="J332" s="329">
        <f t="shared" si="606"/>
        <v>0</v>
      </c>
      <c r="K332" s="274"/>
      <c r="L332" s="274"/>
      <c r="M332" s="274"/>
      <c r="N332" s="275">
        <f t="shared" si="536"/>
        <v>0</v>
      </c>
      <c r="O332" s="274"/>
      <c r="P332" s="274"/>
      <c r="Q332" s="274"/>
      <c r="R332" s="274"/>
      <c r="S332" s="274">
        <f t="shared" si="607"/>
        <v>0</v>
      </c>
      <c r="T332" s="274"/>
      <c r="U332" s="274"/>
      <c r="V332" s="274"/>
      <c r="W332" s="274"/>
      <c r="X332" s="274">
        <f t="shared" si="608"/>
        <v>0</v>
      </c>
      <c r="Y332" s="274">
        <f t="shared" si="609"/>
        <v>0</v>
      </c>
      <c r="Z332" s="274">
        <f t="shared" si="610"/>
        <v>0</v>
      </c>
      <c r="AA332" s="274"/>
      <c r="AB332" s="306">
        <f t="shared" si="611"/>
        <v>0</v>
      </c>
    </row>
    <row r="333" spans="1:28" s="90" customFormat="1" ht="14.1" hidden="1" customHeight="1" x14ac:dyDescent="0.2">
      <c r="A333" s="301"/>
      <c r="B333" s="350" t="s">
        <v>402</v>
      </c>
      <c r="C333" s="101"/>
      <c r="D333" s="101"/>
      <c r="E333" s="101"/>
      <c r="F333" s="370" t="s">
        <v>403</v>
      </c>
      <c r="G333" s="149"/>
      <c r="H333" s="149"/>
      <c r="I333" s="329">
        <f t="shared" si="605"/>
        <v>0</v>
      </c>
      <c r="J333" s="329">
        <f t="shared" si="606"/>
        <v>0</v>
      </c>
      <c r="K333" s="274"/>
      <c r="L333" s="274"/>
      <c r="M333" s="274"/>
      <c r="N333" s="275">
        <f t="shared" si="536"/>
        <v>0</v>
      </c>
      <c r="O333" s="274"/>
      <c r="P333" s="274"/>
      <c r="Q333" s="274"/>
      <c r="R333" s="274"/>
      <c r="S333" s="274">
        <f t="shared" si="607"/>
        <v>0</v>
      </c>
      <c r="T333" s="274"/>
      <c r="U333" s="274"/>
      <c r="V333" s="274"/>
      <c r="W333" s="274"/>
      <c r="X333" s="274">
        <f t="shared" si="608"/>
        <v>0</v>
      </c>
      <c r="Y333" s="274">
        <f t="shared" si="609"/>
        <v>0</v>
      </c>
      <c r="Z333" s="274">
        <f t="shared" si="610"/>
        <v>0</v>
      </c>
      <c r="AA333" s="274"/>
      <c r="AB333" s="306">
        <f t="shared" si="611"/>
        <v>0</v>
      </c>
    </row>
    <row r="334" spans="1:28" s="90" customFormat="1" ht="14.1" hidden="1" customHeight="1" x14ac:dyDescent="0.2">
      <c r="A334" s="301"/>
      <c r="B334" s="350" t="s">
        <v>404</v>
      </c>
      <c r="C334" s="101"/>
      <c r="D334" s="101"/>
      <c r="E334" s="101"/>
      <c r="F334" s="370" t="s">
        <v>405</v>
      </c>
      <c r="G334" s="149"/>
      <c r="H334" s="149"/>
      <c r="I334" s="329">
        <f t="shared" si="605"/>
        <v>0</v>
      </c>
      <c r="J334" s="329">
        <f t="shared" si="606"/>
        <v>0</v>
      </c>
      <c r="K334" s="274"/>
      <c r="L334" s="274"/>
      <c r="M334" s="274"/>
      <c r="N334" s="275">
        <f t="shared" si="536"/>
        <v>0</v>
      </c>
      <c r="O334" s="274"/>
      <c r="P334" s="274"/>
      <c r="Q334" s="274"/>
      <c r="R334" s="274"/>
      <c r="S334" s="274">
        <f t="shared" si="607"/>
        <v>0</v>
      </c>
      <c r="T334" s="274"/>
      <c r="U334" s="274"/>
      <c r="V334" s="274"/>
      <c r="W334" s="274"/>
      <c r="X334" s="274">
        <f t="shared" si="608"/>
        <v>0</v>
      </c>
      <c r="Y334" s="274">
        <f t="shared" si="609"/>
        <v>0</v>
      </c>
      <c r="Z334" s="274">
        <f t="shared" si="610"/>
        <v>0</v>
      </c>
      <c r="AA334" s="274"/>
      <c r="AB334" s="306">
        <f t="shared" si="611"/>
        <v>0</v>
      </c>
    </row>
    <row r="335" spans="1:28" s="90" customFormat="1" ht="14.1" hidden="1" customHeight="1" x14ac:dyDescent="0.2">
      <c r="A335" s="301"/>
      <c r="B335" s="350" t="s">
        <v>729</v>
      </c>
      <c r="C335" s="718"/>
      <c r="D335" s="718"/>
      <c r="E335" s="718"/>
      <c r="F335" s="370" t="s">
        <v>728</v>
      </c>
      <c r="G335" s="149"/>
      <c r="H335" s="149"/>
      <c r="I335" s="329">
        <f t="shared" ref="I335" si="612">G335+H335</f>
        <v>0</v>
      </c>
      <c r="J335" s="329">
        <f t="shared" ref="J335" si="613">I335</f>
        <v>0</v>
      </c>
      <c r="K335" s="274"/>
      <c r="L335" s="274"/>
      <c r="M335" s="274"/>
      <c r="N335" s="275">
        <f t="shared" si="536"/>
        <v>0</v>
      </c>
      <c r="O335" s="274"/>
      <c r="P335" s="274"/>
      <c r="Q335" s="274"/>
      <c r="R335" s="274"/>
      <c r="S335" s="274">
        <f t="shared" ref="S335" si="614">SUM(O335:R335)</f>
        <v>0</v>
      </c>
      <c r="T335" s="274"/>
      <c r="U335" s="274"/>
      <c r="V335" s="274"/>
      <c r="W335" s="274"/>
      <c r="X335" s="274">
        <f t="shared" ref="X335" si="615">SUM(T335:W335)</f>
        <v>0</v>
      </c>
      <c r="Y335" s="274">
        <f t="shared" ref="Y335" si="616">I335-N335</f>
        <v>0</v>
      </c>
      <c r="Z335" s="274">
        <f t="shared" ref="Z335" si="617">N335-S335</f>
        <v>0</v>
      </c>
      <c r="AA335" s="274"/>
      <c r="AB335" s="306">
        <f t="shared" ref="AB335" si="618">+S335-X335-AA335</f>
        <v>0</v>
      </c>
    </row>
    <row r="336" spans="1:28" s="90" customFormat="1" ht="14.1" hidden="1" customHeight="1" x14ac:dyDescent="0.2">
      <c r="A336" s="301"/>
      <c r="B336" s="350" t="s">
        <v>406</v>
      </c>
      <c r="C336" s="101"/>
      <c r="D336" s="101"/>
      <c r="E336" s="101"/>
      <c r="F336" s="370" t="s">
        <v>407</v>
      </c>
      <c r="G336" s="149"/>
      <c r="H336" s="149"/>
      <c r="I336" s="329">
        <f t="shared" si="605"/>
        <v>0</v>
      </c>
      <c r="J336" s="329">
        <f t="shared" si="606"/>
        <v>0</v>
      </c>
      <c r="K336" s="274"/>
      <c r="L336" s="274"/>
      <c r="M336" s="274"/>
      <c r="N336" s="275">
        <f t="shared" si="536"/>
        <v>0</v>
      </c>
      <c r="O336" s="274"/>
      <c r="P336" s="274"/>
      <c r="Q336" s="274"/>
      <c r="R336" s="274"/>
      <c r="S336" s="274">
        <f t="shared" si="607"/>
        <v>0</v>
      </c>
      <c r="T336" s="274"/>
      <c r="U336" s="274"/>
      <c r="V336" s="274"/>
      <c r="W336" s="274"/>
      <c r="X336" s="274">
        <f t="shared" si="608"/>
        <v>0</v>
      </c>
      <c r="Y336" s="274">
        <f t="shared" si="609"/>
        <v>0</v>
      </c>
      <c r="Z336" s="274">
        <f t="shared" si="610"/>
        <v>0</v>
      </c>
      <c r="AA336" s="274"/>
      <c r="AB336" s="306">
        <f t="shared" si="611"/>
        <v>0</v>
      </c>
    </row>
    <row r="337" spans="1:28" s="90" customFormat="1" ht="14.1" customHeight="1" x14ac:dyDescent="0.2">
      <c r="A337" s="301"/>
      <c r="B337" s="351" t="s">
        <v>408</v>
      </c>
      <c r="C337" s="101"/>
      <c r="D337" s="101"/>
      <c r="E337" s="101"/>
      <c r="F337" s="370"/>
      <c r="G337" s="149"/>
      <c r="H337" s="149"/>
      <c r="I337" s="149"/>
      <c r="J337" s="14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59"/>
      <c r="Z337" s="159"/>
      <c r="AA337" s="159"/>
      <c r="AB337" s="302"/>
    </row>
    <row r="338" spans="1:28" s="90" customFormat="1" ht="14.1" customHeight="1" x14ac:dyDescent="0.2">
      <c r="A338" s="301"/>
      <c r="B338" s="350" t="s">
        <v>409</v>
      </c>
      <c r="C338" s="101"/>
      <c r="D338" s="101"/>
      <c r="E338" s="101"/>
      <c r="F338" s="370" t="s">
        <v>410</v>
      </c>
      <c r="G338" s="149">
        <v>1000</v>
      </c>
      <c r="H338" s="149"/>
      <c r="I338" s="329">
        <f t="shared" ref="I338:I340" si="619">G338+H338</f>
        <v>1000</v>
      </c>
      <c r="J338" s="329">
        <f t="shared" ref="J338:J340" si="620">I338</f>
        <v>1000</v>
      </c>
      <c r="K338" s="274"/>
      <c r="L338" s="274"/>
      <c r="M338" s="274"/>
      <c r="N338" s="275">
        <f t="shared" si="536"/>
        <v>1000</v>
      </c>
      <c r="O338" s="274"/>
      <c r="P338" s="274"/>
      <c r="Q338" s="274">
        <v>1000</v>
      </c>
      <c r="R338" s="274"/>
      <c r="S338" s="274">
        <f t="shared" ref="S338:S340" si="621">SUM(O338:R338)</f>
        <v>1000</v>
      </c>
      <c r="T338" s="274"/>
      <c r="U338" s="274"/>
      <c r="V338" s="274">
        <v>1000</v>
      </c>
      <c r="W338" s="274"/>
      <c r="X338" s="274">
        <f t="shared" ref="X338:X340" si="622">SUM(T338:W338)</f>
        <v>1000</v>
      </c>
      <c r="Y338" s="274">
        <f t="shared" ref="Y338:Y340" si="623">I338-N338</f>
        <v>0</v>
      </c>
      <c r="Z338" s="274">
        <f t="shared" ref="Z338:Z340" si="624">N338-S338</f>
        <v>0</v>
      </c>
      <c r="AA338" s="274"/>
      <c r="AB338" s="306">
        <f t="shared" ref="AB338:AB340" si="625">+S338-X338-AA338</f>
        <v>0</v>
      </c>
    </row>
    <row r="339" spans="1:28" s="90" customFormat="1" ht="14.1" customHeight="1" x14ac:dyDescent="0.2">
      <c r="A339" s="301"/>
      <c r="B339" s="350" t="s">
        <v>411</v>
      </c>
      <c r="C339" s="101"/>
      <c r="D339" s="101"/>
      <c r="E339" s="101"/>
      <c r="F339" s="370" t="s">
        <v>412</v>
      </c>
      <c r="G339" s="149">
        <v>1000</v>
      </c>
      <c r="H339" s="149"/>
      <c r="I339" s="329">
        <f t="shared" si="619"/>
        <v>1000</v>
      </c>
      <c r="J339" s="329">
        <f t="shared" si="620"/>
        <v>1000</v>
      </c>
      <c r="K339" s="274"/>
      <c r="L339" s="274"/>
      <c r="M339" s="274"/>
      <c r="N339" s="275">
        <f t="shared" si="536"/>
        <v>1000</v>
      </c>
      <c r="O339" s="274"/>
      <c r="P339" s="274">
        <v>1000</v>
      </c>
      <c r="Q339" s="274"/>
      <c r="R339" s="274"/>
      <c r="S339" s="274">
        <f t="shared" si="621"/>
        <v>1000</v>
      </c>
      <c r="T339" s="274"/>
      <c r="U339" s="274">
        <v>1000</v>
      </c>
      <c r="V339" s="274"/>
      <c r="W339" s="274"/>
      <c r="X339" s="274">
        <f t="shared" si="622"/>
        <v>1000</v>
      </c>
      <c r="Y339" s="274">
        <f t="shared" si="623"/>
        <v>0</v>
      </c>
      <c r="Z339" s="274">
        <f t="shared" si="624"/>
        <v>0</v>
      </c>
      <c r="AA339" s="274"/>
      <c r="AB339" s="306">
        <f t="shared" si="625"/>
        <v>0</v>
      </c>
    </row>
    <row r="340" spans="1:28" s="90" customFormat="1" ht="14.1" customHeight="1" x14ac:dyDescent="0.2">
      <c r="A340" s="301"/>
      <c r="B340" s="350" t="s">
        <v>413</v>
      </c>
      <c r="C340" s="101"/>
      <c r="D340" s="101"/>
      <c r="E340" s="101"/>
      <c r="F340" s="370" t="s">
        <v>414</v>
      </c>
      <c r="G340" s="149">
        <v>5000</v>
      </c>
      <c r="H340" s="149"/>
      <c r="I340" s="329">
        <f t="shared" si="619"/>
        <v>5000</v>
      </c>
      <c r="J340" s="329">
        <f t="shared" si="620"/>
        <v>5000</v>
      </c>
      <c r="K340" s="274"/>
      <c r="L340" s="274"/>
      <c r="M340" s="274"/>
      <c r="N340" s="275">
        <f t="shared" si="536"/>
        <v>5000</v>
      </c>
      <c r="O340" s="274"/>
      <c r="P340" s="274"/>
      <c r="Q340" s="274">
        <v>5000</v>
      </c>
      <c r="R340" s="274"/>
      <c r="S340" s="274">
        <f t="shared" si="621"/>
        <v>5000</v>
      </c>
      <c r="T340" s="274"/>
      <c r="U340" s="274"/>
      <c r="V340" s="274">
        <v>5000</v>
      </c>
      <c r="W340" s="274"/>
      <c r="X340" s="274">
        <f t="shared" si="622"/>
        <v>5000</v>
      </c>
      <c r="Y340" s="274">
        <f t="shared" si="623"/>
        <v>0</v>
      </c>
      <c r="Z340" s="274">
        <f t="shared" si="624"/>
        <v>0</v>
      </c>
      <c r="AA340" s="274"/>
      <c r="AB340" s="306">
        <f t="shared" si="625"/>
        <v>0</v>
      </c>
    </row>
    <row r="341" spans="1:28" s="90" customFormat="1" ht="14.1" customHeight="1" x14ac:dyDescent="0.2">
      <c r="A341" s="301"/>
      <c r="B341" s="351" t="s">
        <v>415</v>
      </c>
      <c r="C341" s="101"/>
      <c r="D341" s="101"/>
      <c r="E341" s="101"/>
      <c r="F341" s="370"/>
      <c r="G341" s="149"/>
      <c r="H341" s="149"/>
      <c r="I341" s="149"/>
      <c r="J341" s="149"/>
      <c r="K341" s="159"/>
      <c r="L341" s="159"/>
      <c r="M341" s="159"/>
      <c r="N341" s="159"/>
      <c r="O341" s="159"/>
      <c r="P341" s="159"/>
      <c r="Q341" s="159"/>
      <c r="R341" s="159"/>
      <c r="S341" s="159"/>
      <c r="T341" s="159"/>
      <c r="U341" s="159"/>
      <c r="V341" s="159"/>
      <c r="W341" s="159"/>
      <c r="X341" s="159"/>
      <c r="Y341" s="159"/>
      <c r="Z341" s="159"/>
      <c r="AA341" s="159"/>
      <c r="AB341" s="302"/>
    </row>
    <row r="342" spans="1:28" s="90" customFormat="1" ht="14.1" hidden="1" customHeight="1" x14ac:dyDescent="0.2">
      <c r="A342" s="301"/>
      <c r="B342" s="350" t="s">
        <v>416</v>
      </c>
      <c r="C342" s="101"/>
      <c r="D342" s="101"/>
      <c r="E342" s="101"/>
      <c r="F342" s="370" t="s">
        <v>417</v>
      </c>
      <c r="G342" s="149"/>
      <c r="H342" s="149"/>
      <c r="I342" s="329">
        <f t="shared" ref="I342:I354" si="626">G342+H342</f>
        <v>0</v>
      </c>
      <c r="J342" s="329">
        <f t="shared" ref="J342:J354" si="627">I342</f>
        <v>0</v>
      </c>
      <c r="K342" s="274"/>
      <c r="L342" s="274"/>
      <c r="M342" s="274"/>
      <c r="N342" s="275">
        <f t="shared" si="536"/>
        <v>0</v>
      </c>
      <c r="O342" s="274"/>
      <c r="P342" s="274"/>
      <c r="Q342" s="274"/>
      <c r="R342" s="274"/>
      <c r="S342" s="274">
        <f t="shared" ref="S342:S354" si="628">SUM(O342:R342)</f>
        <v>0</v>
      </c>
      <c r="T342" s="274"/>
      <c r="U342" s="274"/>
      <c r="V342" s="274"/>
      <c r="W342" s="274"/>
      <c r="X342" s="274">
        <f t="shared" ref="X342:X354" si="629">SUM(T342:W342)</f>
        <v>0</v>
      </c>
      <c r="Y342" s="274">
        <f t="shared" ref="Y342:Y354" si="630">I342-N342</f>
        <v>0</v>
      </c>
      <c r="Z342" s="274">
        <f t="shared" ref="Z342:Z354" si="631">N342-S342</f>
        <v>0</v>
      </c>
      <c r="AA342" s="274"/>
      <c r="AB342" s="306">
        <f t="shared" ref="AB342:AB354" si="632">+S342-X342-AA342</f>
        <v>0</v>
      </c>
    </row>
    <row r="343" spans="1:28" s="90" customFormat="1" ht="14.1" hidden="1" customHeight="1" x14ac:dyDescent="0.2">
      <c r="A343" s="301"/>
      <c r="B343" s="350" t="s">
        <v>418</v>
      </c>
      <c r="C343" s="101"/>
      <c r="D343" s="101"/>
      <c r="E343" s="101"/>
      <c r="F343" s="370" t="s">
        <v>419</v>
      </c>
      <c r="G343" s="149"/>
      <c r="H343" s="149"/>
      <c r="I343" s="329">
        <f t="shared" si="626"/>
        <v>0</v>
      </c>
      <c r="J343" s="329">
        <f t="shared" si="627"/>
        <v>0</v>
      </c>
      <c r="K343" s="274"/>
      <c r="L343" s="274"/>
      <c r="M343" s="274"/>
      <c r="N343" s="275">
        <f t="shared" si="536"/>
        <v>0</v>
      </c>
      <c r="O343" s="274"/>
      <c r="P343" s="274"/>
      <c r="Q343" s="274"/>
      <c r="R343" s="274"/>
      <c r="S343" s="274">
        <f t="shared" si="628"/>
        <v>0</v>
      </c>
      <c r="T343" s="274"/>
      <c r="U343" s="274"/>
      <c r="V343" s="274"/>
      <c r="W343" s="274"/>
      <c r="X343" s="274">
        <f t="shared" si="629"/>
        <v>0</v>
      </c>
      <c r="Y343" s="274">
        <f t="shared" si="630"/>
        <v>0</v>
      </c>
      <c r="Z343" s="274">
        <f t="shared" si="631"/>
        <v>0</v>
      </c>
      <c r="AA343" s="274"/>
      <c r="AB343" s="306">
        <f t="shared" si="632"/>
        <v>0</v>
      </c>
    </row>
    <row r="344" spans="1:28" s="90" customFormat="1" ht="14.1" hidden="1" customHeight="1" x14ac:dyDescent="0.2">
      <c r="A344" s="301"/>
      <c r="B344" s="350" t="s">
        <v>420</v>
      </c>
      <c r="C344" s="101"/>
      <c r="D344" s="101"/>
      <c r="E344" s="101"/>
      <c r="F344" s="370" t="s">
        <v>421</v>
      </c>
      <c r="G344" s="149"/>
      <c r="H344" s="149"/>
      <c r="I344" s="329">
        <f t="shared" si="626"/>
        <v>0</v>
      </c>
      <c r="J344" s="329">
        <f t="shared" si="627"/>
        <v>0</v>
      </c>
      <c r="K344" s="274"/>
      <c r="L344" s="274"/>
      <c r="M344" s="274"/>
      <c r="N344" s="275">
        <f t="shared" si="536"/>
        <v>0</v>
      </c>
      <c r="O344" s="274"/>
      <c r="P344" s="274"/>
      <c r="Q344" s="274"/>
      <c r="R344" s="274"/>
      <c r="S344" s="274">
        <f t="shared" si="628"/>
        <v>0</v>
      </c>
      <c r="T344" s="274"/>
      <c r="U344" s="274"/>
      <c r="V344" s="274"/>
      <c r="W344" s="274"/>
      <c r="X344" s="274">
        <f t="shared" si="629"/>
        <v>0</v>
      </c>
      <c r="Y344" s="274">
        <f t="shared" si="630"/>
        <v>0</v>
      </c>
      <c r="Z344" s="274">
        <f t="shared" si="631"/>
        <v>0</v>
      </c>
      <c r="AA344" s="274"/>
      <c r="AB344" s="306">
        <f t="shared" si="632"/>
        <v>0</v>
      </c>
    </row>
    <row r="345" spans="1:28" s="90" customFormat="1" ht="14.1" customHeight="1" x14ac:dyDescent="0.2">
      <c r="A345" s="301"/>
      <c r="B345" s="350" t="s">
        <v>422</v>
      </c>
      <c r="C345" s="101"/>
      <c r="D345" s="101"/>
      <c r="E345" s="101"/>
      <c r="F345" s="370" t="s">
        <v>423</v>
      </c>
      <c r="G345" s="149">
        <v>1000</v>
      </c>
      <c r="H345" s="149"/>
      <c r="I345" s="329">
        <f t="shared" si="626"/>
        <v>1000</v>
      </c>
      <c r="J345" s="329">
        <f t="shared" si="627"/>
        <v>1000</v>
      </c>
      <c r="K345" s="274"/>
      <c r="L345" s="274"/>
      <c r="M345" s="274"/>
      <c r="N345" s="275">
        <f t="shared" si="536"/>
        <v>1000</v>
      </c>
      <c r="O345" s="274"/>
      <c r="P345" s="274">
        <v>1000</v>
      </c>
      <c r="Q345" s="274"/>
      <c r="R345" s="274"/>
      <c r="S345" s="274">
        <f t="shared" si="628"/>
        <v>1000</v>
      </c>
      <c r="T345" s="274"/>
      <c r="U345" s="274">
        <v>1000</v>
      </c>
      <c r="V345" s="274"/>
      <c r="W345" s="274"/>
      <c r="X345" s="274">
        <f t="shared" si="629"/>
        <v>1000</v>
      </c>
      <c r="Y345" s="274">
        <f t="shared" si="630"/>
        <v>0</v>
      </c>
      <c r="Z345" s="274">
        <f t="shared" si="631"/>
        <v>0</v>
      </c>
      <c r="AA345" s="274"/>
      <c r="AB345" s="306">
        <f t="shared" si="632"/>
        <v>0</v>
      </c>
    </row>
    <row r="346" spans="1:28" s="90" customFormat="1" ht="14.1" customHeight="1" x14ac:dyDescent="0.2">
      <c r="A346" s="301"/>
      <c r="B346" s="350" t="s">
        <v>424</v>
      </c>
      <c r="C346" s="101"/>
      <c r="D346" s="101"/>
      <c r="E346" s="101"/>
      <c r="F346" s="370" t="s">
        <v>425</v>
      </c>
      <c r="G346" s="149">
        <v>2000</v>
      </c>
      <c r="H346" s="149"/>
      <c r="I346" s="329">
        <f t="shared" si="626"/>
        <v>2000</v>
      </c>
      <c r="J346" s="329">
        <f t="shared" si="627"/>
        <v>2000</v>
      </c>
      <c r="K346" s="274"/>
      <c r="L346" s="274"/>
      <c r="M346" s="274"/>
      <c r="N346" s="275">
        <f t="shared" si="536"/>
        <v>2000</v>
      </c>
      <c r="O346" s="274"/>
      <c r="P346" s="274"/>
      <c r="Q346" s="274"/>
      <c r="R346" s="274">
        <v>2000</v>
      </c>
      <c r="S346" s="274">
        <f t="shared" si="628"/>
        <v>2000</v>
      </c>
      <c r="T346" s="274"/>
      <c r="U346" s="274"/>
      <c r="V346" s="274"/>
      <c r="W346" s="274">
        <v>2000</v>
      </c>
      <c r="X346" s="274">
        <f t="shared" si="629"/>
        <v>2000</v>
      </c>
      <c r="Y346" s="274">
        <f t="shared" si="630"/>
        <v>0</v>
      </c>
      <c r="Z346" s="274">
        <f t="shared" si="631"/>
        <v>0</v>
      </c>
      <c r="AA346" s="274"/>
      <c r="AB346" s="306">
        <f t="shared" si="632"/>
        <v>0</v>
      </c>
    </row>
    <row r="347" spans="1:28" s="90" customFormat="1" ht="14.1" hidden="1" customHeight="1" x14ac:dyDescent="0.2">
      <c r="A347" s="301"/>
      <c r="B347" s="350" t="s">
        <v>426</v>
      </c>
      <c r="C347" s="101"/>
      <c r="D347" s="101"/>
      <c r="E347" s="101"/>
      <c r="F347" s="370" t="s">
        <v>427</v>
      </c>
      <c r="G347" s="149"/>
      <c r="H347" s="149"/>
      <c r="I347" s="329">
        <f t="shared" si="626"/>
        <v>0</v>
      </c>
      <c r="J347" s="329">
        <f t="shared" si="627"/>
        <v>0</v>
      </c>
      <c r="K347" s="274"/>
      <c r="L347" s="274"/>
      <c r="M347" s="274"/>
      <c r="N347" s="275">
        <f t="shared" ref="N347:N354" si="633">J347+K347-L347+M347</f>
        <v>0</v>
      </c>
      <c r="O347" s="274"/>
      <c r="P347" s="274"/>
      <c r="Q347" s="274"/>
      <c r="R347" s="274"/>
      <c r="S347" s="274">
        <f t="shared" si="628"/>
        <v>0</v>
      </c>
      <c r="T347" s="274"/>
      <c r="U347" s="274"/>
      <c r="V347" s="274"/>
      <c r="W347" s="274"/>
      <c r="X347" s="274">
        <f t="shared" si="629"/>
        <v>0</v>
      </c>
      <c r="Y347" s="274">
        <f t="shared" si="630"/>
        <v>0</v>
      </c>
      <c r="Z347" s="274">
        <f t="shared" si="631"/>
        <v>0</v>
      </c>
      <c r="AA347" s="274"/>
      <c r="AB347" s="306">
        <f t="shared" si="632"/>
        <v>0</v>
      </c>
    </row>
    <row r="348" spans="1:28" s="90" customFormat="1" ht="14.1" hidden="1" customHeight="1" x14ac:dyDescent="0.2">
      <c r="A348" s="301"/>
      <c r="B348" s="350" t="s">
        <v>428</v>
      </c>
      <c r="C348" s="101"/>
      <c r="D348" s="101"/>
      <c r="E348" s="101"/>
      <c r="F348" s="370" t="s">
        <v>429</v>
      </c>
      <c r="G348" s="149"/>
      <c r="H348" s="149"/>
      <c r="I348" s="329">
        <f t="shared" si="626"/>
        <v>0</v>
      </c>
      <c r="J348" s="329">
        <f t="shared" si="627"/>
        <v>0</v>
      </c>
      <c r="K348" s="274"/>
      <c r="L348" s="274"/>
      <c r="M348" s="274"/>
      <c r="N348" s="275">
        <f t="shared" si="633"/>
        <v>0</v>
      </c>
      <c r="O348" s="274"/>
      <c r="P348" s="274"/>
      <c r="Q348" s="274"/>
      <c r="R348" s="274"/>
      <c r="S348" s="274">
        <f t="shared" si="628"/>
        <v>0</v>
      </c>
      <c r="T348" s="274"/>
      <c r="U348" s="274"/>
      <c r="V348" s="274"/>
      <c r="W348" s="274"/>
      <c r="X348" s="274">
        <f t="shared" si="629"/>
        <v>0</v>
      </c>
      <c r="Y348" s="274">
        <f t="shared" si="630"/>
        <v>0</v>
      </c>
      <c r="Z348" s="274">
        <f t="shared" si="631"/>
        <v>0</v>
      </c>
      <c r="AA348" s="274"/>
      <c r="AB348" s="306">
        <f t="shared" si="632"/>
        <v>0</v>
      </c>
    </row>
    <row r="349" spans="1:28" s="90" customFormat="1" ht="14.1" hidden="1" customHeight="1" x14ac:dyDescent="0.2">
      <c r="A349" s="301"/>
      <c r="B349" s="350" t="s">
        <v>718</v>
      </c>
      <c r="C349" s="615"/>
      <c r="D349" s="615"/>
      <c r="E349" s="615"/>
      <c r="F349" s="370" t="s">
        <v>719</v>
      </c>
      <c r="G349" s="149"/>
      <c r="H349" s="149"/>
      <c r="I349" s="329">
        <f t="shared" si="626"/>
        <v>0</v>
      </c>
      <c r="J349" s="329">
        <f t="shared" si="627"/>
        <v>0</v>
      </c>
      <c r="K349" s="274"/>
      <c r="L349" s="274"/>
      <c r="M349" s="274"/>
      <c r="N349" s="275">
        <f t="shared" si="633"/>
        <v>0</v>
      </c>
      <c r="O349" s="274"/>
      <c r="P349" s="274"/>
      <c r="Q349" s="274"/>
      <c r="R349" s="274"/>
      <c r="S349" s="274">
        <f t="shared" si="628"/>
        <v>0</v>
      </c>
      <c r="T349" s="274"/>
      <c r="U349" s="274"/>
      <c r="V349" s="274"/>
      <c r="W349" s="274"/>
      <c r="X349" s="274">
        <f t="shared" si="629"/>
        <v>0</v>
      </c>
      <c r="Y349" s="274">
        <f t="shared" si="630"/>
        <v>0</v>
      </c>
      <c r="Z349" s="274">
        <f t="shared" si="631"/>
        <v>0</v>
      </c>
      <c r="AA349" s="274"/>
      <c r="AB349" s="306">
        <f t="shared" si="632"/>
        <v>0</v>
      </c>
    </row>
    <row r="350" spans="1:28" s="90" customFormat="1" ht="14.1" hidden="1" customHeight="1" x14ac:dyDescent="0.2">
      <c r="A350" s="301"/>
      <c r="B350" s="350" t="s">
        <v>432</v>
      </c>
      <c r="C350" s="101"/>
      <c r="D350" s="101"/>
      <c r="E350" s="101"/>
      <c r="F350" s="370" t="s">
        <v>433</v>
      </c>
      <c r="G350" s="149"/>
      <c r="H350" s="149"/>
      <c r="I350" s="329">
        <f t="shared" si="626"/>
        <v>0</v>
      </c>
      <c r="J350" s="329">
        <f t="shared" si="627"/>
        <v>0</v>
      </c>
      <c r="K350" s="274"/>
      <c r="L350" s="274"/>
      <c r="M350" s="274"/>
      <c r="N350" s="275">
        <f t="shared" si="633"/>
        <v>0</v>
      </c>
      <c r="O350" s="274"/>
      <c r="P350" s="274"/>
      <c r="Q350" s="274"/>
      <c r="R350" s="274"/>
      <c r="S350" s="274">
        <f t="shared" si="628"/>
        <v>0</v>
      </c>
      <c r="T350" s="274"/>
      <c r="U350" s="274"/>
      <c r="V350" s="274"/>
      <c r="W350" s="274"/>
      <c r="X350" s="274">
        <f t="shared" si="629"/>
        <v>0</v>
      </c>
      <c r="Y350" s="274">
        <f t="shared" si="630"/>
        <v>0</v>
      </c>
      <c r="Z350" s="274">
        <f t="shared" si="631"/>
        <v>0</v>
      </c>
      <c r="AA350" s="274"/>
      <c r="AB350" s="306">
        <f t="shared" si="632"/>
        <v>0</v>
      </c>
    </row>
    <row r="351" spans="1:28" s="90" customFormat="1" ht="14.1" hidden="1" customHeight="1" x14ac:dyDescent="0.2">
      <c r="A351" s="301"/>
      <c r="B351" s="350" t="s">
        <v>730</v>
      </c>
      <c r="C351" s="744"/>
      <c r="D351" s="744"/>
      <c r="E351" s="744"/>
      <c r="F351" s="370" t="s">
        <v>733</v>
      </c>
      <c r="G351" s="149"/>
      <c r="H351" s="149"/>
      <c r="I351" s="329">
        <f t="shared" si="626"/>
        <v>0</v>
      </c>
      <c r="J351" s="329">
        <f t="shared" si="627"/>
        <v>0</v>
      </c>
      <c r="K351" s="274"/>
      <c r="L351" s="274"/>
      <c r="M351" s="274"/>
      <c r="N351" s="275">
        <f t="shared" si="633"/>
        <v>0</v>
      </c>
      <c r="O351" s="274"/>
      <c r="P351" s="274"/>
      <c r="Q351" s="274"/>
      <c r="R351" s="274"/>
      <c r="S351" s="274">
        <f t="shared" si="628"/>
        <v>0</v>
      </c>
      <c r="T351" s="274"/>
      <c r="U351" s="274"/>
      <c r="V351" s="274"/>
      <c r="W351" s="274"/>
      <c r="X351" s="274">
        <f t="shared" si="629"/>
        <v>0</v>
      </c>
      <c r="Y351" s="274">
        <f t="shared" si="630"/>
        <v>0</v>
      </c>
      <c r="Z351" s="274">
        <f t="shared" si="631"/>
        <v>0</v>
      </c>
      <c r="AA351" s="274"/>
      <c r="AB351" s="306">
        <f t="shared" si="632"/>
        <v>0</v>
      </c>
    </row>
    <row r="352" spans="1:28" s="90" customFormat="1" ht="14.1" customHeight="1" x14ac:dyDescent="0.2">
      <c r="A352" s="301"/>
      <c r="B352" s="350" t="s">
        <v>737</v>
      </c>
      <c r="C352" s="744"/>
      <c r="D352" s="744"/>
      <c r="E352" s="744"/>
      <c r="F352" s="370" t="s">
        <v>738</v>
      </c>
      <c r="G352" s="149">
        <v>1000</v>
      </c>
      <c r="H352" s="149"/>
      <c r="I352" s="329">
        <f t="shared" ref="I352:I353" si="634">G352+H352</f>
        <v>1000</v>
      </c>
      <c r="J352" s="329">
        <f t="shared" ref="J352:J353" si="635">I352</f>
        <v>1000</v>
      </c>
      <c r="K352" s="274"/>
      <c r="L352" s="274"/>
      <c r="M352" s="274"/>
      <c r="N352" s="275">
        <f t="shared" si="633"/>
        <v>1000</v>
      </c>
      <c r="O352" s="274"/>
      <c r="P352" s="274">
        <f>480</f>
        <v>480</v>
      </c>
      <c r="Q352" s="274"/>
      <c r="R352" s="274">
        <v>520</v>
      </c>
      <c r="S352" s="274">
        <f t="shared" ref="S352:S353" si="636">SUM(O352:R352)</f>
        <v>1000</v>
      </c>
      <c r="T352" s="274"/>
      <c r="U352" s="274">
        <f>480</f>
        <v>480</v>
      </c>
      <c r="V352" s="274"/>
      <c r="W352" s="274">
        <v>520</v>
      </c>
      <c r="X352" s="274">
        <f t="shared" ref="X352:X353" si="637">SUM(T352:W352)</f>
        <v>1000</v>
      </c>
      <c r="Y352" s="274">
        <f t="shared" ref="Y352:Y353" si="638">I352-N352</f>
        <v>0</v>
      </c>
      <c r="Z352" s="274">
        <f t="shared" ref="Z352:Z353" si="639">N352-S352</f>
        <v>0</v>
      </c>
      <c r="AA352" s="274"/>
      <c r="AB352" s="306">
        <f t="shared" ref="AB352:AB353" si="640">+S352-X352-AA352</f>
        <v>0</v>
      </c>
    </row>
    <row r="353" spans="1:91" s="90" customFormat="1" ht="14.1" hidden="1" customHeight="1" x14ac:dyDescent="0.2">
      <c r="A353" s="301"/>
      <c r="B353" s="350" t="s">
        <v>434</v>
      </c>
      <c r="C353" s="718"/>
      <c r="D353" s="718"/>
      <c r="E353" s="718"/>
      <c r="F353" s="370" t="s">
        <v>435</v>
      </c>
      <c r="G353" s="149"/>
      <c r="H353" s="149"/>
      <c r="I353" s="329">
        <f t="shared" si="634"/>
        <v>0</v>
      </c>
      <c r="J353" s="329">
        <f t="shared" si="635"/>
        <v>0</v>
      </c>
      <c r="K353" s="274"/>
      <c r="L353" s="274"/>
      <c r="M353" s="274"/>
      <c r="N353" s="275">
        <f t="shared" si="633"/>
        <v>0</v>
      </c>
      <c r="O353" s="274"/>
      <c r="P353" s="274"/>
      <c r="Q353" s="274"/>
      <c r="R353" s="274"/>
      <c r="S353" s="274">
        <f t="shared" si="636"/>
        <v>0</v>
      </c>
      <c r="T353" s="274"/>
      <c r="U353" s="274"/>
      <c r="V353" s="274"/>
      <c r="W353" s="274"/>
      <c r="X353" s="274">
        <f t="shared" si="637"/>
        <v>0</v>
      </c>
      <c r="Y353" s="274">
        <f t="shared" si="638"/>
        <v>0</v>
      </c>
      <c r="Z353" s="274">
        <f t="shared" si="639"/>
        <v>0</v>
      </c>
      <c r="AA353" s="274"/>
      <c r="AB353" s="306">
        <f t="shared" si="640"/>
        <v>0</v>
      </c>
    </row>
    <row r="354" spans="1:91" s="90" customFormat="1" ht="14.1" hidden="1" customHeight="1" x14ac:dyDescent="0.2">
      <c r="A354" s="301"/>
      <c r="B354" s="350" t="s">
        <v>732</v>
      </c>
      <c r="C354" s="718"/>
      <c r="D354" s="718"/>
      <c r="E354" s="718"/>
      <c r="F354" s="370" t="s">
        <v>731</v>
      </c>
      <c r="G354" s="149"/>
      <c r="H354" s="149"/>
      <c r="I354" s="329">
        <f t="shared" si="626"/>
        <v>0</v>
      </c>
      <c r="J354" s="329">
        <f t="shared" si="627"/>
        <v>0</v>
      </c>
      <c r="K354" s="274"/>
      <c r="L354" s="274"/>
      <c r="M354" s="274"/>
      <c r="N354" s="275">
        <f t="shared" si="633"/>
        <v>0</v>
      </c>
      <c r="O354" s="274"/>
      <c r="P354" s="274"/>
      <c r="Q354" s="274"/>
      <c r="R354" s="274"/>
      <c r="S354" s="274">
        <f t="shared" si="628"/>
        <v>0</v>
      </c>
      <c r="T354" s="274"/>
      <c r="U354" s="274"/>
      <c r="V354" s="274"/>
      <c r="W354" s="274"/>
      <c r="X354" s="274">
        <f t="shared" si="629"/>
        <v>0</v>
      </c>
      <c r="Y354" s="274">
        <f t="shared" si="630"/>
        <v>0</v>
      </c>
      <c r="Z354" s="274">
        <f t="shared" si="631"/>
        <v>0</v>
      </c>
      <c r="AA354" s="274"/>
      <c r="AB354" s="306">
        <f t="shared" si="632"/>
        <v>0</v>
      </c>
    </row>
    <row r="355" spans="1:91" s="61" customFormat="1" ht="14.1" customHeight="1" x14ac:dyDescent="0.2">
      <c r="A355" s="303"/>
      <c r="B355" s="94"/>
      <c r="C355" s="94"/>
      <c r="D355" s="94"/>
      <c r="E355" s="94"/>
      <c r="F355" s="258"/>
      <c r="G355" s="148"/>
      <c r="H355" s="148"/>
      <c r="I355" s="148"/>
      <c r="J355" s="148"/>
      <c r="K355" s="152"/>
      <c r="L355" s="152"/>
      <c r="M355" s="152"/>
      <c r="N355" s="152"/>
      <c r="O355" s="152"/>
      <c r="P355" s="152"/>
      <c r="Q355" s="152"/>
      <c r="R355" s="340"/>
      <c r="S355" s="340"/>
      <c r="T355" s="340"/>
      <c r="U355" s="340"/>
      <c r="V355" s="340"/>
      <c r="W355" s="340"/>
      <c r="X355" s="340"/>
      <c r="Y355" s="340"/>
      <c r="Z355" s="340"/>
      <c r="AA355" s="340"/>
      <c r="AB355" s="300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</row>
    <row r="356" spans="1:91" s="95" customFormat="1" ht="14.1" customHeight="1" x14ac:dyDescent="0.2">
      <c r="A356" s="301" t="s">
        <v>151</v>
      </c>
      <c r="B356" s="101" t="s">
        <v>152</v>
      </c>
      <c r="C356" s="101"/>
      <c r="D356" s="101"/>
      <c r="E356" s="73"/>
      <c r="F356" s="252" t="s">
        <v>261</v>
      </c>
      <c r="G356" s="321">
        <f t="shared" ref="G356:AB356" si="641">G357+G456+G381</f>
        <v>23801000</v>
      </c>
      <c r="H356" s="321">
        <f t="shared" si="641"/>
        <v>0</v>
      </c>
      <c r="I356" s="321">
        <f t="shared" si="641"/>
        <v>23801000</v>
      </c>
      <c r="J356" s="321">
        <f t="shared" si="641"/>
        <v>23801000</v>
      </c>
      <c r="K356" s="321">
        <f>K357+K456+K381</f>
        <v>0</v>
      </c>
      <c r="L356" s="321">
        <f t="shared" si="641"/>
        <v>0</v>
      </c>
      <c r="M356" s="321">
        <f t="shared" si="641"/>
        <v>263600</v>
      </c>
      <c r="N356" s="321">
        <f t="shared" si="641"/>
        <v>24064600</v>
      </c>
      <c r="O356" s="321">
        <f t="shared" si="641"/>
        <v>2166434.81</v>
      </c>
      <c r="P356" s="321">
        <f t="shared" si="641"/>
        <v>2332768.2800000003</v>
      </c>
      <c r="Q356" s="321">
        <f t="shared" si="641"/>
        <v>5444213.8000000007</v>
      </c>
      <c r="R356" s="321">
        <f t="shared" si="641"/>
        <v>11492409.33</v>
      </c>
      <c r="S356" s="321">
        <f t="shared" si="641"/>
        <v>21435826.219999999</v>
      </c>
      <c r="T356" s="321">
        <f t="shared" si="641"/>
        <v>1696362.8900000001</v>
      </c>
      <c r="U356" s="321">
        <f t="shared" si="641"/>
        <v>2615026.2000000002</v>
      </c>
      <c r="V356" s="321">
        <f t="shared" si="641"/>
        <v>5454902.8000000007</v>
      </c>
      <c r="W356" s="321">
        <f t="shared" si="641"/>
        <v>9916430.7399999984</v>
      </c>
      <c r="X356" s="321">
        <f t="shared" si="641"/>
        <v>19682722.629999999</v>
      </c>
      <c r="Y356" s="321">
        <f t="shared" si="641"/>
        <v>-263600</v>
      </c>
      <c r="Z356" s="321">
        <f t="shared" si="641"/>
        <v>2628773.7800000003</v>
      </c>
      <c r="AA356" s="332">
        <f t="shared" si="641"/>
        <v>200</v>
      </c>
      <c r="AB356" s="302">
        <f t="shared" si="641"/>
        <v>1752903.5900000015</v>
      </c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</row>
    <row r="357" spans="1:91" s="90" customFormat="1" ht="14.1" customHeight="1" x14ac:dyDescent="0.2">
      <c r="A357" s="301"/>
      <c r="B357" s="347" t="s">
        <v>283</v>
      </c>
      <c r="C357" s="101"/>
      <c r="D357" s="101"/>
      <c r="E357" s="101"/>
      <c r="F357" s="370"/>
      <c r="G357" s="321">
        <f>SUM(G359:G379)</f>
        <v>1585000</v>
      </c>
      <c r="H357" s="321">
        <f t="shared" ref="H357:AB357" si="642">SUM(H359:H379)</f>
        <v>0</v>
      </c>
      <c r="I357" s="321">
        <f t="shared" si="642"/>
        <v>1585000</v>
      </c>
      <c r="J357" s="321">
        <f t="shared" si="642"/>
        <v>1585000</v>
      </c>
      <c r="K357" s="321">
        <f>SUM(K359:K379)</f>
        <v>975000</v>
      </c>
      <c r="L357" s="321">
        <f t="shared" si="642"/>
        <v>0</v>
      </c>
      <c r="M357" s="321">
        <f t="shared" si="642"/>
        <v>0</v>
      </c>
      <c r="N357" s="321">
        <f t="shared" si="642"/>
        <v>2560000</v>
      </c>
      <c r="O357" s="321">
        <f t="shared" si="642"/>
        <v>1130703</v>
      </c>
      <c r="P357" s="321">
        <f t="shared" si="642"/>
        <v>1090023</v>
      </c>
      <c r="Q357" s="321">
        <f t="shared" si="642"/>
        <v>590199</v>
      </c>
      <c r="R357" s="321">
        <f t="shared" si="642"/>
        <v>-253925</v>
      </c>
      <c r="S357" s="321">
        <f t="shared" si="642"/>
        <v>2557000</v>
      </c>
      <c r="T357" s="321">
        <f t="shared" si="642"/>
        <v>860491</v>
      </c>
      <c r="U357" s="321">
        <f t="shared" si="642"/>
        <v>1172921</v>
      </c>
      <c r="V357" s="321">
        <f t="shared" si="642"/>
        <v>774188</v>
      </c>
      <c r="W357" s="321">
        <f t="shared" si="642"/>
        <v>-250600</v>
      </c>
      <c r="X357" s="321">
        <f t="shared" si="642"/>
        <v>2557000</v>
      </c>
      <c r="Y357" s="321">
        <f t="shared" si="642"/>
        <v>-975000</v>
      </c>
      <c r="Z357" s="321">
        <f t="shared" si="642"/>
        <v>3000</v>
      </c>
      <c r="AA357" s="332">
        <f t="shared" si="642"/>
        <v>0</v>
      </c>
      <c r="AB357" s="382">
        <f t="shared" si="642"/>
        <v>0</v>
      </c>
    </row>
    <row r="358" spans="1:91" s="90" customFormat="1" ht="14.1" customHeight="1" x14ac:dyDescent="0.2">
      <c r="A358" s="301"/>
      <c r="B358" s="348" t="s">
        <v>284</v>
      </c>
      <c r="C358" s="101"/>
      <c r="D358" s="101"/>
      <c r="E358" s="101"/>
      <c r="F358" s="370"/>
      <c r="G358" s="321"/>
      <c r="H358" s="321"/>
      <c r="I358" s="321"/>
      <c r="J358" s="321"/>
      <c r="K358" s="332"/>
      <c r="L358" s="332"/>
      <c r="M358" s="332"/>
      <c r="N358" s="332"/>
      <c r="O358" s="332"/>
      <c r="P358" s="332"/>
      <c r="Q358" s="332"/>
      <c r="R358" s="332"/>
      <c r="S358" s="332"/>
      <c r="T358" s="332"/>
      <c r="U358" s="332"/>
      <c r="V358" s="332"/>
      <c r="W358" s="332"/>
      <c r="X358" s="332"/>
      <c r="Y358" s="332"/>
      <c r="Z358" s="332"/>
      <c r="AA358" s="332"/>
      <c r="AB358" s="302"/>
    </row>
    <row r="359" spans="1:91" s="90" customFormat="1" ht="14.1" customHeight="1" x14ac:dyDescent="0.2">
      <c r="A359" s="301"/>
      <c r="B359" s="349" t="s">
        <v>285</v>
      </c>
      <c r="C359" s="101"/>
      <c r="D359" s="101"/>
      <c r="E359" s="101"/>
      <c r="F359" s="370" t="s">
        <v>286</v>
      </c>
      <c r="G359" s="149">
        <v>1335000</v>
      </c>
      <c r="H359" s="149"/>
      <c r="I359" s="329">
        <f t="shared" ref="I359" si="643">G359+H359</f>
        <v>1335000</v>
      </c>
      <c r="J359" s="329">
        <f t="shared" ref="J359" si="644">I359</f>
        <v>1335000</v>
      </c>
      <c r="K359" s="274"/>
      <c r="L359" s="274"/>
      <c r="M359" s="274"/>
      <c r="N359" s="275">
        <f t="shared" ref="N359" si="645">J359+K359-L359+M359</f>
        <v>1335000</v>
      </c>
      <c r="O359" s="274">
        <v>982778</v>
      </c>
      <c r="P359" s="274">
        <f>249912+249912+249912</f>
        <v>749736</v>
      </c>
      <c r="Q359" s="274">
        <f>249912+249912</f>
        <v>499824</v>
      </c>
      <c r="R359" s="274">
        <f>499990-1397328</f>
        <v>-897338</v>
      </c>
      <c r="S359" s="274">
        <f t="shared" ref="S359" si="646">SUM(O359:R359)</f>
        <v>1335000</v>
      </c>
      <c r="T359" s="274">
        <v>732691</v>
      </c>
      <c r="U359" s="274">
        <f>203713.88+46373.12+69515+42129.45+138267.55+249912+66723</f>
        <v>816634</v>
      </c>
      <c r="V359" s="274">
        <f>173755.56+9433.44+249912+249912</f>
        <v>683013</v>
      </c>
      <c r="W359" s="274">
        <f>249912+250078-1397328</f>
        <v>-897338</v>
      </c>
      <c r="X359" s="274">
        <f t="shared" ref="X359" si="647">SUM(T359:W359)</f>
        <v>1335000</v>
      </c>
      <c r="Y359" s="274">
        <f t="shared" ref="Y359" si="648">I359-N359</f>
        <v>0</v>
      </c>
      <c r="Z359" s="274">
        <f t="shared" ref="Z359" si="649">N359-S359</f>
        <v>0</v>
      </c>
      <c r="AA359" s="274"/>
      <c r="AB359" s="306">
        <f t="shared" ref="AB359" si="650">+S359-X359-AA359</f>
        <v>0</v>
      </c>
    </row>
    <row r="360" spans="1:91" s="90" customFormat="1" ht="14.1" customHeight="1" x14ac:dyDescent="0.2">
      <c r="A360" s="301"/>
      <c r="B360" s="348" t="s">
        <v>287</v>
      </c>
      <c r="C360" s="101"/>
      <c r="D360" s="101"/>
      <c r="E360" s="101"/>
      <c r="F360" s="370"/>
      <c r="G360" s="149"/>
      <c r="H360" s="149"/>
      <c r="I360" s="149"/>
      <c r="J360" s="149"/>
      <c r="K360" s="159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  <c r="X360" s="159"/>
      <c r="Y360" s="159"/>
      <c r="Z360" s="159"/>
      <c r="AA360" s="159"/>
      <c r="AB360" s="583"/>
    </row>
    <row r="361" spans="1:91" s="90" customFormat="1" ht="14.1" customHeight="1" x14ac:dyDescent="0.2">
      <c r="A361" s="301"/>
      <c r="B361" s="349" t="s">
        <v>288</v>
      </c>
      <c r="C361" s="101"/>
      <c r="D361" s="101"/>
      <c r="E361" s="101"/>
      <c r="F361" s="370" t="s">
        <v>289</v>
      </c>
      <c r="G361" s="149">
        <v>72000</v>
      </c>
      <c r="H361" s="149"/>
      <c r="I361" s="329">
        <f t="shared" ref="I361:I372" si="651">G361+H361</f>
        <v>72000</v>
      </c>
      <c r="J361" s="329">
        <f t="shared" ref="J361:J372" si="652">I361</f>
        <v>72000</v>
      </c>
      <c r="K361" s="274"/>
      <c r="L361" s="274"/>
      <c r="M361" s="274"/>
      <c r="N361" s="275">
        <f>J361+K361-L361+M361</f>
        <v>72000</v>
      </c>
      <c r="O361" s="274">
        <v>62000</v>
      </c>
      <c r="P361" s="274">
        <f>16000+16000+16000</f>
        <v>48000</v>
      </c>
      <c r="Q361" s="274">
        <f>16000+16000+16000</f>
        <v>48000</v>
      </c>
      <c r="R361" s="274">
        <f>32000-118000</f>
        <v>-86000</v>
      </c>
      <c r="S361" s="274">
        <f t="shared" ref="S361:S372" si="653">SUM(O361:R361)</f>
        <v>72000</v>
      </c>
      <c r="T361" s="274">
        <v>46000</v>
      </c>
      <c r="U361" s="274">
        <f>16000+16000+16000+16000</f>
        <v>64000</v>
      </c>
      <c r="V361" s="274">
        <f>16000+16000+16000</f>
        <v>48000</v>
      </c>
      <c r="W361" s="274">
        <f>16000+16000-118000</f>
        <v>-86000</v>
      </c>
      <c r="X361" s="274">
        <f t="shared" ref="X361:X372" si="654">SUM(T361:W361)</f>
        <v>72000</v>
      </c>
      <c r="Y361" s="274">
        <f t="shared" ref="Y361:Y372" si="655">I361-N361</f>
        <v>0</v>
      </c>
      <c r="Z361" s="274">
        <f t="shared" ref="Z361:Z372" si="656">N361-S361</f>
        <v>0</v>
      </c>
      <c r="AA361" s="274"/>
      <c r="AB361" s="306">
        <f t="shared" ref="AB361:AB372" si="657">+S361-X361-AA361</f>
        <v>0</v>
      </c>
    </row>
    <row r="362" spans="1:91" s="90" customFormat="1" ht="14.1" customHeight="1" x14ac:dyDescent="0.2">
      <c r="A362" s="301"/>
      <c r="B362" s="349" t="s">
        <v>290</v>
      </c>
      <c r="C362" s="101"/>
      <c r="D362" s="101"/>
      <c r="E362" s="101"/>
      <c r="F362" s="370" t="s">
        <v>291</v>
      </c>
      <c r="G362" s="149"/>
      <c r="H362" s="149"/>
      <c r="I362" s="329">
        <f t="shared" si="651"/>
        <v>0</v>
      </c>
      <c r="J362" s="329">
        <f t="shared" si="652"/>
        <v>0</v>
      </c>
      <c r="K362" s="274"/>
      <c r="L362" s="274"/>
      <c r="M362" s="274"/>
      <c r="N362" s="275">
        <f t="shared" ref="N362:N372" si="658">J362+K362-L362+M362</f>
        <v>0</v>
      </c>
      <c r="O362" s="274">
        <v>15000</v>
      </c>
      <c r="P362" s="274">
        <f>5000+5000+5000</f>
        <v>15000</v>
      </c>
      <c r="Q362" s="274">
        <f>5000+5000+5000</f>
        <v>15000</v>
      </c>
      <c r="R362" s="274">
        <f t="shared" ref="R362:R363" si="659">10000+5000-60000</f>
        <v>-45000</v>
      </c>
      <c r="S362" s="274">
        <f t="shared" si="653"/>
        <v>0</v>
      </c>
      <c r="T362" s="274">
        <v>15000</v>
      </c>
      <c r="U362" s="274">
        <f t="shared" ref="U362:V363" si="660">5000+5000+5000</f>
        <v>15000</v>
      </c>
      <c r="V362" s="274">
        <f t="shared" si="660"/>
        <v>15000</v>
      </c>
      <c r="W362" s="274">
        <f t="shared" ref="W362:W363" si="661">5000+5000+5000-60000</f>
        <v>-45000</v>
      </c>
      <c r="X362" s="274">
        <f t="shared" si="654"/>
        <v>0</v>
      </c>
      <c r="Y362" s="274">
        <f t="shared" si="655"/>
        <v>0</v>
      </c>
      <c r="Z362" s="274">
        <f t="shared" si="656"/>
        <v>0</v>
      </c>
      <c r="AA362" s="274"/>
      <c r="AB362" s="306">
        <f t="shared" si="657"/>
        <v>0</v>
      </c>
    </row>
    <row r="363" spans="1:91" s="90" customFormat="1" ht="14.1" customHeight="1" x14ac:dyDescent="0.2">
      <c r="A363" s="301"/>
      <c r="B363" s="349" t="s">
        <v>292</v>
      </c>
      <c r="C363" s="101"/>
      <c r="D363" s="101"/>
      <c r="E363" s="101"/>
      <c r="F363" s="370" t="s">
        <v>293</v>
      </c>
      <c r="G363" s="149"/>
      <c r="H363" s="149"/>
      <c r="I363" s="329">
        <f t="shared" si="651"/>
        <v>0</v>
      </c>
      <c r="J363" s="329">
        <f t="shared" si="652"/>
        <v>0</v>
      </c>
      <c r="K363" s="274"/>
      <c r="L363" s="274"/>
      <c r="M363" s="274"/>
      <c r="N363" s="275">
        <f t="shared" si="658"/>
        <v>0</v>
      </c>
      <c r="O363" s="274">
        <v>15000</v>
      </c>
      <c r="P363" s="274">
        <f>5000+5000+5000</f>
        <v>15000</v>
      </c>
      <c r="Q363" s="274">
        <f>5000+5000+5000</f>
        <v>15000</v>
      </c>
      <c r="R363" s="274">
        <f t="shared" si="659"/>
        <v>-45000</v>
      </c>
      <c r="S363" s="274">
        <f t="shared" si="653"/>
        <v>0</v>
      </c>
      <c r="T363" s="274">
        <v>15000</v>
      </c>
      <c r="U363" s="274">
        <f t="shared" si="660"/>
        <v>15000</v>
      </c>
      <c r="V363" s="274">
        <f t="shared" si="660"/>
        <v>15000</v>
      </c>
      <c r="W363" s="274">
        <f t="shared" si="661"/>
        <v>-45000</v>
      </c>
      <c r="X363" s="274">
        <f t="shared" si="654"/>
        <v>0</v>
      </c>
      <c r="Y363" s="274">
        <f t="shared" si="655"/>
        <v>0</v>
      </c>
      <c r="Z363" s="274">
        <f t="shared" si="656"/>
        <v>0</v>
      </c>
      <c r="AA363" s="274"/>
      <c r="AB363" s="306">
        <f t="shared" si="657"/>
        <v>0</v>
      </c>
    </row>
    <row r="364" spans="1:91" s="90" customFormat="1" ht="14.1" customHeight="1" x14ac:dyDescent="0.2">
      <c r="A364" s="301"/>
      <c r="B364" s="349" t="s">
        <v>294</v>
      </c>
      <c r="C364" s="101"/>
      <c r="D364" s="101"/>
      <c r="E364" s="101"/>
      <c r="F364" s="370" t="s">
        <v>295</v>
      </c>
      <c r="G364" s="149">
        <v>15000</v>
      </c>
      <c r="H364" s="149"/>
      <c r="I364" s="329">
        <f t="shared" si="651"/>
        <v>15000</v>
      </c>
      <c r="J364" s="329">
        <f t="shared" si="652"/>
        <v>15000</v>
      </c>
      <c r="K364" s="274"/>
      <c r="L364" s="274"/>
      <c r="M364" s="274"/>
      <c r="N364" s="275">
        <f t="shared" si="658"/>
        <v>15000</v>
      </c>
      <c r="O364" s="274">
        <v>40000</v>
      </c>
      <c r="P364" s="274"/>
      <c r="Q364" s="274"/>
      <c r="R364" s="274">
        <v>-25000</v>
      </c>
      <c r="S364" s="274">
        <f t="shared" si="653"/>
        <v>15000</v>
      </c>
      <c r="T364" s="274">
        <v>40000</v>
      </c>
      <c r="U364" s="274"/>
      <c r="V364" s="274"/>
      <c r="W364" s="274">
        <v>-25000</v>
      </c>
      <c r="X364" s="274">
        <f t="shared" si="654"/>
        <v>15000</v>
      </c>
      <c r="Y364" s="274">
        <f t="shared" si="655"/>
        <v>0</v>
      </c>
      <c r="Z364" s="274">
        <f t="shared" si="656"/>
        <v>0</v>
      </c>
      <c r="AA364" s="274"/>
      <c r="AB364" s="306">
        <f t="shared" si="657"/>
        <v>0</v>
      </c>
    </row>
    <row r="365" spans="1:91" s="90" customFormat="1" ht="14.1" customHeight="1" x14ac:dyDescent="0.2">
      <c r="A365" s="301"/>
      <c r="B365" s="349" t="s">
        <v>814</v>
      </c>
      <c r="C365" s="864"/>
      <c r="D365" s="864"/>
      <c r="E365" s="864"/>
      <c r="F365" s="370" t="s">
        <v>815</v>
      </c>
      <c r="G365" s="149"/>
      <c r="H365" s="149"/>
      <c r="I365" s="660">
        <f t="shared" si="651"/>
        <v>0</v>
      </c>
      <c r="J365" s="660">
        <f t="shared" si="652"/>
        <v>0</v>
      </c>
      <c r="K365" s="662"/>
      <c r="L365" s="662"/>
      <c r="M365" s="662"/>
      <c r="N365" s="661">
        <f t="shared" si="658"/>
        <v>0</v>
      </c>
      <c r="O365" s="869"/>
      <c r="P365" s="662"/>
      <c r="Q365" s="662"/>
      <c r="R365" s="662"/>
      <c r="S365" s="662">
        <f t="shared" si="653"/>
        <v>0</v>
      </c>
      <c r="T365" s="662"/>
      <c r="U365" s="662"/>
      <c r="V365" s="662"/>
      <c r="W365" s="662"/>
      <c r="X365" s="662">
        <f t="shared" si="654"/>
        <v>0</v>
      </c>
      <c r="Y365" s="662">
        <f t="shared" si="655"/>
        <v>0</v>
      </c>
      <c r="Z365" s="662">
        <f t="shared" si="656"/>
        <v>0</v>
      </c>
      <c r="AA365" s="662"/>
      <c r="AB365" s="663">
        <f t="shared" si="657"/>
        <v>0</v>
      </c>
    </row>
    <row r="366" spans="1:91" s="90" customFormat="1" ht="14.1" customHeight="1" x14ac:dyDescent="0.2">
      <c r="A366" s="301"/>
      <c r="B366" s="349" t="s">
        <v>816</v>
      </c>
      <c r="C366" s="864"/>
      <c r="D366" s="864"/>
      <c r="E366" s="864"/>
      <c r="F366" s="370" t="s">
        <v>817</v>
      </c>
      <c r="G366" s="149"/>
      <c r="H366" s="149"/>
      <c r="I366" s="660">
        <f t="shared" si="651"/>
        <v>0</v>
      </c>
      <c r="J366" s="660">
        <f t="shared" si="652"/>
        <v>0</v>
      </c>
      <c r="K366" s="662"/>
      <c r="L366" s="662"/>
      <c r="M366" s="662"/>
      <c r="N366" s="661">
        <f t="shared" si="658"/>
        <v>0</v>
      </c>
      <c r="O366" s="869"/>
      <c r="P366" s="662"/>
      <c r="Q366" s="662"/>
      <c r="R366" s="662"/>
      <c r="S366" s="662">
        <f t="shared" si="653"/>
        <v>0</v>
      </c>
      <c r="T366" s="662"/>
      <c r="U366" s="662"/>
      <c r="V366" s="662"/>
      <c r="W366" s="662"/>
      <c r="X366" s="662">
        <f t="shared" si="654"/>
        <v>0</v>
      </c>
      <c r="Y366" s="662">
        <f t="shared" si="655"/>
        <v>0</v>
      </c>
      <c r="Z366" s="662">
        <f t="shared" si="656"/>
        <v>0</v>
      </c>
      <c r="AA366" s="662"/>
      <c r="AB366" s="663">
        <f t="shared" si="657"/>
        <v>0</v>
      </c>
    </row>
    <row r="367" spans="1:91" s="90" customFormat="1" ht="14.1" customHeight="1" x14ac:dyDescent="0.2">
      <c r="A367" s="301"/>
      <c r="B367" s="349" t="s">
        <v>296</v>
      </c>
      <c r="C367" s="101"/>
      <c r="D367" s="101"/>
      <c r="E367" s="101"/>
      <c r="F367" s="370" t="s">
        <v>297</v>
      </c>
      <c r="G367" s="149"/>
      <c r="H367" s="149"/>
      <c r="I367" s="329">
        <f t="shared" si="651"/>
        <v>0</v>
      </c>
      <c r="J367" s="329">
        <f t="shared" si="652"/>
        <v>0</v>
      </c>
      <c r="K367" s="274"/>
      <c r="L367" s="274"/>
      <c r="M367" s="274"/>
      <c r="N367" s="275">
        <f t="shared" si="658"/>
        <v>0</v>
      </c>
      <c r="O367" s="274"/>
      <c r="P367" s="274"/>
      <c r="Q367" s="274"/>
      <c r="R367" s="274"/>
      <c r="S367" s="274">
        <f t="shared" si="653"/>
        <v>0</v>
      </c>
      <c r="T367" s="274"/>
      <c r="U367" s="274"/>
      <c r="V367" s="274"/>
      <c r="W367" s="274"/>
      <c r="X367" s="274">
        <f t="shared" si="654"/>
        <v>0</v>
      </c>
      <c r="Y367" s="274">
        <f t="shared" si="655"/>
        <v>0</v>
      </c>
      <c r="Z367" s="274">
        <f t="shared" si="656"/>
        <v>0</v>
      </c>
      <c r="AA367" s="274"/>
      <c r="AB367" s="306">
        <f t="shared" si="657"/>
        <v>0</v>
      </c>
    </row>
    <row r="368" spans="1:91" s="90" customFormat="1" ht="14.1" customHeight="1" x14ac:dyDescent="0.2">
      <c r="A368" s="301"/>
      <c r="B368" s="349" t="s">
        <v>298</v>
      </c>
      <c r="C368" s="101"/>
      <c r="D368" s="101"/>
      <c r="E368" s="101"/>
      <c r="F368" s="370" t="s">
        <v>299</v>
      </c>
      <c r="G368" s="149"/>
      <c r="H368" s="149"/>
      <c r="I368" s="329">
        <f t="shared" si="651"/>
        <v>0</v>
      </c>
      <c r="J368" s="329">
        <f t="shared" si="652"/>
        <v>0</v>
      </c>
      <c r="K368" s="274"/>
      <c r="L368" s="274"/>
      <c r="M368" s="274"/>
      <c r="N368" s="275">
        <f t="shared" si="658"/>
        <v>0</v>
      </c>
      <c r="O368" s="274"/>
      <c r="P368" s="274"/>
      <c r="Q368" s="274"/>
      <c r="R368" s="274">
        <f>5000-5000</f>
        <v>0</v>
      </c>
      <c r="S368" s="274">
        <f t="shared" si="653"/>
        <v>0</v>
      </c>
      <c r="T368" s="274"/>
      <c r="U368" s="274"/>
      <c r="V368" s="274"/>
      <c r="W368" s="274">
        <f>5000-5000</f>
        <v>0</v>
      </c>
      <c r="X368" s="274">
        <f t="shared" si="654"/>
        <v>0</v>
      </c>
      <c r="Y368" s="274">
        <f t="shared" si="655"/>
        <v>0</v>
      </c>
      <c r="Z368" s="274">
        <f t="shared" si="656"/>
        <v>0</v>
      </c>
      <c r="AA368" s="274"/>
      <c r="AB368" s="306">
        <f t="shared" si="657"/>
        <v>0</v>
      </c>
    </row>
    <row r="369" spans="1:28" s="90" customFormat="1" ht="14.1" customHeight="1" x14ac:dyDescent="0.2">
      <c r="A369" s="301"/>
      <c r="B369" s="349" t="s">
        <v>300</v>
      </c>
      <c r="C369" s="101"/>
      <c r="D369" s="101"/>
      <c r="E369" s="101"/>
      <c r="F369" s="370" t="s">
        <v>301</v>
      </c>
      <c r="G369" s="149">
        <v>111000</v>
      </c>
      <c r="H369" s="149"/>
      <c r="I369" s="329">
        <f t="shared" si="651"/>
        <v>111000</v>
      </c>
      <c r="J369" s="329">
        <f t="shared" si="652"/>
        <v>111000</v>
      </c>
      <c r="K369" s="274"/>
      <c r="L369" s="274"/>
      <c r="M369" s="274"/>
      <c r="N369" s="275">
        <f t="shared" si="658"/>
        <v>111000</v>
      </c>
      <c r="O369" s="274"/>
      <c r="P369" s="274">
        <v>249912</v>
      </c>
      <c r="Q369" s="274"/>
      <c r="R369" s="274">
        <v>-138912</v>
      </c>
      <c r="S369" s="274">
        <f t="shared" si="653"/>
        <v>111000</v>
      </c>
      <c r="T369" s="274"/>
      <c r="U369" s="274">
        <v>249912</v>
      </c>
      <c r="V369" s="274"/>
      <c r="W369" s="274">
        <v>-138912</v>
      </c>
      <c r="X369" s="274">
        <f t="shared" si="654"/>
        <v>111000</v>
      </c>
      <c r="Y369" s="274">
        <f t="shared" si="655"/>
        <v>0</v>
      </c>
      <c r="Z369" s="274">
        <f t="shared" si="656"/>
        <v>0</v>
      </c>
      <c r="AA369" s="274"/>
      <c r="AB369" s="306">
        <f t="shared" si="657"/>
        <v>0</v>
      </c>
    </row>
    <row r="370" spans="1:28" s="90" customFormat="1" ht="14.1" customHeight="1" x14ac:dyDescent="0.2">
      <c r="A370" s="301"/>
      <c r="B370" s="349" t="s">
        <v>302</v>
      </c>
      <c r="C370" s="101"/>
      <c r="D370" s="101"/>
      <c r="E370" s="101"/>
      <c r="F370" s="370" t="s">
        <v>303</v>
      </c>
      <c r="G370" s="149">
        <v>15000</v>
      </c>
      <c r="H370" s="149"/>
      <c r="I370" s="329">
        <f t="shared" si="651"/>
        <v>15000</v>
      </c>
      <c r="J370" s="329">
        <f t="shared" si="652"/>
        <v>15000</v>
      </c>
      <c r="K370" s="274"/>
      <c r="L370" s="274"/>
      <c r="M370" s="274"/>
      <c r="N370" s="275">
        <f t="shared" si="658"/>
        <v>15000</v>
      </c>
      <c r="O370" s="274"/>
      <c r="P370" s="274"/>
      <c r="Q370" s="274"/>
      <c r="R370" s="274">
        <f>40000-25000</f>
        <v>15000</v>
      </c>
      <c r="S370" s="274">
        <f t="shared" si="653"/>
        <v>15000</v>
      </c>
      <c r="T370" s="274"/>
      <c r="U370" s="274"/>
      <c r="V370" s="274"/>
      <c r="W370" s="274">
        <f>40000-25000</f>
        <v>15000</v>
      </c>
      <c r="X370" s="274">
        <f t="shared" si="654"/>
        <v>15000</v>
      </c>
      <c r="Y370" s="274">
        <f t="shared" si="655"/>
        <v>0</v>
      </c>
      <c r="Z370" s="274">
        <f t="shared" si="656"/>
        <v>0</v>
      </c>
      <c r="AA370" s="274"/>
      <c r="AB370" s="306">
        <f t="shared" si="657"/>
        <v>0</v>
      </c>
    </row>
    <row r="371" spans="1:28" s="90" customFormat="1" ht="14.1" customHeight="1" x14ac:dyDescent="0.2">
      <c r="A371" s="301"/>
      <c r="B371" s="349" t="s">
        <v>304</v>
      </c>
      <c r="C371" s="744"/>
      <c r="D371" s="744"/>
      <c r="E371" s="744"/>
      <c r="F371" s="370" t="s">
        <v>305</v>
      </c>
      <c r="G371" s="149"/>
      <c r="H371" s="149"/>
      <c r="I371" s="329">
        <f t="shared" ref="I371" si="662">G371+H371</f>
        <v>0</v>
      </c>
      <c r="J371" s="329">
        <f t="shared" ref="J371" si="663">I371</f>
        <v>0</v>
      </c>
      <c r="K371" s="274">
        <v>975000</v>
      </c>
      <c r="L371" s="274"/>
      <c r="M371" s="274"/>
      <c r="N371" s="275">
        <f t="shared" si="658"/>
        <v>975000</v>
      </c>
      <c r="O371" s="274"/>
      <c r="P371" s="274"/>
      <c r="Q371" s="274"/>
      <c r="R371" s="274">
        <v>975000</v>
      </c>
      <c r="S371" s="274">
        <f t="shared" ref="S371" si="664">SUM(O371:R371)</f>
        <v>975000</v>
      </c>
      <c r="T371" s="274"/>
      <c r="U371" s="274"/>
      <c r="V371" s="274"/>
      <c r="W371" s="274">
        <v>975000</v>
      </c>
      <c r="X371" s="274">
        <f t="shared" ref="X371" si="665">SUM(T371:W371)</f>
        <v>975000</v>
      </c>
      <c r="Y371" s="274">
        <f t="shared" ref="Y371" si="666">I371-N371</f>
        <v>-975000</v>
      </c>
      <c r="Z371" s="274">
        <f t="shared" ref="Z371" si="667">N371-S371</f>
        <v>0</v>
      </c>
      <c r="AA371" s="274"/>
      <c r="AB371" s="306">
        <f t="shared" ref="AB371" si="668">+S371-X371-AA371</f>
        <v>0</v>
      </c>
    </row>
    <row r="372" spans="1:28" s="90" customFormat="1" ht="14.1" customHeight="1" x14ac:dyDescent="0.2">
      <c r="A372" s="301"/>
      <c r="B372" s="349" t="s">
        <v>735</v>
      </c>
      <c r="C372" s="101"/>
      <c r="D372" s="101"/>
      <c r="E372" s="101"/>
      <c r="F372" s="370" t="s">
        <v>486</v>
      </c>
      <c r="G372" s="149">
        <v>15000</v>
      </c>
      <c r="H372" s="149"/>
      <c r="I372" s="329">
        <f t="shared" si="651"/>
        <v>15000</v>
      </c>
      <c r="J372" s="329">
        <f t="shared" si="652"/>
        <v>15000</v>
      </c>
      <c r="K372" s="274"/>
      <c r="L372" s="274"/>
      <c r="M372" s="274"/>
      <c r="N372" s="275">
        <f t="shared" si="658"/>
        <v>15000</v>
      </c>
      <c r="O372" s="274"/>
      <c r="P372" s="274"/>
      <c r="Q372" s="274"/>
      <c r="R372" s="274">
        <f>40000-25000</f>
        <v>15000</v>
      </c>
      <c r="S372" s="274">
        <f t="shared" si="653"/>
        <v>15000</v>
      </c>
      <c r="T372" s="274"/>
      <c r="U372" s="274"/>
      <c r="V372" s="274"/>
      <c r="W372" s="274">
        <f>40000-25000</f>
        <v>15000</v>
      </c>
      <c r="X372" s="274">
        <f t="shared" si="654"/>
        <v>15000</v>
      </c>
      <c r="Y372" s="274">
        <f t="shared" si="655"/>
        <v>0</v>
      </c>
      <c r="Z372" s="274">
        <f t="shared" si="656"/>
        <v>0</v>
      </c>
      <c r="AA372" s="274"/>
      <c r="AB372" s="306">
        <f t="shared" si="657"/>
        <v>0</v>
      </c>
    </row>
    <row r="373" spans="1:28" s="90" customFormat="1" ht="14.1" customHeight="1" x14ac:dyDescent="0.2">
      <c r="A373" s="301"/>
      <c r="B373" s="348" t="s">
        <v>306</v>
      </c>
      <c r="C373" s="101"/>
      <c r="D373" s="101"/>
      <c r="E373" s="101"/>
      <c r="F373" s="370"/>
      <c r="G373" s="149"/>
      <c r="H373" s="149"/>
      <c r="I373" s="149"/>
      <c r="J373" s="14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  <c r="AA373" s="159"/>
      <c r="AB373" s="583"/>
    </row>
    <row r="374" spans="1:28" s="90" customFormat="1" ht="14.1" customHeight="1" x14ac:dyDescent="0.2">
      <c r="A374" s="301"/>
      <c r="B374" s="349" t="s">
        <v>307</v>
      </c>
      <c r="C374" s="101"/>
      <c r="D374" s="101"/>
      <c r="E374" s="101"/>
      <c r="F374" s="370" t="s">
        <v>308</v>
      </c>
      <c r="G374" s="149">
        <v>4000</v>
      </c>
      <c r="H374" s="149"/>
      <c r="I374" s="329">
        <f t="shared" ref="I374:I376" si="669">G374+H374</f>
        <v>4000</v>
      </c>
      <c r="J374" s="329">
        <f t="shared" ref="J374:J376" si="670">I374</f>
        <v>4000</v>
      </c>
      <c r="K374" s="274"/>
      <c r="L374" s="274"/>
      <c r="M374" s="274"/>
      <c r="N374" s="275">
        <f t="shared" ref="N374:N376" si="671">J374+K374-L374+M374</f>
        <v>4000</v>
      </c>
      <c r="O374" s="274">
        <v>3100</v>
      </c>
      <c r="P374" s="274">
        <f>800+800+800</f>
        <v>2400</v>
      </c>
      <c r="Q374" s="274">
        <f>800+800+800</f>
        <v>2400</v>
      </c>
      <c r="R374" s="274">
        <f>1600-5500</f>
        <v>-3900</v>
      </c>
      <c r="S374" s="274">
        <f t="shared" ref="S374:S376" si="672">SUM(O374:R374)</f>
        <v>4000</v>
      </c>
      <c r="T374" s="274">
        <v>2300</v>
      </c>
      <c r="U374" s="274">
        <f>800+800+800</f>
        <v>2400</v>
      </c>
      <c r="V374" s="274">
        <f>800+800+800</f>
        <v>2400</v>
      </c>
      <c r="W374" s="274">
        <f>1600+800-5500</f>
        <v>-3100</v>
      </c>
      <c r="X374" s="274">
        <f t="shared" ref="X374:X376" si="673">SUM(T374:W374)</f>
        <v>4000</v>
      </c>
      <c r="Y374" s="274">
        <f t="shared" ref="Y374:Y376" si="674">I374-N374</f>
        <v>0</v>
      </c>
      <c r="Z374" s="274">
        <f t="shared" ref="Z374:Z376" si="675">N374-S374</f>
        <v>0</v>
      </c>
      <c r="AA374" s="274"/>
      <c r="AB374" s="306">
        <f t="shared" ref="AB374:AB376" si="676">+S374-X374-AA374</f>
        <v>0</v>
      </c>
    </row>
    <row r="375" spans="1:28" s="90" customFormat="1" ht="14.1" customHeight="1" x14ac:dyDescent="0.2">
      <c r="A375" s="301"/>
      <c r="B375" s="349" t="s">
        <v>309</v>
      </c>
      <c r="C375" s="101"/>
      <c r="D375" s="101"/>
      <c r="E375" s="101"/>
      <c r="F375" s="370" t="s">
        <v>310</v>
      </c>
      <c r="G375" s="149">
        <v>11000</v>
      </c>
      <c r="H375" s="149"/>
      <c r="I375" s="329">
        <f t="shared" si="669"/>
        <v>11000</v>
      </c>
      <c r="J375" s="329">
        <f t="shared" si="670"/>
        <v>11000</v>
      </c>
      <c r="K375" s="274"/>
      <c r="L375" s="274"/>
      <c r="M375" s="274"/>
      <c r="N375" s="275">
        <f t="shared" si="671"/>
        <v>11000</v>
      </c>
      <c r="O375" s="274">
        <v>9725</v>
      </c>
      <c r="P375" s="274">
        <f>2525+2525+2525</f>
        <v>7575</v>
      </c>
      <c r="Q375" s="274">
        <f>2525+2525+2525</f>
        <v>7575</v>
      </c>
      <c r="R375" s="274">
        <f>5050-18925</f>
        <v>-13875</v>
      </c>
      <c r="S375" s="274">
        <f t="shared" si="672"/>
        <v>11000</v>
      </c>
      <c r="T375" s="274">
        <v>7200</v>
      </c>
      <c r="U375" s="274">
        <f>2525+2525+2525</f>
        <v>7575</v>
      </c>
      <c r="V375" s="274">
        <f>2525+2525+2525</f>
        <v>7575</v>
      </c>
      <c r="W375" s="274">
        <f>5050+2525-18925</f>
        <v>-11350</v>
      </c>
      <c r="X375" s="274">
        <f t="shared" si="673"/>
        <v>11000</v>
      </c>
      <c r="Y375" s="274">
        <f t="shared" si="674"/>
        <v>0</v>
      </c>
      <c r="Z375" s="274">
        <f t="shared" si="675"/>
        <v>0</v>
      </c>
      <c r="AA375" s="274"/>
      <c r="AB375" s="306">
        <f t="shared" si="676"/>
        <v>0</v>
      </c>
    </row>
    <row r="376" spans="1:28" s="90" customFormat="1" ht="14.1" customHeight="1" x14ac:dyDescent="0.2">
      <c r="A376" s="301"/>
      <c r="B376" s="349" t="s">
        <v>311</v>
      </c>
      <c r="C376" s="101"/>
      <c r="D376" s="101"/>
      <c r="E376" s="101"/>
      <c r="F376" s="370" t="s">
        <v>312</v>
      </c>
      <c r="G376" s="149">
        <v>4000</v>
      </c>
      <c r="H376" s="149"/>
      <c r="I376" s="329">
        <f t="shared" si="669"/>
        <v>4000</v>
      </c>
      <c r="J376" s="329">
        <f t="shared" si="670"/>
        <v>4000</v>
      </c>
      <c r="K376" s="274"/>
      <c r="L376" s="274"/>
      <c r="M376" s="274"/>
      <c r="N376" s="275">
        <f t="shared" si="671"/>
        <v>4000</v>
      </c>
      <c r="O376" s="274">
        <v>3100</v>
      </c>
      <c r="P376" s="274">
        <f>800+800+800</f>
        <v>2400</v>
      </c>
      <c r="Q376" s="274">
        <f>800+800+800</f>
        <v>2400</v>
      </c>
      <c r="R376" s="274">
        <f>1600-5500</f>
        <v>-3900</v>
      </c>
      <c r="S376" s="274">
        <f t="shared" si="672"/>
        <v>4000</v>
      </c>
      <c r="T376" s="274">
        <v>2300</v>
      </c>
      <c r="U376" s="274">
        <f>800+800+800</f>
        <v>2400</v>
      </c>
      <c r="V376" s="274">
        <f>800+800+800+800</f>
        <v>3200</v>
      </c>
      <c r="W376" s="274">
        <f>1600-5500</f>
        <v>-3900</v>
      </c>
      <c r="X376" s="274">
        <f t="shared" si="673"/>
        <v>4000</v>
      </c>
      <c r="Y376" s="274">
        <f t="shared" si="674"/>
        <v>0</v>
      </c>
      <c r="Z376" s="274">
        <f t="shared" si="675"/>
        <v>0</v>
      </c>
      <c r="AA376" s="274"/>
      <c r="AB376" s="306">
        <f t="shared" si="676"/>
        <v>0</v>
      </c>
    </row>
    <row r="377" spans="1:28" s="90" customFormat="1" ht="14.1" customHeight="1" x14ac:dyDescent="0.2">
      <c r="A377" s="301"/>
      <c r="B377" s="348" t="s">
        <v>313</v>
      </c>
      <c r="C377" s="101"/>
      <c r="D377" s="101"/>
      <c r="E377" s="101"/>
      <c r="F377" s="370"/>
      <c r="G377" s="149"/>
      <c r="H377" s="149"/>
      <c r="I377" s="149"/>
      <c r="J377" s="14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583"/>
    </row>
    <row r="378" spans="1:28" s="90" customFormat="1" ht="14.1" customHeight="1" x14ac:dyDescent="0.2">
      <c r="A378" s="301"/>
      <c r="B378" s="349" t="s">
        <v>314</v>
      </c>
      <c r="C378" s="101"/>
      <c r="D378" s="101"/>
      <c r="E378" s="101"/>
      <c r="F378" s="370" t="s">
        <v>315</v>
      </c>
      <c r="G378" s="149">
        <v>3000</v>
      </c>
      <c r="H378" s="149"/>
      <c r="I378" s="329">
        <f t="shared" ref="I378:I379" si="677">G378+H378</f>
        <v>3000</v>
      </c>
      <c r="J378" s="329">
        <f t="shared" ref="J378:J379" si="678">I378</f>
        <v>3000</v>
      </c>
      <c r="K378" s="274"/>
      <c r="L378" s="274"/>
      <c r="M378" s="274"/>
      <c r="N378" s="275">
        <f t="shared" ref="N378:N379" si="679">J378+K378-L378+M378</f>
        <v>3000</v>
      </c>
      <c r="O378" s="274"/>
      <c r="P378" s="274"/>
      <c r="Q378" s="274"/>
      <c r="R378" s="274"/>
      <c r="S378" s="274">
        <f t="shared" ref="S378:S379" si="680">SUM(O378:R378)</f>
        <v>0</v>
      </c>
      <c r="T378" s="274"/>
      <c r="U378" s="274"/>
      <c r="V378" s="274"/>
      <c r="W378" s="274"/>
      <c r="X378" s="274">
        <f t="shared" ref="X378:X379" si="681">SUM(T378:W378)</f>
        <v>0</v>
      </c>
      <c r="Y378" s="274">
        <f t="shared" ref="Y378:Y379" si="682">I378-N378</f>
        <v>0</v>
      </c>
      <c r="Z378" s="274">
        <f t="shared" ref="Z378:Z379" si="683">N378-S378</f>
        <v>3000</v>
      </c>
      <c r="AA378" s="274"/>
      <c r="AB378" s="306">
        <f t="shared" ref="AB378:AB379" si="684">+S378-X378-AA378</f>
        <v>0</v>
      </c>
    </row>
    <row r="379" spans="1:28" s="90" customFormat="1" ht="14.1" customHeight="1" x14ac:dyDescent="0.2">
      <c r="A379" s="301"/>
      <c r="B379" s="349" t="s">
        <v>716</v>
      </c>
      <c r="C379" s="615"/>
      <c r="D379" s="615"/>
      <c r="E379" s="615"/>
      <c r="F379" s="370" t="s">
        <v>488</v>
      </c>
      <c r="G379" s="149"/>
      <c r="H379" s="149"/>
      <c r="I379" s="329">
        <f t="shared" si="677"/>
        <v>0</v>
      </c>
      <c r="J379" s="329">
        <f t="shared" si="678"/>
        <v>0</v>
      </c>
      <c r="K379" s="274"/>
      <c r="L379" s="274"/>
      <c r="M379" s="274"/>
      <c r="N379" s="275">
        <f t="shared" si="679"/>
        <v>0</v>
      </c>
      <c r="O379" s="274"/>
      <c r="P379" s="274"/>
      <c r="Q379" s="274"/>
      <c r="R379" s="274"/>
      <c r="S379" s="274">
        <f t="shared" si="680"/>
        <v>0</v>
      </c>
      <c r="T379" s="274"/>
      <c r="U379" s="274"/>
      <c r="V379" s="274"/>
      <c r="W379" s="274"/>
      <c r="X379" s="274">
        <f t="shared" si="681"/>
        <v>0</v>
      </c>
      <c r="Y379" s="274">
        <f t="shared" si="682"/>
        <v>0</v>
      </c>
      <c r="Z379" s="274">
        <f t="shared" si="683"/>
        <v>0</v>
      </c>
      <c r="AA379" s="274"/>
      <c r="AB379" s="306">
        <f t="shared" si="684"/>
        <v>0</v>
      </c>
    </row>
    <row r="380" spans="1:28" s="90" customFormat="1" ht="14.1" customHeight="1" x14ac:dyDescent="0.2">
      <c r="A380" s="301"/>
      <c r="B380" s="349"/>
      <c r="C380" s="615"/>
      <c r="D380" s="615"/>
      <c r="E380" s="615"/>
      <c r="F380" s="370"/>
      <c r="G380" s="149"/>
      <c r="H380" s="149"/>
      <c r="I380" s="329"/>
      <c r="J380" s="329"/>
      <c r="K380" s="323"/>
      <c r="L380" s="323"/>
      <c r="M380" s="323"/>
      <c r="N380" s="329"/>
      <c r="O380" s="323"/>
      <c r="P380" s="323"/>
      <c r="Q380" s="323"/>
      <c r="R380" s="323"/>
      <c r="S380" s="323"/>
      <c r="T380" s="323"/>
      <c r="U380" s="323"/>
      <c r="V380" s="323"/>
      <c r="W380" s="323"/>
      <c r="X380" s="323"/>
      <c r="Y380" s="323"/>
      <c r="Z380" s="323"/>
      <c r="AA380" s="274"/>
      <c r="AB380" s="306"/>
    </row>
    <row r="381" spans="1:28" s="90" customFormat="1" ht="14.1" customHeight="1" x14ac:dyDescent="0.2">
      <c r="A381" s="301"/>
      <c r="B381" s="347" t="s">
        <v>316</v>
      </c>
      <c r="C381" s="101"/>
      <c r="D381" s="101"/>
      <c r="E381" s="101"/>
      <c r="F381" s="370"/>
      <c r="G381" s="321">
        <f t="shared" ref="G381" si="685">SUM(G383:G454)</f>
        <v>20816000</v>
      </c>
      <c r="H381" s="321">
        <f t="shared" ref="H381:AB381" si="686">SUM(H383:H454)</f>
        <v>0</v>
      </c>
      <c r="I381" s="321">
        <f t="shared" si="686"/>
        <v>20816000</v>
      </c>
      <c r="J381" s="321">
        <f t="shared" si="686"/>
        <v>20816000</v>
      </c>
      <c r="K381" s="321">
        <f t="shared" si="686"/>
        <v>-975000</v>
      </c>
      <c r="L381" s="321">
        <f t="shared" si="686"/>
        <v>0</v>
      </c>
      <c r="M381" s="321">
        <f t="shared" si="686"/>
        <v>263600</v>
      </c>
      <c r="N381" s="321">
        <f t="shared" si="686"/>
        <v>20104600</v>
      </c>
      <c r="O381" s="321">
        <f t="shared" si="686"/>
        <v>1035731.8099999999</v>
      </c>
      <c r="P381" s="321">
        <f t="shared" si="686"/>
        <v>1242745.28</v>
      </c>
      <c r="Q381" s="321">
        <f t="shared" si="686"/>
        <v>3454014.8000000003</v>
      </c>
      <c r="R381" s="321">
        <f t="shared" si="686"/>
        <v>11746334.33</v>
      </c>
      <c r="S381" s="321">
        <f t="shared" si="686"/>
        <v>17478826.219999999</v>
      </c>
      <c r="T381" s="321">
        <f t="shared" si="686"/>
        <v>835871.89</v>
      </c>
      <c r="U381" s="321">
        <f t="shared" si="686"/>
        <v>1442105.2</v>
      </c>
      <c r="V381" s="321">
        <f t="shared" si="686"/>
        <v>3280714.8000000003</v>
      </c>
      <c r="W381" s="321">
        <f t="shared" si="686"/>
        <v>10167030.739999998</v>
      </c>
      <c r="X381" s="321">
        <f t="shared" si="686"/>
        <v>15725722.629999999</v>
      </c>
      <c r="Y381" s="321">
        <f t="shared" si="686"/>
        <v>711400</v>
      </c>
      <c r="Z381" s="321">
        <f t="shared" si="686"/>
        <v>2625773.7800000003</v>
      </c>
      <c r="AA381" s="332">
        <f t="shared" ref="AA381" si="687">SUM(AA383:AA454)</f>
        <v>200</v>
      </c>
      <c r="AB381" s="302">
        <f t="shared" si="686"/>
        <v>1752903.5900000015</v>
      </c>
    </row>
    <row r="382" spans="1:28" s="90" customFormat="1" ht="14.1" customHeight="1" x14ac:dyDescent="0.2">
      <c r="A382" s="301"/>
      <c r="B382" s="348" t="s">
        <v>317</v>
      </c>
      <c r="C382" s="101"/>
      <c r="D382" s="101"/>
      <c r="E382" s="101"/>
      <c r="F382" s="370"/>
      <c r="G382" s="321"/>
      <c r="H382" s="321"/>
      <c r="I382" s="321"/>
      <c r="J382" s="321"/>
      <c r="K382" s="332"/>
      <c r="L382" s="332"/>
      <c r="M382" s="332"/>
      <c r="N382" s="332"/>
      <c r="O382" s="332"/>
      <c r="P382" s="332"/>
      <c r="Q382" s="332"/>
      <c r="R382" s="332"/>
      <c r="S382" s="332"/>
      <c r="T382" s="332"/>
      <c r="U382" s="332"/>
      <c r="V382" s="332"/>
      <c r="W382" s="332"/>
      <c r="X382" s="332"/>
      <c r="Y382" s="332"/>
      <c r="Z382" s="332"/>
      <c r="AA382" s="332"/>
      <c r="AB382" s="302"/>
    </row>
    <row r="383" spans="1:28" s="90" customFormat="1" ht="14.1" customHeight="1" x14ac:dyDescent="0.2">
      <c r="A383" s="301"/>
      <c r="B383" s="350" t="s">
        <v>318</v>
      </c>
      <c r="C383" s="101"/>
      <c r="D383" s="101"/>
      <c r="E383" s="101"/>
      <c r="F383" s="370" t="s">
        <v>319</v>
      </c>
      <c r="G383" s="149">
        <f>1849000+6196000</f>
        <v>8045000</v>
      </c>
      <c r="H383" s="149"/>
      <c r="I383" s="329">
        <f t="shared" ref="I383:I384" si="688">G383+H383</f>
        <v>8045000</v>
      </c>
      <c r="J383" s="329">
        <f t="shared" ref="J383:J384" si="689">I383</f>
        <v>8045000</v>
      </c>
      <c r="K383" s="274">
        <v>-975000</v>
      </c>
      <c r="L383" s="274"/>
      <c r="M383" s="274"/>
      <c r="N383" s="275">
        <f t="shared" ref="N383:N384" si="690">J383+K383-L383+M383</f>
        <v>7070000</v>
      </c>
      <c r="O383" s="274">
        <v>246671.94</v>
      </c>
      <c r="P383" s="274">
        <f>138457+8585+18566+28540+16710+1821+11304.22+9213+13645.5+11592.16+2200+5110+12835+800</f>
        <v>279378.88</v>
      </c>
      <c r="Q383" s="274">
        <f>16329+3325.5+347759.2+5985+5760+1463+1115+5985+2258.5+3295+4499.5+8760+8760+8480+8480+4060+16329+1216.5+13392.46+745+775+13797+7106.14+14033.88+2551+2687+2434+17877+17440+17440+17920+4440+11600+11600+3275+1668.5+21200</f>
        <v>635842.18000000005</v>
      </c>
      <c r="R383" s="274">
        <f>1964677.74+7169+7542+9040+620+11440+11440+7374+2560+5398+12160+12405+3237+6787+19402.53+2920.12+225+13450+1098+4329+3033+585000+732+10937+2470+3515+4065+3087.5+1505+7363+2630+3920+888+12697+4045+2780+32724+3200000-2920.12+4906.44-975000+896454.79</f>
        <v>5908107.0000000009</v>
      </c>
      <c r="S383" s="274">
        <f t="shared" ref="S383:S384" si="691">SUM(O383:R383)</f>
        <v>7070000.0000000009</v>
      </c>
      <c r="T383" s="274">
        <v>246671.94</v>
      </c>
      <c r="U383" s="274">
        <f>138457+8585+18566+28540+16710+1821+11304.22+9213+13645.5+800+12835+5110+2200+11592.16</f>
        <v>279378.87999999995</v>
      </c>
      <c r="V383" s="274">
        <f>21200+1668.5+16329+3275+17920+4440+11600+11600+17877+17440+17440+2687+2434+2551+14033.88+7106.14+13797+775+745+13392.46+12721.66+8841+13670+13650+12950+18864+2604+13440+4759+1440+1440+10494+1040+16889+28872+1440+1205+1120+11502+11502+24112+14612+16329+42555+640+640+16329+1141+1190+1011.5+7917+8129.04+11130+13580+5985+5760+1463+1115+5985+2258.5+3295+4499.5+8760+8760+8480+8480+4060+16329+1216.5+3325.5</f>
        <v>635842.17999999993</v>
      </c>
      <c r="W383" s="274">
        <f>599677.74+7169+7542+9040+620+11440+11440+7374+2560+5398+12160+12405+6787+19402.53+225+13450+3237+975000+1098+4329+3033+585000+732+10937+2470+3515+4065+3087.5+1505+7363+2630+3920+888+12697+4045+2780+32724+3200000-975000</f>
        <v>4616745.7699999996</v>
      </c>
      <c r="X383" s="274">
        <f t="shared" ref="X383:X384" si="692">SUM(T383:W383)</f>
        <v>5778638.7699999996</v>
      </c>
      <c r="Y383" s="274">
        <f t="shared" ref="Y383:Y384" si="693">I383-N383</f>
        <v>975000</v>
      </c>
      <c r="Z383" s="274">
        <f t="shared" ref="Z383:Z384" si="694">N383-S383</f>
        <v>0</v>
      </c>
      <c r="AA383" s="274"/>
      <c r="AB383" s="306">
        <f t="shared" ref="AB383" si="695">+S383-X383-AA383</f>
        <v>1291361.2300000014</v>
      </c>
    </row>
    <row r="384" spans="1:28" s="90" customFormat="1" ht="14.1" hidden="1" customHeight="1" x14ac:dyDescent="0.2">
      <c r="A384" s="301"/>
      <c r="B384" s="350" t="s">
        <v>320</v>
      </c>
      <c r="C384" s="101"/>
      <c r="D384" s="101"/>
      <c r="E384" s="101"/>
      <c r="F384" s="370" t="s">
        <v>321</v>
      </c>
      <c r="G384" s="149"/>
      <c r="H384" s="149"/>
      <c r="I384" s="329">
        <f t="shared" si="688"/>
        <v>0</v>
      </c>
      <c r="J384" s="329">
        <f t="shared" si="689"/>
        <v>0</v>
      </c>
      <c r="K384" s="274"/>
      <c r="L384" s="274"/>
      <c r="M384" s="274"/>
      <c r="N384" s="275">
        <f t="shared" si="690"/>
        <v>0</v>
      </c>
      <c r="O384" s="274"/>
      <c r="P384" s="274"/>
      <c r="Q384" s="274"/>
      <c r="R384" s="274"/>
      <c r="S384" s="274">
        <f t="shared" si="691"/>
        <v>0</v>
      </c>
      <c r="T384" s="274"/>
      <c r="U384" s="274"/>
      <c r="V384" s="274"/>
      <c r="W384" s="274"/>
      <c r="X384" s="274">
        <f t="shared" si="692"/>
        <v>0</v>
      </c>
      <c r="Y384" s="274">
        <f t="shared" si="693"/>
        <v>0</v>
      </c>
      <c r="Z384" s="274">
        <f t="shared" si="694"/>
        <v>0</v>
      </c>
      <c r="AA384" s="274"/>
      <c r="AB384" s="306">
        <f t="shared" ref="AB384" si="696">+S384-X384-AA384</f>
        <v>0</v>
      </c>
    </row>
    <row r="385" spans="1:28" s="90" customFormat="1" ht="14.1" customHeight="1" x14ac:dyDescent="0.2">
      <c r="A385" s="301"/>
      <c r="B385" s="351" t="s">
        <v>322</v>
      </c>
      <c r="C385" s="101"/>
      <c r="D385" s="101"/>
      <c r="E385" s="101"/>
      <c r="F385" s="370"/>
      <c r="G385" s="149"/>
      <c r="H385" s="149"/>
      <c r="I385" s="149"/>
      <c r="J385" s="14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583"/>
    </row>
    <row r="386" spans="1:28" s="90" customFormat="1" ht="14.1" hidden="1" customHeight="1" x14ac:dyDescent="0.2">
      <c r="A386" s="301"/>
      <c r="B386" s="350" t="s">
        <v>323</v>
      </c>
      <c r="C386" s="101"/>
      <c r="D386" s="101"/>
      <c r="E386" s="101"/>
      <c r="F386" s="370" t="s">
        <v>324</v>
      </c>
      <c r="G386" s="149"/>
      <c r="H386" s="149"/>
      <c r="I386" s="329">
        <f t="shared" ref="I386:I388" si="697">G386+H386</f>
        <v>0</v>
      </c>
      <c r="J386" s="329">
        <f t="shared" ref="J386:J388" si="698">I386</f>
        <v>0</v>
      </c>
      <c r="K386" s="274"/>
      <c r="L386" s="274"/>
      <c r="M386" s="274"/>
      <c r="N386" s="275">
        <f t="shared" ref="N386:N388" si="699">J386+K386-L386+M386</f>
        <v>0</v>
      </c>
      <c r="O386" s="274"/>
      <c r="P386" s="274"/>
      <c r="Q386" s="274"/>
      <c r="R386" s="274"/>
      <c r="S386" s="274">
        <f t="shared" ref="S386:S388" si="700">SUM(O386:R386)</f>
        <v>0</v>
      </c>
      <c r="T386" s="274"/>
      <c r="U386" s="274"/>
      <c r="V386" s="274"/>
      <c r="W386" s="274"/>
      <c r="X386" s="274">
        <f t="shared" ref="X386:X388" si="701">SUM(T386:W386)</f>
        <v>0</v>
      </c>
      <c r="Y386" s="274">
        <f t="shared" ref="Y386:Y388" si="702">I386-N386</f>
        <v>0</v>
      </c>
      <c r="Z386" s="274">
        <f t="shared" ref="Z386:Z388" si="703">N386-S386</f>
        <v>0</v>
      </c>
      <c r="AA386" s="274"/>
      <c r="AB386" s="306">
        <f t="shared" ref="AB386:AB388" si="704">+S386-X386-AA386</f>
        <v>0</v>
      </c>
    </row>
    <row r="387" spans="1:28" s="90" customFormat="1" ht="14.1" hidden="1" customHeight="1" x14ac:dyDescent="0.2">
      <c r="A387" s="301"/>
      <c r="B387" s="350" t="s">
        <v>720</v>
      </c>
      <c r="C387" s="718"/>
      <c r="D387" s="718"/>
      <c r="E387" s="718"/>
      <c r="F387" s="370" t="s">
        <v>721</v>
      </c>
      <c r="G387" s="149"/>
      <c r="H387" s="149"/>
      <c r="I387" s="329">
        <f t="shared" ref="I387" si="705">G387+H387</f>
        <v>0</v>
      </c>
      <c r="J387" s="329">
        <f t="shared" ref="J387" si="706">I387</f>
        <v>0</v>
      </c>
      <c r="K387" s="274"/>
      <c r="L387" s="274"/>
      <c r="M387" s="274"/>
      <c r="N387" s="275">
        <f t="shared" si="699"/>
        <v>0</v>
      </c>
      <c r="O387" s="274"/>
      <c r="P387" s="274"/>
      <c r="Q387" s="274"/>
      <c r="R387" s="274"/>
      <c r="S387" s="274">
        <f t="shared" ref="S387" si="707">SUM(O387:R387)</f>
        <v>0</v>
      </c>
      <c r="T387" s="274"/>
      <c r="U387" s="274"/>
      <c r="V387" s="274"/>
      <c r="W387" s="274"/>
      <c r="X387" s="274">
        <f t="shared" ref="X387" si="708">SUM(T387:W387)</f>
        <v>0</v>
      </c>
      <c r="Y387" s="274">
        <f t="shared" ref="Y387" si="709">I387-N387</f>
        <v>0</v>
      </c>
      <c r="Z387" s="274">
        <f t="shared" ref="Z387" si="710">N387-S387</f>
        <v>0</v>
      </c>
      <c r="AA387" s="274"/>
      <c r="AB387" s="306">
        <f t="shared" ref="AB387" si="711">+S387-X387-AA387</f>
        <v>0</v>
      </c>
    </row>
    <row r="388" spans="1:28" s="90" customFormat="1" ht="14.1" hidden="1" customHeight="1" x14ac:dyDescent="0.2">
      <c r="A388" s="301"/>
      <c r="B388" s="350" t="s">
        <v>325</v>
      </c>
      <c r="C388" s="101"/>
      <c r="D388" s="101"/>
      <c r="E388" s="101"/>
      <c r="F388" s="370" t="s">
        <v>326</v>
      </c>
      <c r="G388" s="149"/>
      <c r="H388" s="149"/>
      <c r="I388" s="329">
        <f t="shared" si="697"/>
        <v>0</v>
      </c>
      <c r="J388" s="329">
        <f t="shared" si="698"/>
        <v>0</v>
      </c>
      <c r="K388" s="274"/>
      <c r="L388" s="274"/>
      <c r="M388" s="274"/>
      <c r="N388" s="275">
        <f t="shared" si="699"/>
        <v>0</v>
      </c>
      <c r="O388" s="274"/>
      <c r="P388" s="274"/>
      <c r="Q388" s="274"/>
      <c r="R388" s="274"/>
      <c r="S388" s="274">
        <f t="shared" si="700"/>
        <v>0</v>
      </c>
      <c r="T388" s="274"/>
      <c r="U388" s="274"/>
      <c r="V388" s="274"/>
      <c r="W388" s="274"/>
      <c r="X388" s="274">
        <f t="shared" si="701"/>
        <v>0</v>
      </c>
      <c r="Y388" s="274">
        <f t="shared" si="702"/>
        <v>0</v>
      </c>
      <c r="Z388" s="274">
        <f t="shared" si="703"/>
        <v>0</v>
      </c>
      <c r="AA388" s="274"/>
      <c r="AB388" s="306">
        <f t="shared" si="704"/>
        <v>0</v>
      </c>
    </row>
    <row r="389" spans="1:28" s="90" customFormat="1" ht="14.1" customHeight="1" x14ac:dyDescent="0.2">
      <c r="A389" s="301"/>
      <c r="B389" s="351" t="s">
        <v>327</v>
      </c>
      <c r="C389" s="101"/>
      <c r="D389" s="101"/>
      <c r="E389" s="101"/>
      <c r="F389" s="370"/>
      <c r="G389" s="149"/>
      <c r="H389" s="149"/>
      <c r="I389" s="149"/>
      <c r="J389" s="149"/>
      <c r="K389" s="159"/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  <c r="AA389" s="159"/>
      <c r="AB389" s="583"/>
    </row>
    <row r="390" spans="1:28" s="90" customFormat="1" ht="14.1" customHeight="1" x14ac:dyDescent="0.2">
      <c r="A390" s="301"/>
      <c r="B390" s="350" t="s">
        <v>328</v>
      </c>
      <c r="C390" s="101"/>
      <c r="D390" s="101"/>
      <c r="E390" s="101"/>
      <c r="F390" s="370" t="s">
        <v>743</v>
      </c>
      <c r="G390" s="149">
        <f>219000+1006000</f>
        <v>1225000</v>
      </c>
      <c r="H390" s="149"/>
      <c r="I390" s="329">
        <f t="shared" ref="I390:I395" si="712">G390+H390</f>
        <v>1225000</v>
      </c>
      <c r="J390" s="329">
        <f t="shared" ref="J390:J395" si="713">I390</f>
        <v>1225000</v>
      </c>
      <c r="K390" s="274"/>
      <c r="L390" s="274"/>
      <c r="M390" s="274"/>
      <c r="N390" s="275">
        <f t="shared" ref="N390:N453" si="714">J390+K390-L390+M390</f>
        <v>1225000</v>
      </c>
      <c r="O390" s="274">
        <v>5640</v>
      </c>
      <c r="P390" s="274">
        <f>3500</f>
        <v>3500</v>
      </c>
      <c r="Q390" s="274">
        <f>24091.4+1000+1000+5000+187650+2000+381860</f>
        <v>602601.4</v>
      </c>
      <c r="R390" s="274">
        <f>291383.6+800+300+800+3765+7225+14900+150000+144085</f>
        <v>613258.6</v>
      </c>
      <c r="S390" s="274">
        <f t="shared" ref="S390:S395" si="715">SUM(O390:R390)</f>
        <v>1225000</v>
      </c>
      <c r="T390" s="274">
        <v>5640</v>
      </c>
      <c r="U390" s="274">
        <f>1000+1000+1500</f>
        <v>3500</v>
      </c>
      <c r="V390" s="274">
        <f>24091.4+1000+1000+5000+187650+381860+2000</f>
        <v>602601.4</v>
      </c>
      <c r="W390" s="274">
        <f>291383.6+800+300+800+3765+7225+14900+150000</f>
        <v>469173.6</v>
      </c>
      <c r="X390" s="274">
        <f t="shared" ref="X390:X395" si="716">SUM(T390:W390)</f>
        <v>1080915</v>
      </c>
      <c r="Y390" s="274">
        <f t="shared" ref="Y390:Y396" si="717">I390-N390</f>
        <v>0</v>
      </c>
      <c r="Z390" s="274">
        <f t="shared" ref="Z390:Z395" si="718">N390-S390</f>
        <v>0</v>
      </c>
      <c r="AA390" s="274"/>
      <c r="AB390" s="306">
        <f t="shared" ref="AB390:AB395" si="719">+S390-X390-AA390</f>
        <v>144085</v>
      </c>
    </row>
    <row r="391" spans="1:28" s="90" customFormat="1" ht="14.1" customHeight="1" x14ac:dyDescent="0.2">
      <c r="A391" s="301"/>
      <c r="B391" s="350" t="s">
        <v>330</v>
      </c>
      <c r="C391" s="101"/>
      <c r="D391" s="101"/>
      <c r="E391" s="101"/>
      <c r="F391" s="370" t="s">
        <v>331</v>
      </c>
      <c r="G391" s="149">
        <v>107000</v>
      </c>
      <c r="H391" s="149"/>
      <c r="I391" s="329">
        <f t="shared" si="712"/>
        <v>107000</v>
      </c>
      <c r="J391" s="329">
        <f t="shared" si="713"/>
        <v>107000</v>
      </c>
      <c r="K391" s="274"/>
      <c r="L391" s="274"/>
      <c r="M391" s="274"/>
      <c r="N391" s="275">
        <f t="shared" si="714"/>
        <v>107000</v>
      </c>
      <c r="O391" s="274">
        <v>34650</v>
      </c>
      <c r="P391" s="274"/>
      <c r="Q391" s="274">
        <f>5400+22425</f>
        <v>27825</v>
      </c>
      <c r="R391" s="274">
        <v>44525</v>
      </c>
      <c r="S391" s="274">
        <f t="shared" si="715"/>
        <v>107000</v>
      </c>
      <c r="T391" s="274">
        <v>0</v>
      </c>
      <c r="U391" s="274">
        <v>34650</v>
      </c>
      <c r="V391" s="274">
        <f>5400+22425</f>
        <v>27825</v>
      </c>
      <c r="W391" s="274">
        <v>44525</v>
      </c>
      <c r="X391" s="274">
        <f t="shared" si="716"/>
        <v>107000</v>
      </c>
      <c r="Y391" s="274">
        <f t="shared" si="717"/>
        <v>0</v>
      </c>
      <c r="Z391" s="274">
        <f t="shared" si="718"/>
        <v>0</v>
      </c>
      <c r="AA391" s="274"/>
      <c r="AB391" s="306">
        <f t="shared" si="719"/>
        <v>0</v>
      </c>
    </row>
    <row r="392" spans="1:28" s="90" customFormat="1" ht="14.1" hidden="1" customHeight="1" x14ac:dyDescent="0.2">
      <c r="A392" s="301"/>
      <c r="B392" s="350" t="s">
        <v>332</v>
      </c>
      <c r="C392" s="101"/>
      <c r="D392" s="101"/>
      <c r="E392" s="101"/>
      <c r="F392" s="370" t="s">
        <v>333</v>
      </c>
      <c r="G392" s="149"/>
      <c r="H392" s="149"/>
      <c r="I392" s="329">
        <f t="shared" si="712"/>
        <v>0</v>
      </c>
      <c r="J392" s="329">
        <f t="shared" si="713"/>
        <v>0</v>
      </c>
      <c r="K392" s="274"/>
      <c r="L392" s="274"/>
      <c r="M392" s="274"/>
      <c r="N392" s="275">
        <f t="shared" si="714"/>
        <v>0</v>
      </c>
      <c r="O392" s="274"/>
      <c r="P392" s="274"/>
      <c r="Q392" s="274"/>
      <c r="R392" s="274"/>
      <c r="S392" s="274">
        <f t="shared" si="715"/>
        <v>0</v>
      </c>
      <c r="T392" s="274"/>
      <c r="U392" s="274"/>
      <c r="V392" s="274"/>
      <c r="W392" s="274"/>
      <c r="X392" s="274">
        <f t="shared" si="716"/>
        <v>0</v>
      </c>
      <c r="Y392" s="274">
        <f t="shared" si="717"/>
        <v>0</v>
      </c>
      <c r="Z392" s="274">
        <f t="shared" si="718"/>
        <v>0</v>
      </c>
      <c r="AA392" s="274"/>
      <c r="AB392" s="306">
        <f t="shared" si="719"/>
        <v>0</v>
      </c>
    </row>
    <row r="393" spans="1:28" s="90" customFormat="1" ht="14.1" customHeight="1" x14ac:dyDescent="0.2">
      <c r="A393" s="301"/>
      <c r="B393" s="350" t="s">
        <v>334</v>
      </c>
      <c r="C393" s="101"/>
      <c r="D393" s="101"/>
      <c r="E393" s="101"/>
      <c r="F393" s="370" t="s">
        <v>335</v>
      </c>
      <c r="G393" s="149">
        <v>300000</v>
      </c>
      <c r="H393" s="149"/>
      <c r="I393" s="329">
        <f t="shared" si="712"/>
        <v>300000</v>
      </c>
      <c r="J393" s="329">
        <f t="shared" si="713"/>
        <v>300000</v>
      </c>
      <c r="K393" s="274"/>
      <c r="L393" s="274"/>
      <c r="M393" s="274"/>
      <c r="N393" s="275">
        <f t="shared" si="714"/>
        <v>300000</v>
      </c>
      <c r="O393" s="274">
        <v>6900</v>
      </c>
      <c r="P393" s="274">
        <f>1750+5700+2652+6095</f>
        <v>16197</v>
      </c>
      <c r="Q393" s="274">
        <f>2532+2251+24750</f>
        <v>29533</v>
      </c>
      <c r="R393" s="274">
        <f>41990+8064+197316</f>
        <v>247370</v>
      </c>
      <c r="S393" s="274">
        <f t="shared" si="715"/>
        <v>300000</v>
      </c>
      <c r="T393" s="274">
        <v>6900</v>
      </c>
      <c r="U393" s="274">
        <f>1750+5700+2652+6095</f>
        <v>16197</v>
      </c>
      <c r="V393" s="274">
        <f>2532+2251+24750</f>
        <v>29533</v>
      </c>
      <c r="W393" s="274">
        <f>41990+8064</f>
        <v>50054</v>
      </c>
      <c r="X393" s="274">
        <f t="shared" si="716"/>
        <v>102684</v>
      </c>
      <c r="Y393" s="274">
        <f t="shared" si="717"/>
        <v>0</v>
      </c>
      <c r="Z393" s="274">
        <f t="shared" si="718"/>
        <v>0</v>
      </c>
      <c r="AA393" s="274"/>
      <c r="AB393" s="306">
        <f t="shared" si="719"/>
        <v>197316</v>
      </c>
    </row>
    <row r="394" spans="1:28" s="90" customFormat="1" ht="14.1" customHeight="1" x14ac:dyDescent="0.2">
      <c r="A394" s="301"/>
      <c r="B394" s="350" t="s">
        <v>336</v>
      </c>
      <c r="C394" s="101"/>
      <c r="D394" s="101"/>
      <c r="E394" s="101"/>
      <c r="F394" s="370" t="s">
        <v>337</v>
      </c>
      <c r="G394" s="149">
        <v>908000</v>
      </c>
      <c r="H394" s="149"/>
      <c r="I394" s="329">
        <f t="shared" si="712"/>
        <v>908000</v>
      </c>
      <c r="J394" s="329">
        <f t="shared" si="713"/>
        <v>908000</v>
      </c>
      <c r="K394" s="274"/>
      <c r="L394" s="274"/>
      <c r="M394" s="274"/>
      <c r="N394" s="275">
        <f t="shared" si="714"/>
        <v>908000</v>
      </c>
      <c r="O394" s="274">
        <v>41000</v>
      </c>
      <c r="P394" s="274">
        <f>29900.69</f>
        <v>29900.69</v>
      </c>
      <c r="Q394" s="274">
        <f>14000+8000+8000</f>
        <v>30000</v>
      </c>
      <c r="R394" s="274">
        <f>34500+4000+4000</f>
        <v>42500</v>
      </c>
      <c r="S394" s="274">
        <f t="shared" si="715"/>
        <v>143400.69</v>
      </c>
      <c r="T394" s="274">
        <v>41000</v>
      </c>
      <c r="U394" s="274">
        <f>17900.69+12000</f>
        <v>29900.69</v>
      </c>
      <c r="V394" s="274">
        <f>14000+8000+8000</f>
        <v>30000</v>
      </c>
      <c r="W394" s="274">
        <f>34500+4000+4000</f>
        <v>42500</v>
      </c>
      <c r="X394" s="274">
        <f t="shared" si="716"/>
        <v>143400.69</v>
      </c>
      <c r="Y394" s="274">
        <f t="shared" si="717"/>
        <v>0</v>
      </c>
      <c r="Z394" s="274">
        <f t="shared" si="718"/>
        <v>764599.31</v>
      </c>
      <c r="AA394" s="274"/>
      <c r="AB394" s="306">
        <f t="shared" si="719"/>
        <v>0</v>
      </c>
    </row>
    <row r="395" spans="1:28" s="90" customFormat="1" ht="14.1" customHeight="1" x14ac:dyDescent="0.2">
      <c r="A395" s="301"/>
      <c r="B395" s="350" t="s">
        <v>338</v>
      </c>
      <c r="C395" s="101"/>
      <c r="D395" s="101"/>
      <c r="E395" s="101"/>
      <c r="F395" s="370" t="s">
        <v>339</v>
      </c>
      <c r="G395" s="149">
        <v>305000</v>
      </c>
      <c r="H395" s="149"/>
      <c r="I395" s="329">
        <f t="shared" si="712"/>
        <v>305000</v>
      </c>
      <c r="J395" s="329">
        <f t="shared" si="713"/>
        <v>305000</v>
      </c>
      <c r="K395" s="274"/>
      <c r="L395" s="274"/>
      <c r="M395" s="274"/>
      <c r="N395" s="275">
        <f t="shared" si="714"/>
        <v>305000</v>
      </c>
      <c r="O395" s="274">
        <v>400</v>
      </c>
      <c r="P395" s="274">
        <v>10000</v>
      </c>
      <c r="Q395" s="274">
        <v>198316.5</v>
      </c>
      <c r="R395" s="274">
        <v>96283.5</v>
      </c>
      <c r="S395" s="274">
        <f t="shared" si="715"/>
        <v>305000</v>
      </c>
      <c r="T395" s="274">
        <v>400</v>
      </c>
      <c r="U395" s="274">
        <v>10000</v>
      </c>
      <c r="V395" s="274">
        <v>198316.5</v>
      </c>
      <c r="W395" s="274"/>
      <c r="X395" s="274">
        <f t="shared" si="716"/>
        <v>208716.5</v>
      </c>
      <c r="Y395" s="274">
        <f t="shared" si="717"/>
        <v>0</v>
      </c>
      <c r="Z395" s="274">
        <f t="shared" si="718"/>
        <v>0</v>
      </c>
      <c r="AA395" s="274"/>
      <c r="AB395" s="306">
        <f t="shared" si="719"/>
        <v>96283.5</v>
      </c>
    </row>
    <row r="396" spans="1:28" s="90" customFormat="1" ht="14.1" customHeight="1" x14ac:dyDescent="0.2">
      <c r="A396" s="301"/>
      <c r="B396" s="351" t="s">
        <v>340</v>
      </c>
      <c r="C396" s="101"/>
      <c r="D396" s="101"/>
      <c r="E396" s="101"/>
      <c r="F396" s="370"/>
      <c r="G396" s="149"/>
      <c r="H396" s="149"/>
      <c r="I396" s="149"/>
      <c r="J396" s="149"/>
      <c r="K396" s="159"/>
      <c r="L396" s="159"/>
      <c r="M396" s="159"/>
      <c r="N396" s="159"/>
      <c r="O396" s="159"/>
      <c r="P396" s="159"/>
      <c r="Q396" s="159"/>
      <c r="R396" s="159"/>
      <c r="S396" s="159"/>
      <c r="T396" s="159"/>
      <c r="U396" s="159"/>
      <c r="V396" s="159"/>
      <c r="W396" s="159"/>
      <c r="X396" s="159"/>
      <c r="Y396" s="159">
        <f t="shared" si="717"/>
        <v>0</v>
      </c>
      <c r="Z396" s="159"/>
      <c r="AA396" s="159"/>
      <c r="AB396" s="583"/>
    </row>
    <row r="397" spans="1:28" s="90" customFormat="1" ht="14.1" customHeight="1" x14ac:dyDescent="0.2">
      <c r="A397" s="301"/>
      <c r="B397" s="350" t="s">
        <v>341</v>
      </c>
      <c r="C397" s="101"/>
      <c r="D397" s="101"/>
      <c r="E397" s="101"/>
      <c r="F397" s="370" t="s">
        <v>342</v>
      </c>
      <c r="G397" s="149">
        <v>42000</v>
      </c>
      <c r="H397" s="149"/>
      <c r="I397" s="329">
        <f t="shared" ref="I397:I398" si="720">G397+H397</f>
        <v>42000</v>
      </c>
      <c r="J397" s="329">
        <f t="shared" ref="J397:J398" si="721">I397</f>
        <v>42000</v>
      </c>
      <c r="K397" s="274"/>
      <c r="L397" s="274"/>
      <c r="M397" s="274"/>
      <c r="N397" s="275">
        <f t="shared" si="714"/>
        <v>42000</v>
      </c>
      <c r="O397" s="274"/>
      <c r="P397" s="274"/>
      <c r="Q397" s="274">
        <v>3018.41</v>
      </c>
      <c r="R397" s="274">
        <f>9131.86+3100+4551.87+22197.86</f>
        <v>38981.589999999997</v>
      </c>
      <c r="S397" s="274">
        <f t="shared" ref="S397:S398" si="722">SUM(O397:R397)</f>
        <v>42000</v>
      </c>
      <c r="T397" s="274"/>
      <c r="U397" s="274"/>
      <c r="V397" s="274">
        <v>3018.41</v>
      </c>
      <c r="W397" s="274">
        <f>9131.86+3100+4551.87</f>
        <v>16783.73</v>
      </c>
      <c r="X397" s="274">
        <f t="shared" ref="X397:X398" si="723">SUM(T397:W397)</f>
        <v>19802.14</v>
      </c>
      <c r="Y397" s="274">
        <f t="shared" ref="Y397:Y398" si="724">I397-N397</f>
        <v>0</v>
      </c>
      <c r="Z397" s="274">
        <f t="shared" ref="Z397:Z398" si="725">N397-S397</f>
        <v>0</v>
      </c>
      <c r="AA397" s="274"/>
      <c r="AB397" s="306">
        <f t="shared" ref="AB397:AB398" si="726">+S397-X397-AA397</f>
        <v>22197.86</v>
      </c>
    </row>
    <row r="398" spans="1:28" s="90" customFormat="1" ht="14.1" customHeight="1" x14ac:dyDescent="0.2">
      <c r="A398" s="301"/>
      <c r="B398" s="350" t="s">
        <v>343</v>
      </c>
      <c r="C398" s="101"/>
      <c r="D398" s="101"/>
      <c r="E398" s="101"/>
      <c r="F398" s="370" t="s">
        <v>344</v>
      </c>
      <c r="G398" s="149">
        <v>1172000</v>
      </c>
      <c r="H398" s="149"/>
      <c r="I398" s="329">
        <f t="shared" si="720"/>
        <v>1172000</v>
      </c>
      <c r="J398" s="329">
        <f t="shared" si="721"/>
        <v>1172000</v>
      </c>
      <c r="K398" s="274"/>
      <c r="L398" s="274"/>
      <c r="M398" s="274"/>
      <c r="N398" s="275">
        <f t="shared" si="714"/>
        <v>1172000</v>
      </c>
      <c r="O398" s="274">
        <v>242718.51</v>
      </c>
      <c r="P398" s="274">
        <f>179224.33+203696.34</f>
        <v>382920.67</v>
      </c>
      <c r="Q398" s="274">
        <f>187438.77+202851.96+156070.09</f>
        <v>546360.81999999995</v>
      </c>
      <c r="R398" s="274"/>
      <c r="S398" s="274">
        <f t="shared" si="722"/>
        <v>1172000</v>
      </c>
      <c r="T398" s="274">
        <v>77508.59</v>
      </c>
      <c r="U398" s="274">
        <f>165209.92+179224.33+203696.34</f>
        <v>548130.59</v>
      </c>
      <c r="V398" s="274">
        <f>187438.77+202851.96+156070.09</f>
        <v>546360.81999999995</v>
      </c>
      <c r="W398" s="274"/>
      <c r="X398" s="274">
        <f t="shared" si="723"/>
        <v>1172000</v>
      </c>
      <c r="Y398" s="274">
        <f t="shared" si="724"/>
        <v>0</v>
      </c>
      <c r="Z398" s="274">
        <f t="shared" si="725"/>
        <v>0</v>
      </c>
      <c r="AA398" s="274"/>
      <c r="AB398" s="306">
        <f t="shared" si="726"/>
        <v>0</v>
      </c>
    </row>
    <row r="399" spans="1:28" s="90" customFormat="1" ht="14.1" customHeight="1" x14ac:dyDescent="0.2">
      <c r="A399" s="301"/>
      <c r="B399" s="351" t="s">
        <v>345</v>
      </c>
      <c r="C399" s="101"/>
      <c r="D399" s="101"/>
      <c r="E399" s="101"/>
      <c r="F399" s="370"/>
      <c r="G399" s="149"/>
      <c r="H399" s="149"/>
      <c r="I399" s="149"/>
      <c r="J399" s="149"/>
      <c r="K399" s="159"/>
      <c r="L399" s="159"/>
      <c r="M399" s="159"/>
      <c r="N399" s="159"/>
      <c r="O399" s="159"/>
      <c r="P399" s="159"/>
      <c r="Q399" s="159"/>
      <c r="R399" s="159"/>
      <c r="S399" s="159"/>
      <c r="T399" s="159"/>
      <c r="U399" s="159"/>
      <c r="V399" s="159"/>
      <c r="W399" s="159"/>
      <c r="X399" s="159"/>
      <c r="Y399" s="159"/>
      <c r="Z399" s="159"/>
      <c r="AA399" s="159"/>
      <c r="AB399" s="583"/>
    </row>
    <row r="400" spans="1:28" s="90" customFormat="1" ht="14.1" customHeight="1" x14ac:dyDescent="0.2">
      <c r="A400" s="301"/>
      <c r="B400" s="350" t="s">
        <v>346</v>
      </c>
      <c r="C400" s="101"/>
      <c r="D400" s="101"/>
      <c r="E400" s="101"/>
      <c r="F400" s="370" t="s">
        <v>347</v>
      </c>
      <c r="G400" s="149">
        <v>15000</v>
      </c>
      <c r="H400" s="149"/>
      <c r="I400" s="329">
        <f t="shared" ref="I400:I404" si="727">G400+H400</f>
        <v>15000</v>
      </c>
      <c r="J400" s="329">
        <f t="shared" ref="J400:J404" si="728">I400</f>
        <v>15000</v>
      </c>
      <c r="K400" s="274"/>
      <c r="L400" s="274"/>
      <c r="M400" s="274"/>
      <c r="N400" s="275">
        <f t="shared" si="714"/>
        <v>15000</v>
      </c>
      <c r="O400" s="274"/>
      <c r="P400" s="274"/>
      <c r="Q400" s="274">
        <f>5405+6570</f>
        <v>11975</v>
      </c>
      <c r="R400" s="274">
        <v>3025</v>
      </c>
      <c r="S400" s="274">
        <f t="shared" ref="S400:S404" si="729">SUM(O400:R400)</f>
        <v>15000</v>
      </c>
      <c r="T400" s="274"/>
      <c r="U400" s="274"/>
      <c r="V400" s="274">
        <f>1585+115+3705+6570</f>
        <v>11975</v>
      </c>
      <c r="W400" s="274">
        <v>3025</v>
      </c>
      <c r="X400" s="274">
        <f t="shared" ref="X400:X404" si="730">SUM(T400:W400)</f>
        <v>15000</v>
      </c>
      <c r="Y400" s="274">
        <f t="shared" ref="Y400:Y404" si="731">I400-N400</f>
        <v>0</v>
      </c>
      <c r="Z400" s="274">
        <f t="shared" ref="Z400:Z404" si="732">N400-S400</f>
        <v>0</v>
      </c>
      <c r="AA400" s="274"/>
      <c r="AB400" s="306">
        <f t="shared" ref="AB400:AB404" si="733">+S400-X400-AA400</f>
        <v>0</v>
      </c>
    </row>
    <row r="401" spans="1:28" s="90" customFormat="1" ht="14.1" customHeight="1" x14ac:dyDescent="0.2">
      <c r="A401" s="301"/>
      <c r="B401" s="350" t="s">
        <v>348</v>
      </c>
      <c r="C401" s="101"/>
      <c r="D401" s="101"/>
      <c r="E401" s="101"/>
      <c r="F401" s="370" t="s">
        <v>349</v>
      </c>
      <c r="G401" s="149">
        <f>74000+309000</f>
        <v>383000</v>
      </c>
      <c r="H401" s="149"/>
      <c r="I401" s="329">
        <f t="shared" si="727"/>
        <v>383000</v>
      </c>
      <c r="J401" s="329">
        <f t="shared" si="728"/>
        <v>383000</v>
      </c>
      <c r="K401" s="274"/>
      <c r="L401" s="274"/>
      <c r="M401" s="274"/>
      <c r="N401" s="275">
        <f t="shared" si="714"/>
        <v>383000</v>
      </c>
      <c r="O401" s="274">
        <v>8800</v>
      </c>
      <c r="P401" s="274">
        <f>3100+1000+1000+2000+2000+1000</f>
        <v>10100</v>
      </c>
      <c r="Q401" s="274">
        <f>2000+2000+1000+2000+600+800+2000+1000+1200+900+800+1000</f>
        <v>15300</v>
      </c>
      <c r="R401" s="274">
        <f>10700+600+300+600+4000+1000</f>
        <v>17200</v>
      </c>
      <c r="S401" s="274">
        <f t="shared" si="729"/>
        <v>51400</v>
      </c>
      <c r="T401" s="274">
        <v>8800</v>
      </c>
      <c r="U401" s="274">
        <f>700+1000+1200+1200+1000+2000+2000+1000</f>
        <v>10100</v>
      </c>
      <c r="V401" s="274">
        <f>2000+1000+2000+600+2000+800+2000+1000+1200+900+800+1000</f>
        <v>15300</v>
      </c>
      <c r="W401" s="274">
        <f>10700+600+300+600+4000+1000</f>
        <v>17200</v>
      </c>
      <c r="X401" s="274">
        <f t="shared" si="730"/>
        <v>51400</v>
      </c>
      <c r="Y401" s="274">
        <f t="shared" si="731"/>
        <v>0</v>
      </c>
      <c r="Z401" s="274">
        <f t="shared" si="732"/>
        <v>331600</v>
      </c>
      <c r="AA401" s="274"/>
      <c r="AB401" s="306">
        <f t="shared" si="733"/>
        <v>0</v>
      </c>
    </row>
    <row r="402" spans="1:28" s="90" customFormat="1" ht="14.1" customHeight="1" x14ac:dyDescent="0.2">
      <c r="A402" s="301"/>
      <c r="B402" s="350" t="s">
        <v>350</v>
      </c>
      <c r="C402" s="101"/>
      <c r="D402" s="101"/>
      <c r="E402" s="101"/>
      <c r="F402" s="370" t="s">
        <v>351</v>
      </c>
      <c r="G402" s="149">
        <v>61000</v>
      </c>
      <c r="H402" s="149"/>
      <c r="I402" s="329">
        <f t="shared" si="727"/>
        <v>61000</v>
      </c>
      <c r="J402" s="329">
        <f t="shared" si="728"/>
        <v>61000</v>
      </c>
      <c r="K402" s="274"/>
      <c r="L402" s="274"/>
      <c r="M402" s="274"/>
      <c r="N402" s="275">
        <f t="shared" si="714"/>
        <v>61000</v>
      </c>
      <c r="O402" s="274">
        <v>8693.76</v>
      </c>
      <c r="P402" s="274">
        <f>6611.37</f>
        <v>6611.37</v>
      </c>
      <c r="Q402" s="274">
        <f>3274.58+2798.39+3231.41+8182.55</f>
        <v>17486.93</v>
      </c>
      <c r="R402" s="274">
        <f>17707.98+4480+3968.04</f>
        <v>26156.02</v>
      </c>
      <c r="S402" s="274">
        <f t="shared" si="729"/>
        <v>58948.08</v>
      </c>
      <c r="T402" s="274">
        <v>8693.76</v>
      </c>
      <c r="U402" s="274">
        <f>6611.37</f>
        <v>6611.37</v>
      </c>
      <c r="V402" s="274">
        <f>3274.58+2798.39+3231.41+8182.55</f>
        <v>17486.93</v>
      </c>
      <c r="W402" s="274">
        <f>17707.98+3968.04+4480</f>
        <v>26156.02</v>
      </c>
      <c r="X402" s="274">
        <f t="shared" si="730"/>
        <v>58948.08</v>
      </c>
      <c r="Y402" s="274">
        <f t="shared" si="731"/>
        <v>0</v>
      </c>
      <c r="Z402" s="274">
        <f t="shared" si="732"/>
        <v>2051.9199999999983</v>
      </c>
      <c r="AA402" s="274"/>
      <c r="AB402" s="306">
        <f t="shared" si="733"/>
        <v>0</v>
      </c>
    </row>
    <row r="403" spans="1:28" s="90" customFormat="1" ht="14.1" customHeight="1" x14ac:dyDescent="0.2">
      <c r="A403" s="301"/>
      <c r="B403" s="350" t="s">
        <v>352</v>
      </c>
      <c r="C403" s="101"/>
      <c r="D403" s="101"/>
      <c r="E403" s="101"/>
      <c r="F403" s="370" t="s">
        <v>353</v>
      </c>
      <c r="G403" s="149">
        <v>24000</v>
      </c>
      <c r="H403" s="149"/>
      <c r="I403" s="329">
        <f t="shared" si="727"/>
        <v>24000</v>
      </c>
      <c r="J403" s="329">
        <f t="shared" si="728"/>
        <v>24000</v>
      </c>
      <c r="K403" s="274"/>
      <c r="L403" s="274"/>
      <c r="M403" s="274"/>
      <c r="N403" s="275">
        <f t="shared" si="714"/>
        <v>24000</v>
      </c>
      <c r="O403" s="274"/>
      <c r="P403" s="274">
        <f>8080+560+4480+1920+4480+4480</f>
        <v>24000</v>
      </c>
      <c r="Q403" s="274"/>
      <c r="R403" s="274"/>
      <c r="S403" s="274">
        <f t="shared" si="729"/>
        <v>24000</v>
      </c>
      <c r="T403" s="274"/>
      <c r="U403" s="274">
        <f>8080+560+4480+1920+4480+4480</f>
        <v>24000</v>
      </c>
      <c r="V403" s="274"/>
      <c r="W403" s="274"/>
      <c r="X403" s="274">
        <f t="shared" si="730"/>
        <v>24000</v>
      </c>
      <c r="Y403" s="274">
        <f t="shared" si="731"/>
        <v>0</v>
      </c>
      <c r="Z403" s="274">
        <f t="shared" si="732"/>
        <v>0</v>
      </c>
      <c r="AA403" s="274"/>
      <c r="AB403" s="306">
        <f t="shared" si="733"/>
        <v>0</v>
      </c>
    </row>
    <row r="404" spans="1:28" s="90" customFormat="1" ht="14.1" customHeight="1" x14ac:dyDescent="0.2">
      <c r="A404" s="301"/>
      <c r="B404" s="350" t="s">
        <v>354</v>
      </c>
      <c r="C404" s="101"/>
      <c r="D404" s="101"/>
      <c r="E404" s="101"/>
      <c r="F404" s="370" t="s">
        <v>355</v>
      </c>
      <c r="G404" s="149">
        <v>4000</v>
      </c>
      <c r="H404" s="149"/>
      <c r="I404" s="329">
        <f t="shared" si="727"/>
        <v>4000</v>
      </c>
      <c r="J404" s="329">
        <f t="shared" si="728"/>
        <v>4000</v>
      </c>
      <c r="K404" s="274"/>
      <c r="L404" s="274"/>
      <c r="M404" s="274"/>
      <c r="N404" s="275">
        <f t="shared" si="714"/>
        <v>4000</v>
      </c>
      <c r="O404" s="274"/>
      <c r="P404" s="274">
        <f>164.67+1080+1080</f>
        <v>2324.67</v>
      </c>
      <c r="Q404" s="274">
        <f>1080+595.33</f>
        <v>1675.33</v>
      </c>
      <c r="R404" s="274"/>
      <c r="S404" s="274">
        <f t="shared" si="729"/>
        <v>4000</v>
      </c>
      <c r="T404" s="274"/>
      <c r="U404" s="274">
        <f>164.67+1080+1080</f>
        <v>2324.67</v>
      </c>
      <c r="V404" s="274">
        <f>1080+595.33</f>
        <v>1675.33</v>
      </c>
      <c r="W404" s="274"/>
      <c r="X404" s="274">
        <f t="shared" si="730"/>
        <v>4000</v>
      </c>
      <c r="Y404" s="274">
        <f t="shared" si="731"/>
        <v>0</v>
      </c>
      <c r="Z404" s="274">
        <f t="shared" si="732"/>
        <v>0</v>
      </c>
      <c r="AA404" s="274"/>
      <c r="AB404" s="306">
        <f t="shared" si="733"/>
        <v>0</v>
      </c>
    </row>
    <row r="405" spans="1:28" s="90" customFormat="1" ht="14.1" customHeight="1" x14ac:dyDescent="0.2">
      <c r="A405" s="301"/>
      <c r="B405" s="351" t="s">
        <v>356</v>
      </c>
      <c r="C405" s="101"/>
      <c r="D405" s="101"/>
      <c r="E405" s="101"/>
      <c r="F405" s="370"/>
      <c r="G405" s="149"/>
      <c r="H405" s="149"/>
      <c r="I405" s="149"/>
      <c r="J405" s="149"/>
      <c r="K405" s="159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59"/>
      <c r="Z405" s="159"/>
      <c r="AA405" s="159"/>
      <c r="AB405" s="583"/>
    </row>
    <row r="406" spans="1:28" s="90" customFormat="1" ht="14.1" customHeight="1" x14ac:dyDescent="0.2">
      <c r="A406" s="301"/>
      <c r="B406" s="350" t="s">
        <v>357</v>
      </c>
      <c r="C406" s="101"/>
      <c r="D406" s="101"/>
      <c r="E406" s="101"/>
      <c r="F406" s="370" t="s">
        <v>358</v>
      </c>
      <c r="G406" s="149"/>
      <c r="H406" s="149"/>
      <c r="I406" s="329">
        <f t="shared" ref="I406" si="734">G406+H406</f>
        <v>0</v>
      </c>
      <c r="J406" s="329">
        <f t="shared" ref="J406" si="735">I406</f>
        <v>0</v>
      </c>
      <c r="K406" s="274"/>
      <c r="L406" s="274"/>
      <c r="M406" s="274">
        <v>16000</v>
      </c>
      <c r="N406" s="275">
        <f t="shared" si="714"/>
        <v>16000</v>
      </c>
      <c r="O406" s="274">
        <v>16000</v>
      </c>
      <c r="P406" s="274"/>
      <c r="Q406" s="274"/>
      <c r="R406" s="274"/>
      <c r="S406" s="274">
        <f t="shared" ref="S406" si="736">SUM(O406:R406)</f>
        <v>16000</v>
      </c>
      <c r="T406" s="274">
        <v>16000</v>
      </c>
      <c r="U406" s="274"/>
      <c r="V406" s="274"/>
      <c r="W406" s="274"/>
      <c r="X406" s="274">
        <f t="shared" ref="X406" si="737">SUM(T406:W406)</f>
        <v>16000</v>
      </c>
      <c r="Y406" s="274">
        <f t="shared" ref="Y406" si="738">I406-N406</f>
        <v>-16000</v>
      </c>
      <c r="Z406" s="274">
        <f t="shared" ref="Z406" si="739">N406-S406</f>
        <v>0</v>
      </c>
      <c r="AA406" s="274"/>
      <c r="AB406" s="306">
        <f t="shared" ref="AB406" si="740">+S406-X406-AA406</f>
        <v>0</v>
      </c>
    </row>
    <row r="407" spans="1:28" s="90" customFormat="1" ht="14.1" customHeight="1" x14ac:dyDescent="0.2">
      <c r="A407" s="301"/>
      <c r="B407" s="351" t="s">
        <v>359</v>
      </c>
      <c r="C407" s="101"/>
      <c r="D407" s="101"/>
      <c r="E407" s="101"/>
      <c r="F407" s="370"/>
      <c r="G407" s="149"/>
      <c r="H407" s="149"/>
      <c r="I407" s="149"/>
      <c r="J407" s="149"/>
      <c r="K407" s="159"/>
      <c r="L407" s="159"/>
      <c r="M407" s="159"/>
      <c r="N407" s="159"/>
      <c r="O407" s="159"/>
      <c r="P407" s="159"/>
      <c r="Q407" s="159"/>
      <c r="R407" s="159"/>
      <c r="S407" s="159"/>
      <c r="T407" s="159"/>
      <c r="U407" s="159"/>
      <c r="V407" s="159"/>
      <c r="W407" s="159"/>
      <c r="X407" s="159"/>
      <c r="Y407" s="159"/>
      <c r="Z407" s="159"/>
      <c r="AA407" s="159"/>
      <c r="AB407" s="583"/>
    </row>
    <row r="408" spans="1:28" s="90" customFormat="1" ht="14.1" hidden="1" customHeight="1" x14ac:dyDescent="0.2">
      <c r="A408" s="301"/>
      <c r="B408" s="350" t="s">
        <v>360</v>
      </c>
      <c r="C408" s="101"/>
      <c r="D408" s="101"/>
      <c r="E408" s="101"/>
      <c r="F408" s="370" t="s">
        <v>361</v>
      </c>
      <c r="G408" s="149"/>
      <c r="H408" s="149"/>
      <c r="I408" s="329">
        <f t="shared" ref="I408:I411" si="741">G408+H408</f>
        <v>0</v>
      </c>
      <c r="J408" s="329">
        <f t="shared" ref="J408:J411" si="742">I408</f>
        <v>0</v>
      </c>
      <c r="K408" s="274"/>
      <c r="L408" s="274"/>
      <c r="M408" s="274"/>
      <c r="N408" s="275">
        <f t="shared" si="714"/>
        <v>0</v>
      </c>
      <c r="O408" s="274"/>
      <c r="P408" s="274"/>
      <c r="Q408" s="274"/>
      <c r="R408" s="274"/>
      <c r="S408" s="274">
        <f t="shared" ref="S408:S411" si="743">SUM(O408:R408)</f>
        <v>0</v>
      </c>
      <c r="T408" s="274"/>
      <c r="U408" s="274"/>
      <c r="V408" s="274"/>
      <c r="W408" s="274"/>
      <c r="X408" s="274">
        <f t="shared" ref="X408:X411" si="744">SUM(T408:W408)</f>
        <v>0</v>
      </c>
      <c r="Y408" s="274">
        <f t="shared" ref="Y408:Y411" si="745">I408-N408</f>
        <v>0</v>
      </c>
      <c r="Z408" s="274">
        <f t="shared" ref="Z408:Z411" si="746">N408-S408</f>
        <v>0</v>
      </c>
      <c r="AA408" s="274"/>
      <c r="AB408" s="306">
        <f t="shared" ref="AB408:AB411" si="747">+S408-X408-AA408</f>
        <v>0</v>
      </c>
    </row>
    <row r="409" spans="1:28" s="90" customFormat="1" ht="14.1" hidden="1" customHeight="1" x14ac:dyDescent="0.2">
      <c r="A409" s="301"/>
      <c r="B409" s="350" t="s">
        <v>362</v>
      </c>
      <c r="C409" s="101"/>
      <c r="D409" s="101"/>
      <c r="E409" s="101"/>
      <c r="F409" s="370" t="s">
        <v>363</v>
      </c>
      <c r="G409" s="149"/>
      <c r="H409" s="149"/>
      <c r="I409" s="329">
        <f t="shared" si="741"/>
        <v>0</v>
      </c>
      <c r="J409" s="329">
        <f t="shared" si="742"/>
        <v>0</v>
      </c>
      <c r="K409" s="274"/>
      <c r="L409" s="274"/>
      <c r="M409" s="274"/>
      <c r="N409" s="275">
        <f t="shared" si="714"/>
        <v>0</v>
      </c>
      <c r="O409" s="274"/>
      <c r="P409" s="274"/>
      <c r="Q409" s="274"/>
      <c r="R409" s="274"/>
      <c r="S409" s="274">
        <f t="shared" si="743"/>
        <v>0</v>
      </c>
      <c r="T409" s="274"/>
      <c r="U409" s="274"/>
      <c r="V409" s="274"/>
      <c r="W409" s="274"/>
      <c r="X409" s="274">
        <f t="shared" si="744"/>
        <v>0</v>
      </c>
      <c r="Y409" s="274">
        <f t="shared" si="745"/>
        <v>0</v>
      </c>
      <c r="Z409" s="274">
        <f t="shared" si="746"/>
        <v>0</v>
      </c>
      <c r="AA409" s="274"/>
      <c r="AB409" s="306">
        <f t="shared" si="747"/>
        <v>0</v>
      </c>
    </row>
    <row r="410" spans="1:28" s="90" customFormat="1" ht="14.1" hidden="1" customHeight="1" x14ac:dyDescent="0.2">
      <c r="A410" s="301"/>
      <c r="B410" s="350" t="s">
        <v>722</v>
      </c>
      <c r="C410" s="718"/>
      <c r="D410" s="718"/>
      <c r="E410" s="718"/>
      <c r="F410" s="370" t="s">
        <v>723</v>
      </c>
      <c r="G410" s="149"/>
      <c r="H410" s="149"/>
      <c r="I410" s="329">
        <f t="shared" si="741"/>
        <v>0</v>
      </c>
      <c r="J410" s="329">
        <f t="shared" si="742"/>
        <v>0</v>
      </c>
      <c r="K410" s="274"/>
      <c r="L410" s="274"/>
      <c r="M410" s="274"/>
      <c r="N410" s="275">
        <f t="shared" si="714"/>
        <v>0</v>
      </c>
      <c r="O410" s="274"/>
      <c r="P410" s="274"/>
      <c r="Q410" s="274"/>
      <c r="R410" s="274"/>
      <c r="S410" s="274">
        <f t="shared" si="743"/>
        <v>0</v>
      </c>
      <c r="T410" s="274"/>
      <c r="U410" s="274"/>
      <c r="V410" s="274"/>
      <c r="W410" s="274"/>
      <c r="X410" s="274">
        <f t="shared" si="744"/>
        <v>0</v>
      </c>
      <c r="Y410" s="274">
        <f t="shared" si="745"/>
        <v>0</v>
      </c>
      <c r="Z410" s="274">
        <f t="shared" si="746"/>
        <v>0</v>
      </c>
      <c r="AA410" s="274"/>
      <c r="AB410" s="306">
        <f t="shared" si="747"/>
        <v>0</v>
      </c>
    </row>
    <row r="411" spans="1:28" s="90" customFormat="1" ht="14.1" customHeight="1" x14ac:dyDescent="0.2">
      <c r="A411" s="301"/>
      <c r="B411" s="350" t="s">
        <v>364</v>
      </c>
      <c r="C411" s="101"/>
      <c r="D411" s="101"/>
      <c r="E411" s="101"/>
      <c r="F411" s="370" t="s">
        <v>365</v>
      </c>
      <c r="G411" s="149">
        <v>381000</v>
      </c>
      <c r="H411" s="149"/>
      <c r="I411" s="329">
        <f t="shared" si="741"/>
        <v>381000</v>
      </c>
      <c r="J411" s="329">
        <f t="shared" si="742"/>
        <v>381000</v>
      </c>
      <c r="K411" s="274"/>
      <c r="L411" s="274"/>
      <c r="M411" s="274">
        <v>137500</v>
      </c>
      <c r="N411" s="275">
        <f t="shared" si="714"/>
        <v>518500</v>
      </c>
      <c r="O411" s="274">
        <v>8600</v>
      </c>
      <c r="P411" s="274">
        <f>65600+16965+7000+7000</f>
        <v>96565</v>
      </c>
      <c r="Q411" s="274">
        <f>7000+7000+5052.43+7700+6890+6604+6469.16+5600+3600+5600+4044.92+5340.32+5300+7000+7000+6300+6300+6196.44+5352.5+5300+4572</f>
        <v>124221.76999999999</v>
      </c>
      <c r="R411" s="274">
        <f>206378.23-16965</f>
        <v>189413.23</v>
      </c>
      <c r="S411" s="274">
        <f t="shared" si="743"/>
        <v>418800</v>
      </c>
      <c r="T411" s="274">
        <v>8600</v>
      </c>
      <c r="U411" s="274">
        <f>15000+16965+7000+7000+12600+32000+5800+200</f>
        <v>96565</v>
      </c>
      <c r="V411" s="274">
        <f>7000+7000+5052.43+7500+6640+6604+6469.16+200+250+5400+3400+5400+3844.92+5140.32+5050+7000+7000+250+6300+6300+6196.44+5352.5+5300+4572+200+200+200+200+200</f>
        <v>124221.76999999999</v>
      </c>
      <c r="W411" s="274">
        <f>205528.23-16965-200+200+200+200+200+250</f>
        <v>189413.23</v>
      </c>
      <c r="X411" s="274">
        <f t="shared" si="744"/>
        <v>418800</v>
      </c>
      <c r="Y411" s="274">
        <f t="shared" si="745"/>
        <v>-137500</v>
      </c>
      <c r="Z411" s="274">
        <f t="shared" si="746"/>
        <v>99700</v>
      </c>
      <c r="AA411" s="274"/>
      <c r="AB411" s="306">
        <f t="shared" si="747"/>
        <v>0</v>
      </c>
    </row>
    <row r="412" spans="1:28" s="90" customFormat="1" ht="14.1" customHeight="1" x14ac:dyDescent="0.2">
      <c r="A412" s="301"/>
      <c r="B412" s="351" t="s">
        <v>366</v>
      </c>
      <c r="C412" s="101"/>
      <c r="D412" s="101"/>
      <c r="E412" s="101"/>
      <c r="F412" s="370"/>
      <c r="G412" s="149"/>
      <c r="H412" s="149"/>
      <c r="I412" s="149"/>
      <c r="J412" s="149"/>
      <c r="K412" s="159"/>
      <c r="L412" s="159"/>
      <c r="M412" s="159"/>
      <c r="N412" s="159"/>
      <c r="O412" s="159"/>
      <c r="P412" s="159"/>
      <c r="Q412" s="159"/>
      <c r="R412" s="159"/>
      <c r="S412" s="159"/>
      <c r="T412" s="159"/>
      <c r="U412" s="159"/>
      <c r="V412" s="159"/>
      <c r="W412" s="159"/>
      <c r="X412" s="159"/>
      <c r="Y412" s="159"/>
      <c r="Z412" s="159"/>
      <c r="AA412" s="159"/>
      <c r="AB412" s="583"/>
    </row>
    <row r="413" spans="1:28" s="90" customFormat="1" ht="14.1" hidden="1" customHeight="1" x14ac:dyDescent="0.2">
      <c r="A413" s="301"/>
      <c r="B413" s="350" t="s">
        <v>366</v>
      </c>
      <c r="C413" s="101"/>
      <c r="D413" s="101"/>
      <c r="E413" s="101"/>
      <c r="F413" s="370" t="s">
        <v>367</v>
      </c>
      <c r="G413" s="149"/>
      <c r="H413" s="149"/>
      <c r="I413" s="329">
        <f t="shared" ref="I413:I417" si="748">G413+H413</f>
        <v>0</v>
      </c>
      <c r="J413" s="329">
        <f t="shared" ref="J413:J417" si="749">I413</f>
        <v>0</v>
      </c>
      <c r="K413" s="274"/>
      <c r="L413" s="274"/>
      <c r="M413" s="274"/>
      <c r="N413" s="275">
        <f t="shared" si="714"/>
        <v>0</v>
      </c>
      <c r="O413" s="274"/>
      <c r="P413" s="274"/>
      <c r="Q413" s="274"/>
      <c r="R413" s="274"/>
      <c r="S413" s="274">
        <f t="shared" ref="S413:S417" si="750">SUM(O413:R413)</f>
        <v>0</v>
      </c>
      <c r="T413" s="274"/>
      <c r="U413" s="274"/>
      <c r="V413" s="274"/>
      <c r="W413" s="274"/>
      <c r="X413" s="274">
        <f t="shared" ref="X413:X417" si="751">SUM(T413:W413)</f>
        <v>0</v>
      </c>
      <c r="Y413" s="274">
        <f t="shared" ref="Y413:Y417" si="752">I413-N413</f>
        <v>0</v>
      </c>
      <c r="Z413" s="274">
        <f t="shared" ref="Z413:Z417" si="753">N413-S413</f>
        <v>0</v>
      </c>
      <c r="AA413" s="274"/>
      <c r="AB413" s="306">
        <f t="shared" ref="AB413:AB417" si="754">+S413-X413-AA413</f>
        <v>0</v>
      </c>
    </row>
    <row r="414" spans="1:28" s="90" customFormat="1" ht="14.1" hidden="1" customHeight="1" x14ac:dyDescent="0.2">
      <c r="A414" s="301"/>
      <c r="B414" s="350" t="s">
        <v>724</v>
      </c>
      <c r="C414" s="718"/>
      <c r="D414" s="718"/>
      <c r="E414" s="718"/>
      <c r="F414" s="370" t="s">
        <v>725</v>
      </c>
      <c r="G414" s="149"/>
      <c r="H414" s="149"/>
      <c r="I414" s="329">
        <f t="shared" ref="I414" si="755">G414+H414</f>
        <v>0</v>
      </c>
      <c r="J414" s="329">
        <f t="shared" ref="J414" si="756">I414</f>
        <v>0</v>
      </c>
      <c r="K414" s="274"/>
      <c r="L414" s="274"/>
      <c r="M414" s="274"/>
      <c r="N414" s="275">
        <f t="shared" si="714"/>
        <v>0</v>
      </c>
      <c r="O414" s="274"/>
      <c r="P414" s="274"/>
      <c r="Q414" s="274"/>
      <c r="R414" s="274"/>
      <c r="S414" s="274">
        <f t="shared" ref="S414" si="757">SUM(O414:R414)</f>
        <v>0</v>
      </c>
      <c r="T414" s="274"/>
      <c r="U414" s="274"/>
      <c r="V414" s="274"/>
      <c r="W414" s="274"/>
      <c r="X414" s="274">
        <f t="shared" ref="X414" si="758">SUM(T414:W414)</f>
        <v>0</v>
      </c>
      <c r="Y414" s="274">
        <f t="shared" ref="Y414" si="759">I414-N414</f>
        <v>0</v>
      </c>
      <c r="Z414" s="274">
        <f t="shared" ref="Z414" si="760">N414-S414</f>
        <v>0</v>
      </c>
      <c r="AA414" s="274"/>
      <c r="AB414" s="306">
        <f t="shared" ref="AB414" si="761">+S414-X414-AA414</f>
        <v>0</v>
      </c>
    </row>
    <row r="415" spans="1:28" s="90" customFormat="1" ht="14.1" customHeight="1" x14ac:dyDescent="0.2">
      <c r="A415" s="301"/>
      <c r="B415" s="350" t="s">
        <v>368</v>
      </c>
      <c r="C415" s="101"/>
      <c r="D415" s="101"/>
      <c r="E415" s="101"/>
      <c r="F415" s="370" t="s">
        <v>369</v>
      </c>
      <c r="G415" s="149">
        <v>245000</v>
      </c>
      <c r="H415" s="149"/>
      <c r="I415" s="329">
        <f t="shared" si="748"/>
        <v>245000</v>
      </c>
      <c r="J415" s="329">
        <f t="shared" si="749"/>
        <v>245000</v>
      </c>
      <c r="K415" s="274"/>
      <c r="L415" s="274"/>
      <c r="M415" s="274"/>
      <c r="N415" s="275">
        <f t="shared" si="714"/>
        <v>245000</v>
      </c>
      <c r="O415" s="274"/>
      <c r="P415" s="274">
        <f>2551.86+4400+4800+4800+4800+3800+2181.74+3547.51+3996.68</f>
        <v>34877.79</v>
      </c>
      <c r="Q415" s="274">
        <f>45.37+5989.6+6000+4695.92+6000+5900.06+5668.78+4000+2995.84+4000+4500+4692.8+4998.96</f>
        <v>59487.330000000009</v>
      </c>
      <c r="R415" s="274">
        <f>60550.32+5446.96+5492.72+5215.68+7978.16+7244.8+7742.72</f>
        <v>99671.360000000001</v>
      </c>
      <c r="S415" s="274">
        <f t="shared" si="750"/>
        <v>194036.48000000001</v>
      </c>
      <c r="T415" s="274"/>
      <c r="U415" s="274">
        <f>4800+4400+2051.86+500+4400+4400+3600+1681.74+3547.51+3996.68+200+400+400</f>
        <v>34377.79</v>
      </c>
      <c r="V415" s="274">
        <f>500+45.37+5589.6+5600+4495.92+200+400+400+6000+5700.06+5668.78+200+3600+2795.84+3600+4500+4692.8+4998.96+400+200+400</f>
        <v>59987.330000000009</v>
      </c>
      <c r="W415" s="274">
        <f>59350.32+400+400+200+200+5046.96+5092.72+5015.68+400+400+200+7978.16+7244.8+7742.72</f>
        <v>99671.360000000001</v>
      </c>
      <c r="X415" s="274">
        <f t="shared" si="751"/>
        <v>194036.48000000001</v>
      </c>
      <c r="Y415" s="274">
        <f t="shared" si="752"/>
        <v>0</v>
      </c>
      <c r="Z415" s="274">
        <f t="shared" si="753"/>
        <v>50963.51999999999</v>
      </c>
      <c r="AA415" s="274"/>
      <c r="AB415" s="306">
        <f t="shared" si="754"/>
        <v>0</v>
      </c>
    </row>
    <row r="416" spans="1:28" s="90" customFormat="1" ht="14.1" customHeight="1" x14ac:dyDescent="0.2">
      <c r="A416" s="301"/>
      <c r="B416" s="350" t="s">
        <v>370</v>
      </c>
      <c r="C416" s="101"/>
      <c r="D416" s="101"/>
      <c r="E416" s="101"/>
      <c r="F416" s="370" t="s">
        <v>371</v>
      </c>
      <c r="G416" s="149">
        <v>146000</v>
      </c>
      <c r="H416" s="149"/>
      <c r="I416" s="329">
        <f t="shared" si="748"/>
        <v>146000</v>
      </c>
      <c r="J416" s="329">
        <f t="shared" si="749"/>
        <v>146000</v>
      </c>
      <c r="K416" s="274"/>
      <c r="L416" s="274"/>
      <c r="M416" s="274"/>
      <c r="N416" s="275">
        <f t="shared" si="714"/>
        <v>146000</v>
      </c>
      <c r="O416" s="274"/>
      <c r="P416" s="274"/>
      <c r="Q416" s="274"/>
      <c r="R416" s="274">
        <v>13808.8</v>
      </c>
      <c r="S416" s="274">
        <f t="shared" si="750"/>
        <v>13808.8</v>
      </c>
      <c r="T416" s="274"/>
      <c r="U416" s="274"/>
      <c r="V416" s="274"/>
      <c r="W416" s="274">
        <v>13808.8</v>
      </c>
      <c r="X416" s="274">
        <f t="shared" si="751"/>
        <v>13808.8</v>
      </c>
      <c r="Y416" s="274">
        <f t="shared" si="752"/>
        <v>0</v>
      </c>
      <c r="Z416" s="274">
        <f t="shared" si="753"/>
        <v>132191.20000000001</v>
      </c>
      <c r="AA416" s="274"/>
      <c r="AB416" s="306">
        <f t="shared" si="754"/>
        <v>0</v>
      </c>
    </row>
    <row r="417" spans="1:28" s="90" customFormat="1" ht="14.1" customHeight="1" x14ac:dyDescent="0.2">
      <c r="A417" s="301"/>
      <c r="B417" s="350" t="s">
        <v>372</v>
      </c>
      <c r="C417" s="101"/>
      <c r="D417" s="101"/>
      <c r="E417" s="101"/>
      <c r="F417" s="370" t="s">
        <v>373</v>
      </c>
      <c r="G417" s="149">
        <f>657000+1840000</f>
        <v>2497000</v>
      </c>
      <c r="H417" s="149"/>
      <c r="I417" s="329">
        <f t="shared" si="748"/>
        <v>2497000</v>
      </c>
      <c r="J417" s="329">
        <f t="shared" si="749"/>
        <v>2497000</v>
      </c>
      <c r="K417" s="274">
        <f>-208956.77-475512.5</f>
        <v>-684469.27</v>
      </c>
      <c r="L417" s="274"/>
      <c r="M417" s="274"/>
      <c r="N417" s="275">
        <f t="shared" si="714"/>
        <v>1812530.73</v>
      </c>
      <c r="O417" s="274">
        <v>59267.199999999997</v>
      </c>
      <c r="P417" s="274">
        <f>46239.6+12441+10433.42+33000</f>
        <v>102114.02</v>
      </c>
      <c r="Q417" s="274">
        <f>181118.42+19760+14194.24+5527.12+3500+8200+8200+12160+44400+9600+10244.94+16720+18000+6600+19511.81</f>
        <v>377736.53</v>
      </c>
      <c r="R417" s="274">
        <f>638522.58+16965+3000+2700+3000+6466.47+1057.13+7207+91035+8400+6600+9100+6018.52+6245+6096+5880+10707.4+6890+23085+21375+10500+2835+9243.75+1120+400+15200+11900+8922.5+10500+9487.5+7420+5360.4+9175.82+9531.25+22191.96+10660.32+30780+23085+19513.55+8200+7000+27702+6985.91+10521.05+17500+4480+36000-0.1</f>
        <v>1216566.0099999998</v>
      </c>
      <c r="S417" s="274">
        <f t="shared" si="750"/>
        <v>1755683.7599999998</v>
      </c>
      <c r="T417" s="274">
        <v>59267.199999999997</v>
      </c>
      <c r="U417" s="274">
        <f>46239.6+10233.42+200+12441+33000</f>
        <v>102114.01999999999</v>
      </c>
      <c r="V417" s="274">
        <f>6600+18000+200+200+9600+44400+11960+28536.66+8200+8200+8500+13055+8470+17553.34+200+200+15960+8200+4800+10000+10204+18040+10462.42+200+200+200+200+200+9537+19760+14194.24+5327.12+3500+8200+8200+10244.94+16720+19311.81</f>
        <v>377536.53</v>
      </c>
      <c r="W417" s="274">
        <f>545348.22+16965+200+200+200+200+200+200+974.36+3000+2700+3000+6466.47+1057.13+250+200+300+200+250+200+91035+7207+8200+6400+8900+5818.52+6045+5896+5680+10507.4+6640+23085+21375+2835+200+89600+200+200+200+200+200+200+200+200+250+10500+9043.75+1120+400+15200+11900+8922.5+10500+9487.5+7420+5360.4+9175.82+9531.25+22191.96+10660.32+30780+23085+19513.55+8200+7000+27702+6985.91+10521.05+17500+4480+36000-0.1</f>
        <v>1216566.0099999998</v>
      </c>
      <c r="X417" s="274">
        <f t="shared" si="751"/>
        <v>1755483.7599999998</v>
      </c>
      <c r="Y417" s="274">
        <f t="shared" si="752"/>
        <v>684469.27</v>
      </c>
      <c r="Z417" s="274">
        <f t="shared" si="753"/>
        <v>56846.970000000205</v>
      </c>
      <c r="AA417" s="274">
        <v>200</v>
      </c>
      <c r="AB417" s="306">
        <f t="shared" si="754"/>
        <v>0</v>
      </c>
    </row>
    <row r="418" spans="1:28" s="90" customFormat="1" ht="14.1" customHeight="1" x14ac:dyDescent="0.2">
      <c r="A418" s="301"/>
      <c r="B418" s="351" t="s">
        <v>374</v>
      </c>
      <c r="C418" s="101"/>
      <c r="D418" s="101"/>
      <c r="E418" s="101"/>
      <c r="F418" s="370"/>
      <c r="G418" s="149"/>
      <c r="H418" s="149"/>
      <c r="I418" s="149"/>
      <c r="J418" s="149"/>
      <c r="K418" s="159"/>
      <c r="L418" s="159"/>
      <c r="M418" s="159"/>
      <c r="N418" s="159"/>
      <c r="O418" s="159"/>
      <c r="P418" s="159"/>
      <c r="Q418" s="159"/>
      <c r="R418" s="159"/>
      <c r="S418" s="159"/>
      <c r="T418" s="159"/>
      <c r="U418" s="159"/>
      <c r="V418" s="159"/>
      <c r="W418" s="159"/>
      <c r="X418" s="159"/>
      <c r="Y418" s="159"/>
      <c r="Z418" s="159"/>
      <c r="AA418" s="159"/>
      <c r="AB418" s="583"/>
    </row>
    <row r="419" spans="1:28" s="90" customFormat="1" ht="14.1" hidden="1" customHeight="1" x14ac:dyDescent="0.2">
      <c r="A419" s="301"/>
      <c r="B419" s="350" t="s">
        <v>375</v>
      </c>
      <c r="C419" s="101"/>
      <c r="D419" s="101"/>
      <c r="E419" s="101"/>
      <c r="F419" s="370" t="s">
        <v>376</v>
      </c>
      <c r="G419" s="149"/>
      <c r="H419" s="149"/>
      <c r="I419" s="329">
        <f t="shared" ref="I419:I436" si="762">G419+H419</f>
        <v>0</v>
      </c>
      <c r="J419" s="329">
        <f t="shared" ref="J419:J436" si="763">I419</f>
        <v>0</v>
      </c>
      <c r="K419" s="274"/>
      <c r="L419" s="274"/>
      <c r="M419" s="274"/>
      <c r="N419" s="275">
        <f t="shared" si="714"/>
        <v>0</v>
      </c>
      <c r="O419" s="274"/>
      <c r="P419" s="274"/>
      <c r="Q419" s="274"/>
      <c r="R419" s="274"/>
      <c r="S419" s="274">
        <f t="shared" ref="S419:S436" si="764">SUM(O419:R419)</f>
        <v>0</v>
      </c>
      <c r="T419" s="274"/>
      <c r="U419" s="274"/>
      <c r="V419" s="274"/>
      <c r="W419" s="274"/>
      <c r="X419" s="274">
        <f t="shared" ref="X419:X436" si="765">SUM(T419:W419)</f>
        <v>0</v>
      </c>
      <c r="Y419" s="274">
        <f t="shared" ref="Y419:Y436" si="766">I419-N419</f>
        <v>0</v>
      </c>
      <c r="Z419" s="274">
        <f t="shared" ref="Z419:Z436" si="767">N419-S419</f>
        <v>0</v>
      </c>
      <c r="AA419" s="274"/>
      <c r="AB419" s="306">
        <f t="shared" ref="AB419:AB436" si="768">+S419-X419-AA419</f>
        <v>0</v>
      </c>
    </row>
    <row r="420" spans="1:28" s="90" customFormat="1" ht="14.1" customHeight="1" x14ac:dyDescent="0.2">
      <c r="A420" s="301"/>
      <c r="B420" s="350" t="s">
        <v>377</v>
      </c>
      <c r="C420" s="101"/>
      <c r="D420" s="101"/>
      <c r="E420" s="101"/>
      <c r="F420" s="370" t="s">
        <v>378</v>
      </c>
      <c r="G420" s="149">
        <v>129000</v>
      </c>
      <c r="H420" s="149"/>
      <c r="I420" s="329">
        <f t="shared" si="762"/>
        <v>129000</v>
      </c>
      <c r="J420" s="329">
        <f t="shared" si="763"/>
        <v>129000</v>
      </c>
      <c r="K420" s="274">
        <f>208956.77+475512.5</f>
        <v>684469.27</v>
      </c>
      <c r="L420" s="274"/>
      <c r="M420" s="274"/>
      <c r="N420" s="275">
        <f t="shared" si="714"/>
        <v>813469.27</v>
      </c>
      <c r="O420" s="274"/>
      <c r="P420" s="274"/>
      <c r="Q420" s="274"/>
      <c r="R420" s="274">
        <f>120676.77+8323.23+208956.77+475512.5</f>
        <v>813469.27</v>
      </c>
      <c r="S420" s="274">
        <f t="shared" si="764"/>
        <v>813469.27</v>
      </c>
      <c r="T420" s="274"/>
      <c r="U420" s="274"/>
      <c r="V420" s="274"/>
      <c r="W420" s="274">
        <f>120676.77+8323.23+208956.77+475512.5</f>
        <v>813469.27</v>
      </c>
      <c r="X420" s="274">
        <f t="shared" si="765"/>
        <v>813469.27</v>
      </c>
      <c r="Y420" s="274">
        <f t="shared" si="766"/>
        <v>-684469.27</v>
      </c>
      <c r="Z420" s="274">
        <f t="shared" si="767"/>
        <v>0</v>
      </c>
      <c r="AA420" s="274"/>
      <c r="AB420" s="306">
        <f t="shared" si="768"/>
        <v>0</v>
      </c>
    </row>
    <row r="421" spans="1:28" s="90" customFormat="1" ht="14.1" hidden="1" customHeight="1" x14ac:dyDescent="0.2">
      <c r="A421" s="301"/>
      <c r="B421" s="350" t="s">
        <v>379</v>
      </c>
      <c r="C421" s="101"/>
      <c r="D421" s="101"/>
      <c r="E421" s="101"/>
      <c r="F421" s="370" t="s">
        <v>380</v>
      </c>
      <c r="G421" s="149"/>
      <c r="H421" s="149"/>
      <c r="I421" s="329">
        <f t="shared" si="762"/>
        <v>0</v>
      </c>
      <c r="J421" s="329">
        <f t="shared" si="763"/>
        <v>0</v>
      </c>
      <c r="K421" s="274"/>
      <c r="L421" s="274"/>
      <c r="M421" s="274"/>
      <c r="N421" s="275">
        <f t="shared" si="714"/>
        <v>0</v>
      </c>
      <c r="O421" s="274"/>
      <c r="P421" s="274"/>
      <c r="Q421" s="274"/>
      <c r="R421" s="274"/>
      <c r="S421" s="274">
        <f t="shared" si="764"/>
        <v>0</v>
      </c>
      <c r="T421" s="274"/>
      <c r="U421" s="274"/>
      <c r="V421" s="274"/>
      <c r="W421" s="274"/>
      <c r="X421" s="274">
        <f t="shared" si="765"/>
        <v>0</v>
      </c>
      <c r="Y421" s="274">
        <f t="shared" si="766"/>
        <v>0</v>
      </c>
      <c r="Z421" s="274">
        <f t="shared" si="767"/>
        <v>0</v>
      </c>
      <c r="AA421" s="274"/>
      <c r="AB421" s="306">
        <f t="shared" si="768"/>
        <v>0</v>
      </c>
    </row>
    <row r="422" spans="1:28" s="90" customFormat="1" ht="14.1" hidden="1" customHeight="1" x14ac:dyDescent="0.2">
      <c r="A422" s="301"/>
      <c r="B422" s="350" t="s">
        <v>381</v>
      </c>
      <c r="C422" s="101"/>
      <c r="D422" s="101"/>
      <c r="E422" s="101"/>
      <c r="F422" s="370" t="s">
        <v>382</v>
      </c>
      <c r="G422" s="149"/>
      <c r="H422" s="149"/>
      <c r="I422" s="329">
        <f t="shared" si="762"/>
        <v>0</v>
      </c>
      <c r="J422" s="329">
        <f t="shared" si="763"/>
        <v>0</v>
      </c>
      <c r="K422" s="274"/>
      <c r="L422" s="274"/>
      <c r="M422" s="274"/>
      <c r="N422" s="275">
        <f t="shared" si="714"/>
        <v>0</v>
      </c>
      <c r="O422" s="274"/>
      <c r="P422" s="274"/>
      <c r="Q422" s="274"/>
      <c r="R422" s="274"/>
      <c r="S422" s="274">
        <f t="shared" si="764"/>
        <v>0</v>
      </c>
      <c r="T422" s="274"/>
      <c r="U422" s="274"/>
      <c r="V422" s="274"/>
      <c r="W422" s="274"/>
      <c r="X422" s="274">
        <f t="shared" si="765"/>
        <v>0</v>
      </c>
      <c r="Y422" s="274">
        <f t="shared" si="766"/>
        <v>0</v>
      </c>
      <c r="Z422" s="274">
        <f t="shared" si="767"/>
        <v>0</v>
      </c>
      <c r="AA422" s="274"/>
      <c r="AB422" s="306">
        <f t="shared" si="768"/>
        <v>0</v>
      </c>
    </row>
    <row r="423" spans="1:28" s="90" customFormat="1" ht="14.1" hidden="1" customHeight="1" x14ac:dyDescent="0.2">
      <c r="A423" s="301"/>
      <c r="B423" s="350" t="s">
        <v>383</v>
      </c>
      <c r="C423" s="101"/>
      <c r="D423" s="101"/>
      <c r="E423" s="101"/>
      <c r="F423" s="370" t="s">
        <v>384</v>
      </c>
      <c r="G423" s="149"/>
      <c r="H423" s="149"/>
      <c r="I423" s="329">
        <f t="shared" si="762"/>
        <v>0</v>
      </c>
      <c r="J423" s="329">
        <f t="shared" si="763"/>
        <v>0</v>
      </c>
      <c r="K423" s="274"/>
      <c r="L423" s="274"/>
      <c r="M423" s="274"/>
      <c r="N423" s="275">
        <f t="shared" si="714"/>
        <v>0</v>
      </c>
      <c r="O423" s="274"/>
      <c r="P423" s="274"/>
      <c r="Q423" s="274"/>
      <c r="R423" s="274"/>
      <c r="S423" s="274">
        <f t="shared" si="764"/>
        <v>0</v>
      </c>
      <c r="T423" s="274"/>
      <c r="U423" s="274"/>
      <c r="V423" s="274"/>
      <c r="W423" s="274"/>
      <c r="X423" s="274">
        <f t="shared" si="765"/>
        <v>0</v>
      </c>
      <c r="Y423" s="274">
        <f t="shared" si="766"/>
        <v>0</v>
      </c>
      <c r="Z423" s="274">
        <f t="shared" si="767"/>
        <v>0</v>
      </c>
      <c r="AA423" s="274"/>
      <c r="AB423" s="306">
        <f t="shared" si="768"/>
        <v>0</v>
      </c>
    </row>
    <row r="424" spans="1:28" s="90" customFormat="1" ht="14.1" hidden="1" customHeight="1" x14ac:dyDescent="0.2">
      <c r="A424" s="301"/>
      <c r="B424" s="350" t="s">
        <v>385</v>
      </c>
      <c r="C424" s="101"/>
      <c r="D424" s="101"/>
      <c r="E424" s="101"/>
      <c r="F424" s="370" t="s">
        <v>386</v>
      </c>
      <c r="G424" s="149"/>
      <c r="H424" s="149"/>
      <c r="I424" s="329">
        <f t="shared" si="762"/>
        <v>0</v>
      </c>
      <c r="J424" s="329">
        <f t="shared" si="763"/>
        <v>0</v>
      </c>
      <c r="K424" s="274"/>
      <c r="L424" s="274"/>
      <c r="M424" s="274"/>
      <c r="N424" s="275">
        <f t="shared" si="714"/>
        <v>0</v>
      </c>
      <c r="O424" s="274"/>
      <c r="P424" s="274"/>
      <c r="Q424" s="274"/>
      <c r="R424" s="274"/>
      <c r="S424" s="274">
        <f t="shared" si="764"/>
        <v>0</v>
      </c>
      <c r="T424" s="274"/>
      <c r="U424" s="274"/>
      <c r="V424" s="274"/>
      <c r="W424" s="274"/>
      <c r="X424" s="274">
        <f t="shared" si="765"/>
        <v>0</v>
      </c>
      <c r="Y424" s="274">
        <f t="shared" si="766"/>
        <v>0</v>
      </c>
      <c r="Z424" s="274">
        <f t="shared" si="767"/>
        <v>0</v>
      </c>
      <c r="AA424" s="274"/>
      <c r="AB424" s="306">
        <f t="shared" si="768"/>
        <v>0</v>
      </c>
    </row>
    <row r="425" spans="1:28" s="90" customFormat="1" ht="14.1" customHeight="1" x14ac:dyDescent="0.2">
      <c r="A425" s="301"/>
      <c r="B425" s="350" t="s">
        <v>726</v>
      </c>
      <c r="C425" s="718"/>
      <c r="D425" s="718"/>
      <c r="E425" s="718"/>
      <c r="F425" s="370" t="s">
        <v>387</v>
      </c>
      <c r="G425" s="149">
        <v>52000</v>
      </c>
      <c r="H425" s="149"/>
      <c r="I425" s="329">
        <f t="shared" si="762"/>
        <v>52000</v>
      </c>
      <c r="J425" s="329">
        <f t="shared" si="763"/>
        <v>52000</v>
      </c>
      <c r="K425" s="274"/>
      <c r="L425" s="274"/>
      <c r="M425" s="274"/>
      <c r="N425" s="275">
        <f t="shared" si="714"/>
        <v>52000</v>
      </c>
      <c r="O425" s="274"/>
      <c r="P425" s="274">
        <f>900+980</f>
        <v>1880</v>
      </c>
      <c r="Q425" s="274">
        <f>4000+1500</f>
        <v>5500</v>
      </c>
      <c r="R425" s="274">
        <f>4500+4590+19000</f>
        <v>28090</v>
      </c>
      <c r="S425" s="274">
        <f t="shared" si="764"/>
        <v>35470</v>
      </c>
      <c r="T425" s="274"/>
      <c r="U425" s="274">
        <f>900+980</f>
        <v>1880</v>
      </c>
      <c r="V425" s="274">
        <f>1500+4000</f>
        <v>5500</v>
      </c>
      <c r="W425" s="274">
        <f>4500+4590+19000</f>
        <v>28090</v>
      </c>
      <c r="X425" s="274">
        <f t="shared" si="765"/>
        <v>35470</v>
      </c>
      <c r="Y425" s="274">
        <f t="shared" si="766"/>
        <v>0</v>
      </c>
      <c r="Z425" s="274">
        <f t="shared" si="767"/>
        <v>16530</v>
      </c>
      <c r="AA425" s="274"/>
      <c r="AB425" s="306">
        <f t="shared" si="768"/>
        <v>0</v>
      </c>
    </row>
    <row r="426" spans="1:28" s="90" customFormat="1" ht="14.1" hidden="1" customHeight="1" x14ac:dyDescent="0.2">
      <c r="A426" s="301"/>
      <c r="B426" s="350" t="s">
        <v>388</v>
      </c>
      <c r="C426" s="101"/>
      <c r="D426" s="101"/>
      <c r="E426" s="101"/>
      <c r="F426" s="370" t="s">
        <v>389</v>
      </c>
      <c r="G426" s="149"/>
      <c r="H426" s="149"/>
      <c r="I426" s="329">
        <f t="shared" si="762"/>
        <v>0</v>
      </c>
      <c r="J426" s="329">
        <f t="shared" si="763"/>
        <v>0</v>
      </c>
      <c r="K426" s="274"/>
      <c r="L426" s="274"/>
      <c r="M426" s="274"/>
      <c r="N426" s="275">
        <f t="shared" si="714"/>
        <v>0</v>
      </c>
      <c r="O426" s="274"/>
      <c r="P426" s="274"/>
      <c r="Q426" s="274"/>
      <c r="R426" s="274"/>
      <c r="S426" s="274">
        <f t="shared" si="764"/>
        <v>0</v>
      </c>
      <c r="T426" s="274"/>
      <c r="U426" s="274"/>
      <c r="V426" s="274"/>
      <c r="W426" s="274"/>
      <c r="X426" s="274">
        <f t="shared" si="765"/>
        <v>0</v>
      </c>
      <c r="Y426" s="274">
        <f t="shared" si="766"/>
        <v>0</v>
      </c>
      <c r="Z426" s="274">
        <f t="shared" si="767"/>
        <v>0</v>
      </c>
      <c r="AA426" s="274"/>
      <c r="AB426" s="306">
        <f t="shared" si="768"/>
        <v>0</v>
      </c>
    </row>
    <row r="427" spans="1:28" s="90" customFormat="1" ht="14.1" hidden="1" customHeight="1" x14ac:dyDescent="0.2">
      <c r="A427" s="301"/>
      <c r="B427" s="350" t="s">
        <v>390</v>
      </c>
      <c r="C427" s="101"/>
      <c r="D427" s="101"/>
      <c r="E427" s="101"/>
      <c r="F427" s="370" t="s">
        <v>391</v>
      </c>
      <c r="G427" s="149"/>
      <c r="H427" s="149"/>
      <c r="I427" s="329">
        <f t="shared" si="762"/>
        <v>0</v>
      </c>
      <c r="J427" s="329">
        <f t="shared" si="763"/>
        <v>0</v>
      </c>
      <c r="K427" s="274"/>
      <c r="L427" s="274"/>
      <c r="M427" s="274"/>
      <c r="N427" s="275">
        <f t="shared" si="714"/>
        <v>0</v>
      </c>
      <c r="O427" s="274"/>
      <c r="P427" s="274"/>
      <c r="Q427" s="274"/>
      <c r="R427" s="274"/>
      <c r="S427" s="274">
        <f t="shared" si="764"/>
        <v>0</v>
      </c>
      <c r="T427" s="274"/>
      <c r="U427" s="274"/>
      <c r="V427" s="274"/>
      <c r="W427" s="274"/>
      <c r="X427" s="274">
        <f t="shared" si="765"/>
        <v>0</v>
      </c>
      <c r="Y427" s="274">
        <f t="shared" si="766"/>
        <v>0</v>
      </c>
      <c r="Z427" s="274">
        <f t="shared" si="767"/>
        <v>0</v>
      </c>
      <c r="AA427" s="274"/>
      <c r="AB427" s="306">
        <f t="shared" si="768"/>
        <v>0</v>
      </c>
    </row>
    <row r="428" spans="1:28" s="90" customFormat="1" ht="14.1" hidden="1" customHeight="1" x14ac:dyDescent="0.2">
      <c r="A428" s="301"/>
      <c r="B428" s="350" t="s">
        <v>392</v>
      </c>
      <c r="C428" s="101"/>
      <c r="D428" s="101"/>
      <c r="E428" s="101"/>
      <c r="F428" s="370" t="s">
        <v>393</v>
      </c>
      <c r="G428" s="149"/>
      <c r="H428" s="149"/>
      <c r="I428" s="329">
        <f t="shared" si="762"/>
        <v>0</v>
      </c>
      <c r="J428" s="329">
        <f t="shared" si="763"/>
        <v>0</v>
      </c>
      <c r="K428" s="274"/>
      <c r="L428" s="274"/>
      <c r="M428" s="274"/>
      <c r="N428" s="275">
        <f t="shared" si="714"/>
        <v>0</v>
      </c>
      <c r="O428" s="274"/>
      <c r="P428" s="274"/>
      <c r="Q428" s="274"/>
      <c r="R428" s="274"/>
      <c r="S428" s="274">
        <f t="shared" si="764"/>
        <v>0</v>
      </c>
      <c r="T428" s="274"/>
      <c r="U428" s="274"/>
      <c r="V428" s="274"/>
      <c r="W428" s="274"/>
      <c r="X428" s="274">
        <f t="shared" si="765"/>
        <v>0</v>
      </c>
      <c r="Y428" s="274">
        <f t="shared" si="766"/>
        <v>0</v>
      </c>
      <c r="Z428" s="274">
        <f t="shared" si="767"/>
        <v>0</v>
      </c>
      <c r="AA428" s="274"/>
      <c r="AB428" s="306">
        <f t="shared" si="768"/>
        <v>0</v>
      </c>
    </row>
    <row r="429" spans="1:28" s="90" customFormat="1" ht="14.1" hidden="1" customHeight="1" x14ac:dyDescent="0.2">
      <c r="A429" s="301"/>
      <c r="B429" s="350" t="s">
        <v>394</v>
      </c>
      <c r="C429" s="101"/>
      <c r="D429" s="101"/>
      <c r="E429" s="101"/>
      <c r="F429" s="370" t="s">
        <v>395</v>
      </c>
      <c r="G429" s="149"/>
      <c r="H429" s="149"/>
      <c r="I429" s="329">
        <f t="shared" si="762"/>
        <v>0</v>
      </c>
      <c r="J429" s="329">
        <f t="shared" si="763"/>
        <v>0</v>
      </c>
      <c r="K429" s="274"/>
      <c r="L429" s="274"/>
      <c r="M429" s="274"/>
      <c r="N429" s="275">
        <f t="shared" si="714"/>
        <v>0</v>
      </c>
      <c r="O429" s="274"/>
      <c r="P429" s="274"/>
      <c r="Q429" s="274"/>
      <c r="R429" s="274"/>
      <c r="S429" s="274">
        <f t="shared" si="764"/>
        <v>0</v>
      </c>
      <c r="T429" s="274"/>
      <c r="U429" s="274"/>
      <c r="V429" s="274"/>
      <c r="W429" s="274"/>
      <c r="X429" s="274">
        <f t="shared" si="765"/>
        <v>0</v>
      </c>
      <c r="Y429" s="274">
        <f t="shared" si="766"/>
        <v>0</v>
      </c>
      <c r="Z429" s="274">
        <f t="shared" si="767"/>
        <v>0</v>
      </c>
      <c r="AA429" s="274"/>
      <c r="AB429" s="306">
        <f t="shared" si="768"/>
        <v>0</v>
      </c>
    </row>
    <row r="430" spans="1:28" s="90" customFormat="1" ht="14.1" hidden="1" customHeight="1" x14ac:dyDescent="0.2">
      <c r="A430" s="301"/>
      <c r="B430" s="350" t="s">
        <v>396</v>
      </c>
      <c r="C430" s="101"/>
      <c r="D430" s="101"/>
      <c r="E430" s="101"/>
      <c r="F430" s="370" t="s">
        <v>397</v>
      </c>
      <c r="G430" s="149"/>
      <c r="H430" s="149"/>
      <c r="I430" s="329">
        <f t="shared" si="762"/>
        <v>0</v>
      </c>
      <c r="J430" s="329">
        <f t="shared" si="763"/>
        <v>0</v>
      </c>
      <c r="K430" s="274"/>
      <c r="L430" s="274"/>
      <c r="M430" s="274"/>
      <c r="N430" s="275">
        <f t="shared" si="714"/>
        <v>0</v>
      </c>
      <c r="O430" s="274"/>
      <c r="P430" s="274"/>
      <c r="Q430" s="274"/>
      <c r="R430" s="274"/>
      <c r="S430" s="274">
        <f t="shared" si="764"/>
        <v>0</v>
      </c>
      <c r="T430" s="274"/>
      <c r="U430" s="274"/>
      <c r="V430" s="274"/>
      <c r="W430" s="274"/>
      <c r="X430" s="274">
        <f t="shared" si="765"/>
        <v>0</v>
      </c>
      <c r="Y430" s="274">
        <f t="shared" si="766"/>
        <v>0</v>
      </c>
      <c r="Z430" s="274">
        <f t="shared" si="767"/>
        <v>0</v>
      </c>
      <c r="AA430" s="274"/>
      <c r="AB430" s="306">
        <f t="shared" si="768"/>
        <v>0</v>
      </c>
    </row>
    <row r="431" spans="1:28" s="90" customFormat="1" ht="14.1" customHeight="1" x14ac:dyDescent="0.2">
      <c r="A431" s="301"/>
      <c r="B431" s="350" t="s">
        <v>398</v>
      </c>
      <c r="C431" s="101"/>
      <c r="D431" s="101"/>
      <c r="E431" s="101"/>
      <c r="F431" s="370" t="s">
        <v>399</v>
      </c>
      <c r="G431" s="149">
        <f>192000+134000</f>
        <v>326000</v>
      </c>
      <c r="H431" s="149"/>
      <c r="I431" s="329">
        <f t="shared" si="762"/>
        <v>326000</v>
      </c>
      <c r="J431" s="329">
        <f t="shared" si="763"/>
        <v>326000</v>
      </c>
      <c r="K431" s="274"/>
      <c r="L431" s="274"/>
      <c r="M431" s="274">
        <v>38000</v>
      </c>
      <c r="N431" s="275">
        <f t="shared" si="714"/>
        <v>364000</v>
      </c>
      <c r="O431" s="274">
        <v>16133</v>
      </c>
      <c r="P431" s="274">
        <v>67204.990000000005</v>
      </c>
      <c r="Q431" s="274">
        <f>1000+1000+1000+1000</f>
        <v>4000</v>
      </c>
      <c r="R431" s="274">
        <f>13522.71+1000+1000+2343+3600+6600+38554+100000</f>
        <v>166619.71</v>
      </c>
      <c r="S431" s="274">
        <f t="shared" si="764"/>
        <v>253957.7</v>
      </c>
      <c r="T431" s="274">
        <v>16133</v>
      </c>
      <c r="U431" s="274">
        <f>64204.99+1500+1500</f>
        <v>67204.989999999991</v>
      </c>
      <c r="V431" s="274">
        <f>1000+1000+1000+1000</f>
        <v>4000</v>
      </c>
      <c r="W431" s="274">
        <f>13522.71+1000+1000+2343+3600+6600+38554+100000</f>
        <v>166619.71</v>
      </c>
      <c r="X431" s="274">
        <f t="shared" si="765"/>
        <v>253957.69999999998</v>
      </c>
      <c r="Y431" s="274">
        <f t="shared" si="766"/>
        <v>-38000</v>
      </c>
      <c r="Z431" s="274">
        <f t="shared" si="767"/>
        <v>110042.29999999999</v>
      </c>
      <c r="AA431" s="274"/>
      <c r="AB431" s="306">
        <f t="shared" si="768"/>
        <v>2.9103830456733704E-11</v>
      </c>
    </row>
    <row r="432" spans="1:28" s="90" customFormat="1" ht="14.1" hidden="1" customHeight="1" x14ac:dyDescent="0.2">
      <c r="A432" s="301"/>
      <c r="B432" s="350" t="s">
        <v>400</v>
      </c>
      <c r="C432" s="101"/>
      <c r="D432" s="101"/>
      <c r="E432" s="101"/>
      <c r="F432" s="370" t="s">
        <v>401</v>
      </c>
      <c r="G432" s="149"/>
      <c r="H432" s="149"/>
      <c r="I432" s="329">
        <f t="shared" si="762"/>
        <v>0</v>
      </c>
      <c r="J432" s="329">
        <f t="shared" si="763"/>
        <v>0</v>
      </c>
      <c r="K432" s="274"/>
      <c r="L432" s="274"/>
      <c r="M432" s="274"/>
      <c r="N432" s="275">
        <f t="shared" si="714"/>
        <v>0</v>
      </c>
      <c r="O432" s="274"/>
      <c r="P432" s="274"/>
      <c r="Q432" s="274"/>
      <c r="R432" s="274"/>
      <c r="S432" s="274">
        <f t="shared" si="764"/>
        <v>0</v>
      </c>
      <c r="T432" s="274"/>
      <c r="U432" s="274"/>
      <c r="V432" s="274"/>
      <c r="W432" s="274"/>
      <c r="X432" s="274">
        <f t="shared" si="765"/>
        <v>0</v>
      </c>
      <c r="Y432" s="274">
        <f t="shared" si="766"/>
        <v>0</v>
      </c>
      <c r="Z432" s="274">
        <f t="shared" si="767"/>
        <v>0</v>
      </c>
      <c r="AA432" s="274"/>
      <c r="AB432" s="306">
        <f t="shared" si="768"/>
        <v>0</v>
      </c>
    </row>
    <row r="433" spans="1:28" s="90" customFormat="1" ht="14.1" hidden="1" customHeight="1" x14ac:dyDescent="0.2">
      <c r="A433" s="301"/>
      <c r="B433" s="350" t="s">
        <v>402</v>
      </c>
      <c r="C433" s="101"/>
      <c r="D433" s="101"/>
      <c r="E433" s="101"/>
      <c r="F433" s="370" t="s">
        <v>403</v>
      </c>
      <c r="G433" s="149"/>
      <c r="H433" s="149"/>
      <c r="I433" s="329">
        <f t="shared" si="762"/>
        <v>0</v>
      </c>
      <c r="J433" s="329">
        <f t="shared" si="763"/>
        <v>0</v>
      </c>
      <c r="K433" s="274"/>
      <c r="L433" s="274"/>
      <c r="M433" s="274"/>
      <c r="N433" s="275">
        <f t="shared" si="714"/>
        <v>0</v>
      </c>
      <c r="O433" s="274"/>
      <c r="P433" s="274"/>
      <c r="Q433" s="274"/>
      <c r="R433" s="274"/>
      <c r="S433" s="274">
        <f t="shared" si="764"/>
        <v>0</v>
      </c>
      <c r="T433" s="274"/>
      <c r="U433" s="274"/>
      <c r="V433" s="274"/>
      <c r="W433" s="274"/>
      <c r="X433" s="274">
        <f t="shared" si="765"/>
        <v>0</v>
      </c>
      <c r="Y433" s="274">
        <f t="shared" si="766"/>
        <v>0</v>
      </c>
      <c r="Z433" s="274">
        <f t="shared" si="767"/>
        <v>0</v>
      </c>
      <c r="AA433" s="274"/>
      <c r="AB433" s="306">
        <f t="shared" si="768"/>
        <v>0</v>
      </c>
    </row>
    <row r="434" spans="1:28" s="90" customFormat="1" ht="14.1" hidden="1" customHeight="1" x14ac:dyDescent="0.2">
      <c r="A434" s="301"/>
      <c r="B434" s="350" t="s">
        <v>404</v>
      </c>
      <c r="C434" s="101"/>
      <c r="D434" s="101"/>
      <c r="E434" s="101"/>
      <c r="F434" s="370" t="s">
        <v>405</v>
      </c>
      <c r="G434" s="149"/>
      <c r="H434" s="149"/>
      <c r="I434" s="329">
        <f t="shared" si="762"/>
        <v>0</v>
      </c>
      <c r="J434" s="329">
        <f t="shared" si="763"/>
        <v>0</v>
      </c>
      <c r="K434" s="274"/>
      <c r="L434" s="274"/>
      <c r="M434" s="274"/>
      <c r="N434" s="275">
        <f t="shared" si="714"/>
        <v>0</v>
      </c>
      <c r="O434" s="274"/>
      <c r="P434" s="274"/>
      <c r="Q434" s="274"/>
      <c r="R434" s="274"/>
      <c r="S434" s="274">
        <f t="shared" si="764"/>
        <v>0</v>
      </c>
      <c r="T434" s="274"/>
      <c r="U434" s="274"/>
      <c r="V434" s="274"/>
      <c r="W434" s="274"/>
      <c r="X434" s="274">
        <f t="shared" si="765"/>
        <v>0</v>
      </c>
      <c r="Y434" s="274">
        <f t="shared" si="766"/>
        <v>0</v>
      </c>
      <c r="Z434" s="274">
        <f t="shared" si="767"/>
        <v>0</v>
      </c>
      <c r="AA434" s="274"/>
      <c r="AB434" s="306">
        <f t="shared" si="768"/>
        <v>0</v>
      </c>
    </row>
    <row r="435" spans="1:28" s="90" customFormat="1" ht="14.1" hidden="1" customHeight="1" x14ac:dyDescent="0.2">
      <c r="A435" s="301"/>
      <c r="B435" s="350" t="s">
        <v>727</v>
      </c>
      <c r="C435" s="718"/>
      <c r="D435" s="718"/>
      <c r="E435" s="718"/>
      <c r="F435" s="370" t="s">
        <v>728</v>
      </c>
      <c r="G435" s="149"/>
      <c r="H435" s="149"/>
      <c r="I435" s="329">
        <f t="shared" ref="I435" si="769">G435+H435</f>
        <v>0</v>
      </c>
      <c r="J435" s="329">
        <f t="shared" ref="J435" si="770">I435</f>
        <v>0</v>
      </c>
      <c r="K435" s="274"/>
      <c r="L435" s="274"/>
      <c r="M435" s="274"/>
      <c r="N435" s="275">
        <f t="shared" si="714"/>
        <v>0</v>
      </c>
      <c r="O435" s="274"/>
      <c r="P435" s="274"/>
      <c r="Q435" s="274"/>
      <c r="R435" s="274"/>
      <c r="S435" s="274">
        <f t="shared" ref="S435" si="771">SUM(O435:R435)</f>
        <v>0</v>
      </c>
      <c r="T435" s="274"/>
      <c r="U435" s="274"/>
      <c r="V435" s="274"/>
      <c r="W435" s="274"/>
      <c r="X435" s="274">
        <f t="shared" ref="X435" si="772">SUM(T435:W435)</f>
        <v>0</v>
      </c>
      <c r="Y435" s="274">
        <f t="shared" ref="Y435" si="773">I435-N435</f>
        <v>0</v>
      </c>
      <c r="Z435" s="274">
        <f t="shared" ref="Z435" si="774">N435-S435</f>
        <v>0</v>
      </c>
      <c r="AA435" s="274"/>
      <c r="AB435" s="306">
        <f t="shared" ref="AB435" si="775">+S435-X435-AA435</f>
        <v>0</v>
      </c>
    </row>
    <row r="436" spans="1:28" s="90" customFormat="1" ht="14.1" hidden="1" customHeight="1" x14ac:dyDescent="0.2">
      <c r="A436" s="301"/>
      <c r="B436" s="350" t="s">
        <v>406</v>
      </c>
      <c r="C436" s="101"/>
      <c r="D436" s="101"/>
      <c r="E436" s="101"/>
      <c r="F436" s="370" t="s">
        <v>407</v>
      </c>
      <c r="G436" s="149"/>
      <c r="H436" s="149"/>
      <c r="I436" s="329">
        <f t="shared" si="762"/>
        <v>0</v>
      </c>
      <c r="J436" s="329">
        <f t="shared" si="763"/>
        <v>0</v>
      </c>
      <c r="K436" s="274"/>
      <c r="L436" s="274"/>
      <c r="M436" s="274"/>
      <c r="N436" s="275">
        <f t="shared" si="714"/>
        <v>0</v>
      </c>
      <c r="O436" s="274"/>
      <c r="P436" s="274"/>
      <c r="Q436" s="274"/>
      <c r="R436" s="274"/>
      <c r="S436" s="274">
        <f t="shared" si="764"/>
        <v>0</v>
      </c>
      <c r="T436" s="274"/>
      <c r="U436" s="274"/>
      <c r="V436" s="274"/>
      <c r="W436" s="274"/>
      <c r="X436" s="274">
        <f t="shared" si="765"/>
        <v>0</v>
      </c>
      <c r="Y436" s="274">
        <f t="shared" si="766"/>
        <v>0</v>
      </c>
      <c r="Z436" s="274">
        <f t="shared" si="767"/>
        <v>0</v>
      </c>
      <c r="AA436" s="274"/>
      <c r="AB436" s="306">
        <f t="shared" si="768"/>
        <v>0</v>
      </c>
    </row>
    <row r="437" spans="1:28" s="90" customFormat="1" ht="14.1" customHeight="1" x14ac:dyDescent="0.2">
      <c r="A437" s="301"/>
      <c r="B437" s="351" t="s">
        <v>408</v>
      </c>
      <c r="C437" s="101"/>
      <c r="D437" s="101"/>
      <c r="E437" s="101"/>
      <c r="F437" s="370"/>
      <c r="G437" s="149"/>
      <c r="H437" s="149"/>
      <c r="I437" s="149"/>
      <c r="J437" s="14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  <c r="AA437" s="159"/>
      <c r="AB437" s="583"/>
    </row>
    <row r="438" spans="1:28" s="90" customFormat="1" ht="14.1" customHeight="1" x14ac:dyDescent="0.2">
      <c r="A438" s="301"/>
      <c r="B438" s="350" t="s">
        <v>409</v>
      </c>
      <c r="C438" s="101"/>
      <c r="D438" s="101"/>
      <c r="E438" s="101"/>
      <c r="F438" s="370" t="s">
        <v>410</v>
      </c>
      <c r="G438" s="149">
        <v>3000</v>
      </c>
      <c r="H438" s="149"/>
      <c r="I438" s="329">
        <f t="shared" ref="I438:I440" si="776">G438+H438</f>
        <v>3000</v>
      </c>
      <c r="J438" s="329">
        <f t="shared" ref="J438:J440" si="777">I438</f>
        <v>3000</v>
      </c>
      <c r="K438" s="274"/>
      <c r="L438" s="274"/>
      <c r="M438" s="274">
        <v>840</v>
      </c>
      <c r="N438" s="275">
        <f t="shared" si="714"/>
        <v>3840</v>
      </c>
      <c r="O438" s="274"/>
      <c r="P438" s="274"/>
      <c r="Q438" s="274">
        <v>1471.24</v>
      </c>
      <c r="R438" s="274">
        <v>2368.7600000000002</v>
      </c>
      <c r="S438" s="274">
        <f t="shared" ref="S438:S440" si="778">SUM(O438:R438)</f>
        <v>3840</v>
      </c>
      <c r="T438" s="274"/>
      <c r="U438" s="274"/>
      <c r="V438" s="274">
        <v>1471.24</v>
      </c>
      <c r="W438" s="274">
        <v>2368.7600000000002</v>
      </c>
      <c r="X438" s="274">
        <f t="shared" ref="X438:X440" si="779">SUM(T438:W438)</f>
        <v>3840</v>
      </c>
      <c r="Y438" s="274">
        <f t="shared" ref="Y438:Y440" si="780">I438-N438</f>
        <v>-840</v>
      </c>
      <c r="Z438" s="274">
        <f t="shared" ref="Z438:Z440" si="781">N438-S438</f>
        <v>0</v>
      </c>
      <c r="AA438" s="274"/>
      <c r="AB438" s="306">
        <f t="shared" ref="AB438:AB440" si="782">+S438-X438-AA438</f>
        <v>0</v>
      </c>
    </row>
    <row r="439" spans="1:28" s="90" customFormat="1" ht="14.1" customHeight="1" x14ac:dyDescent="0.2">
      <c r="A439" s="301"/>
      <c r="B439" s="350" t="s">
        <v>411</v>
      </c>
      <c r="C439" s="101"/>
      <c r="D439" s="101"/>
      <c r="E439" s="101"/>
      <c r="F439" s="370" t="s">
        <v>412</v>
      </c>
      <c r="G439" s="149">
        <v>9000</v>
      </c>
      <c r="H439" s="149"/>
      <c r="I439" s="329">
        <f t="shared" si="776"/>
        <v>9000</v>
      </c>
      <c r="J439" s="329">
        <f t="shared" si="777"/>
        <v>9000</v>
      </c>
      <c r="K439" s="274"/>
      <c r="L439" s="274"/>
      <c r="M439" s="274">
        <v>6760</v>
      </c>
      <c r="N439" s="275">
        <f t="shared" si="714"/>
        <v>15760</v>
      </c>
      <c r="O439" s="274">
        <v>4725</v>
      </c>
      <c r="P439" s="274">
        <f>1125+6890</f>
        <v>8015</v>
      </c>
      <c r="Q439" s="274"/>
      <c r="R439" s="274"/>
      <c r="S439" s="274">
        <f t="shared" si="778"/>
        <v>12740</v>
      </c>
      <c r="T439" s="274">
        <v>4725</v>
      </c>
      <c r="U439" s="274">
        <f>1125+6890</f>
        <v>8015</v>
      </c>
      <c r="V439" s="274"/>
      <c r="W439" s="274"/>
      <c r="X439" s="274">
        <f t="shared" si="779"/>
        <v>12740</v>
      </c>
      <c r="Y439" s="274">
        <f t="shared" si="780"/>
        <v>-6760</v>
      </c>
      <c r="Z439" s="274">
        <f t="shared" si="781"/>
        <v>3020</v>
      </c>
      <c r="AA439" s="274"/>
      <c r="AB439" s="306">
        <f t="shared" si="782"/>
        <v>0</v>
      </c>
    </row>
    <row r="440" spans="1:28" s="90" customFormat="1" ht="14.1" customHeight="1" x14ac:dyDescent="0.2">
      <c r="A440" s="301"/>
      <c r="B440" s="350" t="s">
        <v>413</v>
      </c>
      <c r="C440" s="101"/>
      <c r="D440" s="101"/>
      <c r="E440" s="101"/>
      <c r="F440" s="370" t="s">
        <v>414</v>
      </c>
      <c r="G440" s="149">
        <v>29000</v>
      </c>
      <c r="H440" s="149"/>
      <c r="I440" s="329">
        <f t="shared" si="776"/>
        <v>29000</v>
      </c>
      <c r="J440" s="329">
        <f t="shared" si="777"/>
        <v>29000</v>
      </c>
      <c r="K440" s="274"/>
      <c r="L440" s="274"/>
      <c r="M440" s="274">
        <v>2500</v>
      </c>
      <c r="N440" s="275">
        <f t="shared" si="714"/>
        <v>31500</v>
      </c>
      <c r="O440" s="274"/>
      <c r="P440" s="274"/>
      <c r="Q440" s="274">
        <v>16136.61</v>
      </c>
      <c r="R440" s="274">
        <v>8758.2999999999993</v>
      </c>
      <c r="S440" s="274">
        <f t="shared" si="778"/>
        <v>24894.91</v>
      </c>
      <c r="T440" s="274"/>
      <c r="U440" s="274"/>
      <c r="V440" s="274">
        <f>5500+10636.61</f>
        <v>16136.61</v>
      </c>
      <c r="W440" s="274">
        <v>8758.2999999999993</v>
      </c>
      <c r="X440" s="274">
        <f t="shared" si="779"/>
        <v>24894.91</v>
      </c>
      <c r="Y440" s="274">
        <f t="shared" si="780"/>
        <v>-2500</v>
      </c>
      <c r="Z440" s="274">
        <f t="shared" si="781"/>
        <v>6605.09</v>
      </c>
      <c r="AA440" s="274"/>
      <c r="AB440" s="306">
        <f t="shared" si="782"/>
        <v>0</v>
      </c>
    </row>
    <row r="441" spans="1:28" s="90" customFormat="1" ht="14.1" customHeight="1" x14ac:dyDescent="0.2">
      <c r="A441" s="301"/>
      <c r="B441" s="351" t="s">
        <v>415</v>
      </c>
      <c r="C441" s="101"/>
      <c r="D441" s="101"/>
      <c r="E441" s="101"/>
      <c r="F441" s="370"/>
      <c r="G441" s="149"/>
      <c r="H441" s="149"/>
      <c r="I441" s="149"/>
      <c r="J441" s="14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  <c r="AA441" s="159"/>
      <c r="AB441" s="583"/>
    </row>
    <row r="442" spans="1:28" s="90" customFormat="1" ht="14.1" hidden="1" customHeight="1" x14ac:dyDescent="0.2">
      <c r="A442" s="301"/>
      <c r="B442" s="350" t="s">
        <v>416</v>
      </c>
      <c r="C442" s="101"/>
      <c r="D442" s="101"/>
      <c r="E442" s="101"/>
      <c r="F442" s="370" t="s">
        <v>417</v>
      </c>
      <c r="G442" s="149"/>
      <c r="H442" s="149"/>
      <c r="I442" s="329">
        <f t="shared" ref="I442:I454" si="783">G442+H442</f>
        <v>0</v>
      </c>
      <c r="J442" s="329">
        <f t="shared" ref="J442:J454" si="784">I442</f>
        <v>0</v>
      </c>
      <c r="K442" s="274"/>
      <c r="L442" s="274"/>
      <c r="M442" s="274"/>
      <c r="N442" s="275">
        <f t="shared" si="714"/>
        <v>0</v>
      </c>
      <c r="O442" s="274"/>
      <c r="P442" s="274"/>
      <c r="Q442" s="274"/>
      <c r="R442" s="274"/>
      <c r="S442" s="274">
        <f t="shared" ref="S442:S454" si="785">SUM(O442:R442)</f>
        <v>0</v>
      </c>
      <c r="T442" s="274"/>
      <c r="U442" s="274"/>
      <c r="V442" s="274"/>
      <c r="W442" s="274"/>
      <c r="X442" s="274">
        <f t="shared" ref="X442:X454" si="786">SUM(T442:W442)</f>
        <v>0</v>
      </c>
      <c r="Y442" s="274">
        <f t="shared" ref="Y442:Y454" si="787">I442-N442</f>
        <v>0</v>
      </c>
      <c r="Z442" s="274">
        <f t="shared" ref="Z442:Z454" si="788">N442-S442</f>
        <v>0</v>
      </c>
      <c r="AA442" s="274"/>
      <c r="AB442" s="306">
        <f t="shared" ref="AB442:AB454" si="789">+S442-X442-AA442</f>
        <v>0</v>
      </c>
    </row>
    <row r="443" spans="1:28" s="90" customFormat="1" ht="14.1" hidden="1" customHeight="1" x14ac:dyDescent="0.2">
      <c r="A443" s="301"/>
      <c r="B443" s="350" t="s">
        <v>418</v>
      </c>
      <c r="C443" s="101"/>
      <c r="D443" s="101"/>
      <c r="E443" s="101"/>
      <c r="F443" s="370" t="s">
        <v>419</v>
      </c>
      <c r="G443" s="149"/>
      <c r="H443" s="149"/>
      <c r="I443" s="329">
        <f t="shared" si="783"/>
        <v>0</v>
      </c>
      <c r="J443" s="329">
        <f t="shared" si="784"/>
        <v>0</v>
      </c>
      <c r="K443" s="274"/>
      <c r="L443" s="274"/>
      <c r="M443" s="274"/>
      <c r="N443" s="275">
        <f t="shared" si="714"/>
        <v>0</v>
      </c>
      <c r="O443" s="274"/>
      <c r="P443" s="274"/>
      <c r="Q443" s="274"/>
      <c r="R443" s="274"/>
      <c r="S443" s="274">
        <f t="shared" si="785"/>
        <v>0</v>
      </c>
      <c r="T443" s="274"/>
      <c r="U443" s="274"/>
      <c r="V443" s="274"/>
      <c r="W443" s="274"/>
      <c r="X443" s="274">
        <f t="shared" si="786"/>
        <v>0</v>
      </c>
      <c r="Y443" s="274">
        <f t="shared" si="787"/>
        <v>0</v>
      </c>
      <c r="Z443" s="274">
        <f t="shared" si="788"/>
        <v>0</v>
      </c>
      <c r="AA443" s="274"/>
      <c r="AB443" s="306">
        <f t="shared" si="789"/>
        <v>0</v>
      </c>
    </row>
    <row r="444" spans="1:28" s="90" customFormat="1" ht="14.1" customHeight="1" x14ac:dyDescent="0.2">
      <c r="A444" s="301"/>
      <c r="B444" s="350" t="s">
        <v>420</v>
      </c>
      <c r="C444" s="101"/>
      <c r="D444" s="101"/>
      <c r="E444" s="101"/>
      <c r="F444" s="370" t="s">
        <v>421</v>
      </c>
      <c r="G444" s="149">
        <f>38000+355000</f>
        <v>393000</v>
      </c>
      <c r="H444" s="149"/>
      <c r="I444" s="329">
        <f t="shared" si="783"/>
        <v>393000</v>
      </c>
      <c r="J444" s="329">
        <f t="shared" si="784"/>
        <v>393000</v>
      </c>
      <c r="K444" s="274"/>
      <c r="L444" s="274"/>
      <c r="M444" s="274"/>
      <c r="N444" s="275">
        <f t="shared" si="714"/>
        <v>393000</v>
      </c>
      <c r="O444" s="274"/>
      <c r="P444" s="274"/>
      <c r="Q444" s="274">
        <f>1815+33</f>
        <v>1848</v>
      </c>
      <c r="R444" s="274">
        <f>1320+2600</f>
        <v>3920</v>
      </c>
      <c r="S444" s="274">
        <f t="shared" si="785"/>
        <v>5768</v>
      </c>
      <c r="T444" s="274"/>
      <c r="U444" s="274"/>
      <c r="V444" s="274">
        <f>1815+33</f>
        <v>1848</v>
      </c>
      <c r="W444" s="274">
        <f>1320+2600</f>
        <v>3920</v>
      </c>
      <c r="X444" s="274">
        <f t="shared" si="786"/>
        <v>5768</v>
      </c>
      <c r="Y444" s="274">
        <f t="shared" si="787"/>
        <v>0</v>
      </c>
      <c r="Z444" s="274">
        <f t="shared" si="788"/>
        <v>387232</v>
      </c>
      <c r="AA444" s="274"/>
      <c r="AB444" s="306">
        <f t="shared" si="789"/>
        <v>0</v>
      </c>
    </row>
    <row r="445" spans="1:28" s="90" customFormat="1" ht="14.1" customHeight="1" x14ac:dyDescent="0.2">
      <c r="A445" s="301"/>
      <c r="B445" s="350" t="s">
        <v>422</v>
      </c>
      <c r="C445" s="101"/>
      <c r="D445" s="101"/>
      <c r="E445" s="101"/>
      <c r="F445" s="370" t="s">
        <v>423</v>
      </c>
      <c r="G445" s="149">
        <v>1903000</v>
      </c>
      <c r="H445" s="149"/>
      <c r="I445" s="329">
        <f t="shared" si="783"/>
        <v>1903000</v>
      </c>
      <c r="J445" s="329">
        <f t="shared" si="784"/>
        <v>1903000</v>
      </c>
      <c r="K445" s="274"/>
      <c r="L445" s="274"/>
      <c r="M445" s="274">
        <v>62000</v>
      </c>
      <c r="N445" s="275">
        <f t="shared" si="714"/>
        <v>1965000</v>
      </c>
      <c r="O445" s="274">
        <v>268486</v>
      </c>
      <c r="P445" s="274">
        <f>30000+8110</f>
        <v>38110</v>
      </c>
      <c r="Q445" s="274">
        <f>202636.25+55350+21945+48900+15750+54400+10080+16380+5100+14437.5+30800+37800+33600+42000+29400</f>
        <v>618578.75</v>
      </c>
      <c r="R445" s="274">
        <v>1006189</v>
      </c>
      <c r="S445" s="274">
        <f t="shared" si="785"/>
        <v>1931363.75</v>
      </c>
      <c r="T445" s="274">
        <v>268486</v>
      </c>
      <c r="U445" s="274">
        <f>30000+8110</f>
        <v>38110</v>
      </c>
      <c r="V445" s="274">
        <f>11397.5-1636.25+45900+30600+23240+39600+6450+39900+7185+15750+48900+21945+55350+54400+10080+16380+5100+14437.5</f>
        <v>444978.75</v>
      </c>
      <c r="W445" s="274">
        <v>1179789</v>
      </c>
      <c r="X445" s="274">
        <f t="shared" si="786"/>
        <v>1931363.75</v>
      </c>
      <c r="Y445" s="274">
        <f t="shared" si="787"/>
        <v>-62000</v>
      </c>
      <c r="Z445" s="274">
        <f t="shared" si="788"/>
        <v>33636.25</v>
      </c>
      <c r="AA445" s="274"/>
      <c r="AB445" s="306">
        <f t="shared" si="789"/>
        <v>0</v>
      </c>
    </row>
    <row r="446" spans="1:28" s="90" customFormat="1" ht="14.1" customHeight="1" x14ac:dyDescent="0.2">
      <c r="A446" s="301"/>
      <c r="B446" s="350" t="s">
        <v>424</v>
      </c>
      <c r="C446" s="101"/>
      <c r="D446" s="101"/>
      <c r="E446" s="101"/>
      <c r="F446" s="370" t="s">
        <v>425</v>
      </c>
      <c r="G446" s="149">
        <f>1301000+806000</f>
        <v>2107000</v>
      </c>
      <c r="H446" s="149"/>
      <c r="I446" s="329">
        <f t="shared" si="783"/>
        <v>2107000</v>
      </c>
      <c r="J446" s="329">
        <f t="shared" si="784"/>
        <v>2107000</v>
      </c>
      <c r="K446" s="274"/>
      <c r="L446" s="274"/>
      <c r="M446" s="274"/>
      <c r="N446" s="275">
        <f t="shared" si="714"/>
        <v>2107000</v>
      </c>
      <c r="O446" s="274">
        <v>67046.399999999994</v>
      </c>
      <c r="P446" s="274">
        <f>94884+24000+5161.2+5000</f>
        <v>129045.2</v>
      </c>
      <c r="Q446" s="274">
        <f>5000+22000+6000+8100+22000+5000+5000+52000</f>
        <v>125100</v>
      </c>
      <c r="R446" s="274">
        <f>182745.68+5100+13800+5100+1432.5+950000</f>
        <v>1158178.18</v>
      </c>
      <c r="S446" s="274">
        <f t="shared" si="785"/>
        <v>1479369.7799999998</v>
      </c>
      <c r="T446" s="274">
        <v>67046.399999999994</v>
      </c>
      <c r="U446" s="274">
        <f>48684+37700+8500+24000+5161.2+5000</f>
        <v>129045.2</v>
      </c>
      <c r="V446" s="274">
        <f>22000+5000+6000+8100+22000+5000+5000+52000</f>
        <v>125100</v>
      </c>
      <c r="W446" s="274">
        <f>182745.68+5100+13800+5100+1432.5+950000</f>
        <v>1158178.18</v>
      </c>
      <c r="X446" s="274">
        <f t="shared" si="786"/>
        <v>1479369.7799999998</v>
      </c>
      <c r="Y446" s="274">
        <f t="shared" si="787"/>
        <v>0</v>
      </c>
      <c r="Z446" s="274">
        <f t="shared" si="788"/>
        <v>627630.2200000002</v>
      </c>
      <c r="AA446" s="274"/>
      <c r="AB446" s="306">
        <f t="shared" si="789"/>
        <v>0</v>
      </c>
    </row>
    <row r="447" spans="1:28" s="90" customFormat="1" ht="14.1" hidden="1" customHeight="1" x14ac:dyDescent="0.2">
      <c r="A447" s="301"/>
      <c r="B447" s="350" t="s">
        <v>426</v>
      </c>
      <c r="C447" s="101"/>
      <c r="D447" s="101"/>
      <c r="E447" s="101"/>
      <c r="F447" s="370" t="s">
        <v>427</v>
      </c>
      <c r="G447" s="149"/>
      <c r="H447" s="149"/>
      <c r="I447" s="329">
        <f t="shared" si="783"/>
        <v>0</v>
      </c>
      <c r="J447" s="329">
        <f t="shared" si="784"/>
        <v>0</v>
      </c>
      <c r="K447" s="274"/>
      <c r="L447" s="274"/>
      <c r="M447" s="274"/>
      <c r="N447" s="275">
        <f t="shared" si="714"/>
        <v>0</v>
      </c>
      <c r="O447" s="274"/>
      <c r="P447" s="274"/>
      <c r="Q447" s="274"/>
      <c r="R447" s="274"/>
      <c r="S447" s="274">
        <f t="shared" si="785"/>
        <v>0</v>
      </c>
      <c r="T447" s="274"/>
      <c r="U447" s="274"/>
      <c r="V447" s="274"/>
      <c r="W447" s="274"/>
      <c r="X447" s="274">
        <f t="shared" si="786"/>
        <v>0</v>
      </c>
      <c r="Y447" s="274">
        <f t="shared" si="787"/>
        <v>0</v>
      </c>
      <c r="Z447" s="274">
        <f t="shared" si="788"/>
        <v>0</v>
      </c>
      <c r="AA447" s="274"/>
      <c r="AB447" s="306">
        <f t="shared" si="789"/>
        <v>0</v>
      </c>
    </row>
    <row r="448" spans="1:28" s="90" customFormat="1" ht="14.1" hidden="1" customHeight="1" x14ac:dyDescent="0.2">
      <c r="A448" s="301"/>
      <c r="B448" s="350" t="s">
        <v>428</v>
      </c>
      <c r="C448" s="101"/>
      <c r="D448" s="101"/>
      <c r="E448" s="101"/>
      <c r="F448" s="370" t="s">
        <v>429</v>
      </c>
      <c r="G448" s="149"/>
      <c r="H448" s="149"/>
      <c r="I448" s="329">
        <f t="shared" si="783"/>
        <v>0</v>
      </c>
      <c r="J448" s="329">
        <f t="shared" si="784"/>
        <v>0</v>
      </c>
      <c r="K448" s="274"/>
      <c r="L448" s="274"/>
      <c r="M448" s="274"/>
      <c r="N448" s="275">
        <f t="shared" si="714"/>
        <v>0</v>
      </c>
      <c r="O448" s="274"/>
      <c r="P448" s="274"/>
      <c r="Q448" s="274"/>
      <c r="R448" s="274"/>
      <c r="S448" s="274">
        <f t="shared" si="785"/>
        <v>0</v>
      </c>
      <c r="T448" s="274"/>
      <c r="U448" s="274"/>
      <c r="V448" s="274"/>
      <c r="W448" s="274"/>
      <c r="X448" s="274">
        <f t="shared" si="786"/>
        <v>0</v>
      </c>
      <c r="Y448" s="274">
        <f t="shared" si="787"/>
        <v>0</v>
      </c>
      <c r="Z448" s="274">
        <f t="shared" si="788"/>
        <v>0</v>
      </c>
      <c r="AA448" s="274"/>
      <c r="AB448" s="306">
        <f t="shared" si="789"/>
        <v>0</v>
      </c>
    </row>
    <row r="449" spans="1:28" s="90" customFormat="1" ht="14.1" hidden="1" customHeight="1" x14ac:dyDescent="0.2">
      <c r="A449" s="301"/>
      <c r="B449" s="350" t="s">
        <v>718</v>
      </c>
      <c r="C449" s="615"/>
      <c r="D449" s="615"/>
      <c r="E449" s="615"/>
      <c r="F449" s="370" t="s">
        <v>719</v>
      </c>
      <c r="G449" s="149"/>
      <c r="H449" s="149"/>
      <c r="I449" s="329">
        <f t="shared" si="783"/>
        <v>0</v>
      </c>
      <c r="J449" s="329">
        <f t="shared" si="784"/>
        <v>0</v>
      </c>
      <c r="K449" s="274"/>
      <c r="L449" s="274"/>
      <c r="M449" s="274"/>
      <c r="N449" s="275">
        <f t="shared" si="714"/>
        <v>0</v>
      </c>
      <c r="O449" s="274"/>
      <c r="P449" s="274"/>
      <c r="Q449" s="274"/>
      <c r="R449" s="274"/>
      <c r="S449" s="274">
        <f t="shared" si="785"/>
        <v>0</v>
      </c>
      <c r="T449" s="274"/>
      <c r="U449" s="274"/>
      <c r="V449" s="274"/>
      <c r="W449" s="274"/>
      <c r="X449" s="274">
        <f t="shared" si="786"/>
        <v>0</v>
      </c>
      <c r="Y449" s="274">
        <f t="shared" si="787"/>
        <v>0</v>
      </c>
      <c r="Z449" s="274">
        <f t="shared" si="788"/>
        <v>0</v>
      </c>
      <c r="AA449" s="274"/>
      <c r="AB449" s="306">
        <f t="shared" si="789"/>
        <v>0</v>
      </c>
    </row>
    <row r="450" spans="1:28" s="90" customFormat="1" ht="14.1" hidden="1" customHeight="1" x14ac:dyDescent="0.2">
      <c r="A450" s="301"/>
      <c r="B450" s="350" t="s">
        <v>432</v>
      </c>
      <c r="C450" s="101"/>
      <c r="D450" s="101"/>
      <c r="E450" s="101"/>
      <c r="F450" s="370" t="s">
        <v>433</v>
      </c>
      <c r="G450" s="149"/>
      <c r="H450" s="149"/>
      <c r="I450" s="329">
        <f t="shared" si="783"/>
        <v>0</v>
      </c>
      <c r="J450" s="329">
        <f t="shared" si="784"/>
        <v>0</v>
      </c>
      <c r="K450" s="274"/>
      <c r="L450" s="274"/>
      <c r="M450" s="274"/>
      <c r="N450" s="275">
        <f t="shared" si="714"/>
        <v>0</v>
      </c>
      <c r="O450" s="274"/>
      <c r="P450" s="274"/>
      <c r="Q450" s="274"/>
      <c r="R450" s="274"/>
      <c r="S450" s="274">
        <f t="shared" si="785"/>
        <v>0</v>
      </c>
      <c r="T450" s="274"/>
      <c r="U450" s="274"/>
      <c r="V450" s="274"/>
      <c r="W450" s="274"/>
      <c r="X450" s="274">
        <f t="shared" si="786"/>
        <v>0</v>
      </c>
      <c r="Y450" s="274">
        <f t="shared" si="787"/>
        <v>0</v>
      </c>
      <c r="Z450" s="274">
        <f t="shared" si="788"/>
        <v>0</v>
      </c>
      <c r="AA450" s="274"/>
      <c r="AB450" s="306">
        <f t="shared" si="789"/>
        <v>0</v>
      </c>
    </row>
    <row r="451" spans="1:28" s="90" customFormat="1" ht="14.1" hidden="1" customHeight="1" x14ac:dyDescent="0.2">
      <c r="A451" s="301"/>
      <c r="B451" s="350" t="s">
        <v>730</v>
      </c>
      <c r="C451" s="744"/>
      <c r="D451" s="744"/>
      <c r="E451" s="744"/>
      <c r="F451" s="370" t="s">
        <v>733</v>
      </c>
      <c r="G451" s="149"/>
      <c r="H451" s="149"/>
      <c r="I451" s="329">
        <f t="shared" si="783"/>
        <v>0</v>
      </c>
      <c r="J451" s="329">
        <f t="shared" si="784"/>
        <v>0</v>
      </c>
      <c r="K451" s="274"/>
      <c r="L451" s="274"/>
      <c r="M451" s="274"/>
      <c r="N451" s="275">
        <f t="shared" si="714"/>
        <v>0</v>
      </c>
      <c r="O451" s="274"/>
      <c r="P451" s="274"/>
      <c r="Q451" s="274"/>
      <c r="R451" s="274"/>
      <c r="S451" s="274">
        <f t="shared" si="785"/>
        <v>0</v>
      </c>
      <c r="T451" s="274"/>
      <c r="U451" s="274"/>
      <c r="V451" s="274"/>
      <c r="W451" s="274"/>
      <c r="X451" s="274">
        <f t="shared" si="786"/>
        <v>0</v>
      </c>
      <c r="Y451" s="274">
        <f t="shared" si="787"/>
        <v>0</v>
      </c>
      <c r="Z451" s="274">
        <f t="shared" si="788"/>
        <v>0</v>
      </c>
      <c r="AA451" s="274"/>
      <c r="AB451" s="306">
        <f t="shared" si="789"/>
        <v>0</v>
      </c>
    </row>
    <row r="452" spans="1:28" s="90" customFormat="1" ht="14.1" customHeight="1" x14ac:dyDescent="0.2">
      <c r="A452" s="301"/>
      <c r="B452" s="350" t="s">
        <v>737</v>
      </c>
      <c r="C452" s="718"/>
      <c r="D452" s="718"/>
      <c r="E452" s="718"/>
      <c r="F452" s="370" t="s">
        <v>738</v>
      </c>
      <c r="G452" s="149">
        <v>5000</v>
      </c>
      <c r="H452" s="149"/>
      <c r="I452" s="329">
        <f t="shared" ref="I452:I453" si="790">G452+H452</f>
        <v>5000</v>
      </c>
      <c r="J452" s="329">
        <f t="shared" ref="J452:J453" si="791">I452</f>
        <v>5000</v>
      </c>
      <c r="K452" s="274"/>
      <c r="L452" s="274"/>
      <c r="M452" s="274"/>
      <c r="N452" s="275">
        <f t="shared" si="714"/>
        <v>5000</v>
      </c>
      <c r="O452" s="274"/>
      <c r="P452" s="274"/>
      <c r="Q452" s="274"/>
      <c r="R452" s="274">
        <f>215+1660</f>
        <v>1875</v>
      </c>
      <c r="S452" s="274">
        <f t="shared" ref="S452:S453" si="792">SUM(O452:R452)</f>
        <v>1875</v>
      </c>
      <c r="T452" s="274"/>
      <c r="U452" s="274"/>
      <c r="V452" s="274"/>
      <c r="W452" s="274">
        <v>215</v>
      </c>
      <c r="X452" s="274">
        <f t="shared" ref="X452:X453" si="793">SUM(T452:W452)</f>
        <v>215</v>
      </c>
      <c r="Y452" s="274">
        <f t="shared" ref="Y452:Y453" si="794">I452-N452</f>
        <v>0</v>
      </c>
      <c r="Z452" s="274">
        <f t="shared" ref="Z452:Z453" si="795">N452-S452</f>
        <v>3125</v>
      </c>
      <c r="AA452" s="274"/>
      <c r="AB452" s="306">
        <f t="shared" ref="AB452:AB453" si="796">+S452-X452-AA452</f>
        <v>1660</v>
      </c>
    </row>
    <row r="453" spans="1:28" s="90" customFormat="1" ht="14.1" hidden="1" customHeight="1" x14ac:dyDescent="0.2">
      <c r="A453" s="301"/>
      <c r="B453" s="350" t="s">
        <v>434</v>
      </c>
      <c r="C453" s="718"/>
      <c r="D453" s="718"/>
      <c r="E453" s="718"/>
      <c r="F453" s="370" t="s">
        <v>435</v>
      </c>
      <c r="G453" s="149"/>
      <c r="H453" s="149"/>
      <c r="I453" s="329">
        <f t="shared" si="790"/>
        <v>0</v>
      </c>
      <c r="J453" s="329">
        <f t="shared" si="791"/>
        <v>0</v>
      </c>
      <c r="K453" s="274"/>
      <c r="L453" s="274"/>
      <c r="M453" s="274"/>
      <c r="N453" s="275">
        <f t="shared" si="714"/>
        <v>0</v>
      </c>
      <c r="O453" s="274"/>
      <c r="P453" s="274"/>
      <c r="Q453" s="274"/>
      <c r="R453" s="274"/>
      <c r="S453" s="274">
        <f t="shared" si="792"/>
        <v>0</v>
      </c>
      <c r="T453" s="274"/>
      <c r="U453" s="274"/>
      <c r="V453" s="274"/>
      <c r="W453" s="274"/>
      <c r="X453" s="274">
        <f t="shared" si="793"/>
        <v>0</v>
      </c>
      <c r="Y453" s="274">
        <f t="shared" si="794"/>
        <v>0</v>
      </c>
      <c r="Z453" s="274">
        <f t="shared" si="795"/>
        <v>0</v>
      </c>
      <c r="AA453" s="274"/>
      <c r="AB453" s="306">
        <f t="shared" si="796"/>
        <v>0</v>
      </c>
    </row>
    <row r="454" spans="1:28" s="90" customFormat="1" ht="14.1" hidden="1" customHeight="1" x14ac:dyDescent="0.2">
      <c r="A454" s="301"/>
      <c r="B454" s="350" t="s">
        <v>732</v>
      </c>
      <c r="C454" s="718"/>
      <c r="D454" s="718"/>
      <c r="E454" s="718"/>
      <c r="F454" s="370" t="s">
        <v>731</v>
      </c>
      <c r="G454" s="149"/>
      <c r="H454" s="149"/>
      <c r="I454" s="329">
        <f t="shared" si="783"/>
        <v>0</v>
      </c>
      <c r="J454" s="329">
        <f t="shared" si="784"/>
        <v>0</v>
      </c>
      <c r="K454" s="274"/>
      <c r="L454" s="274"/>
      <c r="M454" s="274"/>
      <c r="N454" s="275">
        <f t="shared" ref="N454" si="797">J454+K454-L454+M454</f>
        <v>0</v>
      </c>
      <c r="O454" s="274"/>
      <c r="P454" s="274"/>
      <c r="Q454" s="274"/>
      <c r="R454" s="274"/>
      <c r="S454" s="274">
        <f t="shared" si="785"/>
        <v>0</v>
      </c>
      <c r="T454" s="274"/>
      <c r="U454" s="274"/>
      <c r="V454" s="274"/>
      <c r="W454" s="274"/>
      <c r="X454" s="274">
        <f t="shared" si="786"/>
        <v>0</v>
      </c>
      <c r="Y454" s="274">
        <f t="shared" si="787"/>
        <v>0</v>
      </c>
      <c r="Z454" s="274">
        <f t="shared" si="788"/>
        <v>0</v>
      </c>
      <c r="AA454" s="274"/>
      <c r="AB454" s="306">
        <f t="shared" si="789"/>
        <v>0</v>
      </c>
    </row>
    <row r="455" spans="1:28" s="90" customFormat="1" ht="14.1" customHeight="1" x14ac:dyDescent="0.2">
      <c r="A455" s="301"/>
      <c r="B455" s="15"/>
      <c r="C455" s="101"/>
      <c r="D455" s="101"/>
      <c r="E455" s="101"/>
      <c r="F455" s="370"/>
      <c r="G455" s="321"/>
      <c r="H455" s="321"/>
      <c r="I455" s="321"/>
      <c r="J455" s="321"/>
      <c r="K455" s="332"/>
      <c r="L455" s="332"/>
      <c r="M455" s="332"/>
      <c r="N455" s="332"/>
      <c r="O455" s="332"/>
      <c r="P455" s="332"/>
      <c r="Q455" s="332"/>
      <c r="R455" s="332"/>
      <c r="S455" s="332"/>
      <c r="T455" s="332"/>
      <c r="U455" s="332"/>
      <c r="V455" s="332"/>
      <c r="W455" s="332"/>
      <c r="X455" s="332"/>
      <c r="Y455" s="332"/>
      <c r="Z455" s="332"/>
      <c r="AA455" s="332"/>
      <c r="AB455" s="302"/>
    </row>
    <row r="456" spans="1:28" s="90" customFormat="1" ht="14.1" customHeight="1" x14ac:dyDescent="0.2">
      <c r="A456" s="301"/>
      <c r="B456" s="347" t="s">
        <v>436</v>
      </c>
      <c r="C456" s="101"/>
      <c r="D456" s="101"/>
      <c r="E456" s="101"/>
      <c r="F456" s="370"/>
      <c r="G456" s="322">
        <f t="shared" ref="G456" si="798">SUM(G459:G483)</f>
        <v>1400000</v>
      </c>
      <c r="H456" s="322">
        <f t="shared" ref="H456:AB456" si="799">SUM(H459:H483)</f>
        <v>0</v>
      </c>
      <c r="I456" s="322">
        <f t="shared" si="799"/>
        <v>1400000</v>
      </c>
      <c r="J456" s="322">
        <f t="shared" si="799"/>
        <v>1400000</v>
      </c>
      <c r="K456" s="322">
        <f t="shared" si="799"/>
        <v>0</v>
      </c>
      <c r="L456" s="322">
        <f t="shared" si="799"/>
        <v>0</v>
      </c>
      <c r="M456" s="322">
        <f t="shared" si="799"/>
        <v>0</v>
      </c>
      <c r="N456" s="322">
        <f t="shared" si="799"/>
        <v>1400000</v>
      </c>
      <c r="O456" s="322">
        <f t="shared" si="799"/>
        <v>0</v>
      </c>
      <c r="P456" s="322">
        <f t="shared" si="799"/>
        <v>0</v>
      </c>
      <c r="Q456" s="322">
        <f t="shared" si="799"/>
        <v>1400000</v>
      </c>
      <c r="R456" s="322">
        <f t="shared" si="799"/>
        <v>0</v>
      </c>
      <c r="S456" s="322">
        <f t="shared" si="799"/>
        <v>1400000</v>
      </c>
      <c r="T456" s="322">
        <f t="shared" si="799"/>
        <v>0</v>
      </c>
      <c r="U456" s="322">
        <f t="shared" si="799"/>
        <v>0</v>
      </c>
      <c r="V456" s="322">
        <f t="shared" si="799"/>
        <v>1400000</v>
      </c>
      <c r="W456" s="322">
        <f t="shared" si="799"/>
        <v>0</v>
      </c>
      <c r="X456" s="322">
        <f t="shared" si="799"/>
        <v>1400000</v>
      </c>
      <c r="Y456" s="322">
        <f t="shared" si="799"/>
        <v>0</v>
      </c>
      <c r="Z456" s="322">
        <f t="shared" si="799"/>
        <v>0</v>
      </c>
      <c r="AA456" s="333">
        <f t="shared" ref="AA456" si="800">SUM(AA459:AA483)</f>
        <v>0</v>
      </c>
      <c r="AB456" s="305">
        <f t="shared" si="799"/>
        <v>0</v>
      </c>
    </row>
    <row r="457" spans="1:28" s="90" customFormat="1" ht="14.1" customHeight="1" x14ac:dyDescent="0.2">
      <c r="A457" s="301"/>
      <c r="B457" s="347" t="s">
        <v>437</v>
      </c>
      <c r="C457" s="101"/>
      <c r="D457" s="101"/>
      <c r="E457" s="101"/>
      <c r="F457" s="370"/>
      <c r="G457" s="321"/>
      <c r="H457" s="321"/>
      <c r="I457" s="321"/>
      <c r="J457" s="321"/>
      <c r="K457" s="332"/>
      <c r="L457" s="332"/>
      <c r="M457" s="332"/>
      <c r="N457" s="332"/>
      <c r="O457" s="332"/>
      <c r="P457" s="332"/>
      <c r="Q457" s="332"/>
      <c r="R457" s="332"/>
      <c r="S457" s="332"/>
      <c r="T457" s="332"/>
      <c r="U457" s="332"/>
      <c r="V457" s="332"/>
      <c r="W457" s="332"/>
      <c r="X457" s="332"/>
      <c r="Y457" s="332"/>
      <c r="Z457" s="332"/>
      <c r="AA457" s="332"/>
      <c r="AB457" s="302"/>
    </row>
    <row r="458" spans="1:28" s="90" customFormat="1" ht="14.1" hidden="1" customHeight="1" x14ac:dyDescent="0.2">
      <c r="A458" s="301"/>
      <c r="B458" s="348" t="s">
        <v>438</v>
      </c>
      <c r="C458" s="101"/>
      <c r="D458" s="101"/>
      <c r="E458" s="101"/>
      <c r="F458" s="370"/>
      <c r="G458" s="321"/>
      <c r="H458" s="321"/>
      <c r="I458" s="321"/>
      <c r="J458" s="321"/>
      <c r="K458" s="332"/>
      <c r="L458" s="332"/>
      <c r="M458" s="332"/>
      <c r="N458" s="332"/>
      <c r="O458" s="332"/>
      <c r="P458" s="332"/>
      <c r="Q458" s="332"/>
      <c r="R458" s="332"/>
      <c r="S458" s="332"/>
      <c r="T458" s="332"/>
      <c r="U458" s="332"/>
      <c r="V458" s="332"/>
      <c r="W458" s="332"/>
      <c r="X458" s="332"/>
      <c r="Y458" s="332"/>
      <c r="Z458" s="332"/>
      <c r="AA458" s="332"/>
      <c r="AB458" s="302"/>
    </row>
    <row r="459" spans="1:28" s="90" customFormat="1" ht="14.1" hidden="1" customHeight="1" x14ac:dyDescent="0.2">
      <c r="A459" s="301"/>
      <c r="B459" s="349" t="s">
        <v>439</v>
      </c>
      <c r="C459" s="101"/>
      <c r="D459" s="101"/>
      <c r="E459" s="101"/>
      <c r="F459" s="370" t="s">
        <v>440</v>
      </c>
      <c r="G459" s="149"/>
      <c r="H459" s="149"/>
      <c r="I459" s="329">
        <f t="shared" ref="I459:I460" si="801">G459+H459</f>
        <v>0</v>
      </c>
      <c r="J459" s="329">
        <f t="shared" ref="J459:J460" si="802">I459</f>
        <v>0</v>
      </c>
      <c r="K459" s="274"/>
      <c r="L459" s="274"/>
      <c r="M459" s="274"/>
      <c r="N459" s="275">
        <f t="shared" ref="N459:N460" si="803">J459+K459-L459+M459</f>
        <v>0</v>
      </c>
      <c r="O459" s="274"/>
      <c r="P459" s="274"/>
      <c r="Q459" s="274"/>
      <c r="R459" s="274"/>
      <c r="S459" s="274">
        <f t="shared" ref="S459:S460" si="804">SUM(O459:R459)</f>
        <v>0</v>
      </c>
      <c r="T459" s="274"/>
      <c r="U459" s="274"/>
      <c r="V459" s="274"/>
      <c r="W459" s="274"/>
      <c r="X459" s="274">
        <f t="shared" ref="X459:X460" si="805">SUM(T459:W459)</f>
        <v>0</v>
      </c>
      <c r="Y459" s="274">
        <f t="shared" ref="Y459:Y460" si="806">I459-N459</f>
        <v>0</v>
      </c>
      <c r="Z459" s="274">
        <f t="shared" ref="Z459:Z460" si="807">N459-S459</f>
        <v>0</v>
      </c>
      <c r="AA459" s="274"/>
      <c r="AB459" s="306">
        <f t="shared" ref="AB459:AB460" si="808">+S459-X459-AA459</f>
        <v>0</v>
      </c>
    </row>
    <row r="460" spans="1:28" s="90" customFormat="1" ht="14.1" hidden="1" customHeight="1" x14ac:dyDescent="0.2">
      <c r="A460" s="301"/>
      <c r="B460" s="349" t="s">
        <v>441</v>
      </c>
      <c r="C460" s="101"/>
      <c r="D460" s="101"/>
      <c r="E460" s="101"/>
      <c r="F460" s="370" t="s">
        <v>442</v>
      </c>
      <c r="G460" s="149"/>
      <c r="H460" s="149"/>
      <c r="I460" s="329">
        <f t="shared" si="801"/>
        <v>0</v>
      </c>
      <c r="J460" s="329">
        <f t="shared" si="802"/>
        <v>0</v>
      </c>
      <c r="K460" s="274"/>
      <c r="L460" s="274"/>
      <c r="M460" s="274"/>
      <c r="N460" s="275">
        <f t="shared" si="803"/>
        <v>0</v>
      </c>
      <c r="O460" s="274"/>
      <c r="P460" s="274"/>
      <c r="Q460" s="274"/>
      <c r="R460" s="274"/>
      <c r="S460" s="274">
        <f t="shared" si="804"/>
        <v>0</v>
      </c>
      <c r="T460" s="274"/>
      <c r="U460" s="274"/>
      <c r="V460" s="274"/>
      <c r="W460" s="274"/>
      <c r="X460" s="274">
        <f t="shared" si="805"/>
        <v>0</v>
      </c>
      <c r="Y460" s="274">
        <f t="shared" si="806"/>
        <v>0</v>
      </c>
      <c r="Z460" s="274">
        <f t="shared" si="807"/>
        <v>0</v>
      </c>
      <c r="AA460" s="274"/>
      <c r="AB460" s="306">
        <f t="shared" si="808"/>
        <v>0</v>
      </c>
    </row>
    <row r="461" spans="1:28" s="90" customFormat="1" ht="14.1" hidden="1" customHeight="1" x14ac:dyDescent="0.2">
      <c r="A461" s="301"/>
      <c r="B461" s="348" t="s">
        <v>443</v>
      </c>
      <c r="C461" s="101"/>
      <c r="D461" s="101"/>
      <c r="E461" s="101"/>
      <c r="F461" s="370"/>
      <c r="G461" s="149"/>
      <c r="H461" s="149"/>
      <c r="I461" s="149"/>
      <c r="J461" s="149"/>
      <c r="K461" s="159"/>
      <c r="L461" s="159"/>
      <c r="M461" s="159"/>
      <c r="N461" s="159"/>
      <c r="O461" s="159"/>
      <c r="P461" s="159"/>
      <c r="Q461" s="159"/>
      <c r="R461" s="159"/>
      <c r="S461" s="159"/>
      <c r="T461" s="159"/>
      <c r="U461" s="159"/>
      <c r="V461" s="159"/>
      <c r="W461" s="159"/>
      <c r="X461" s="159"/>
      <c r="Y461" s="159"/>
      <c r="Z461" s="159"/>
      <c r="AA461" s="159"/>
      <c r="AB461" s="583"/>
    </row>
    <row r="462" spans="1:28" s="90" customFormat="1" ht="14.1" hidden="1" customHeight="1" x14ac:dyDescent="0.2">
      <c r="A462" s="301"/>
      <c r="B462" s="349" t="s">
        <v>444</v>
      </c>
      <c r="C462" s="101"/>
      <c r="D462" s="101"/>
      <c r="E462" s="101"/>
      <c r="F462" s="370" t="s">
        <v>445</v>
      </c>
      <c r="G462" s="149"/>
      <c r="H462" s="149"/>
      <c r="I462" s="329">
        <f t="shared" ref="I462:I464" si="809">G462+H462</f>
        <v>0</v>
      </c>
      <c r="J462" s="329">
        <f t="shared" ref="J462:J464" si="810">I462</f>
        <v>0</v>
      </c>
      <c r="K462" s="274"/>
      <c r="L462" s="274"/>
      <c r="M462" s="274"/>
      <c r="N462" s="275">
        <f t="shared" ref="N462:N464" si="811">J462+K462-L462+M462</f>
        <v>0</v>
      </c>
      <c r="O462" s="274"/>
      <c r="P462" s="274"/>
      <c r="Q462" s="274"/>
      <c r="R462" s="274"/>
      <c r="S462" s="274">
        <f t="shared" ref="S462:S464" si="812">SUM(O462:R462)</f>
        <v>0</v>
      </c>
      <c r="T462" s="274"/>
      <c r="U462" s="274"/>
      <c r="V462" s="274"/>
      <c r="W462" s="274"/>
      <c r="X462" s="274">
        <f t="shared" ref="X462:X464" si="813">SUM(T462:W462)</f>
        <v>0</v>
      </c>
      <c r="Y462" s="274">
        <f t="shared" ref="Y462:Y464" si="814">I462-N462</f>
        <v>0</v>
      </c>
      <c r="Z462" s="274">
        <f t="shared" ref="Z462:Z464" si="815">N462-S462</f>
        <v>0</v>
      </c>
      <c r="AA462" s="274"/>
      <c r="AB462" s="306">
        <f t="shared" ref="AB462:AB464" si="816">+S462-X462-AA462</f>
        <v>0</v>
      </c>
    </row>
    <row r="463" spans="1:28" s="90" customFormat="1" ht="14.1" hidden="1" customHeight="1" x14ac:dyDescent="0.2">
      <c r="A463" s="301"/>
      <c r="B463" s="349" t="s">
        <v>446</v>
      </c>
      <c r="C463" s="101"/>
      <c r="D463" s="101"/>
      <c r="E463" s="101"/>
      <c r="F463" s="370" t="s">
        <v>447</v>
      </c>
      <c r="G463" s="149"/>
      <c r="H463" s="149"/>
      <c r="I463" s="329">
        <f t="shared" si="809"/>
        <v>0</v>
      </c>
      <c r="J463" s="329">
        <f t="shared" si="810"/>
        <v>0</v>
      </c>
      <c r="K463" s="274"/>
      <c r="L463" s="274"/>
      <c r="M463" s="274"/>
      <c r="N463" s="275">
        <f t="shared" si="811"/>
        <v>0</v>
      </c>
      <c r="O463" s="274"/>
      <c r="P463" s="274"/>
      <c r="Q463" s="274"/>
      <c r="R463" s="274"/>
      <c r="S463" s="274">
        <f t="shared" si="812"/>
        <v>0</v>
      </c>
      <c r="T463" s="274"/>
      <c r="U463" s="274"/>
      <c r="V463" s="274"/>
      <c r="W463" s="274"/>
      <c r="X463" s="274">
        <f t="shared" si="813"/>
        <v>0</v>
      </c>
      <c r="Y463" s="274">
        <f t="shared" si="814"/>
        <v>0</v>
      </c>
      <c r="Z463" s="274">
        <f t="shared" si="815"/>
        <v>0</v>
      </c>
      <c r="AA463" s="274"/>
      <c r="AB463" s="306">
        <f t="shared" si="816"/>
        <v>0</v>
      </c>
    </row>
    <row r="464" spans="1:28" s="90" customFormat="1" ht="14.1" hidden="1" customHeight="1" x14ac:dyDescent="0.2">
      <c r="A464" s="301"/>
      <c r="B464" s="349" t="s">
        <v>448</v>
      </c>
      <c r="C464" s="101"/>
      <c r="D464" s="101"/>
      <c r="E464" s="101"/>
      <c r="F464" s="370" t="s">
        <v>449</v>
      </c>
      <c r="G464" s="149"/>
      <c r="H464" s="149"/>
      <c r="I464" s="329">
        <f t="shared" si="809"/>
        <v>0</v>
      </c>
      <c r="J464" s="329">
        <f t="shared" si="810"/>
        <v>0</v>
      </c>
      <c r="K464" s="274"/>
      <c r="L464" s="274"/>
      <c r="M464" s="274"/>
      <c r="N464" s="275">
        <f t="shared" si="811"/>
        <v>0</v>
      </c>
      <c r="O464" s="274"/>
      <c r="P464" s="274"/>
      <c r="Q464" s="274"/>
      <c r="R464" s="274"/>
      <c r="S464" s="274">
        <f t="shared" si="812"/>
        <v>0</v>
      </c>
      <c r="T464" s="274"/>
      <c r="U464" s="274"/>
      <c r="V464" s="274"/>
      <c r="W464" s="274"/>
      <c r="X464" s="274">
        <f t="shared" si="813"/>
        <v>0</v>
      </c>
      <c r="Y464" s="274">
        <f t="shared" si="814"/>
        <v>0</v>
      </c>
      <c r="Z464" s="274">
        <f t="shared" si="815"/>
        <v>0</v>
      </c>
      <c r="AA464" s="274"/>
      <c r="AB464" s="306">
        <f t="shared" si="816"/>
        <v>0</v>
      </c>
    </row>
    <row r="465" spans="1:28" s="90" customFormat="1" ht="14.1" hidden="1" customHeight="1" x14ac:dyDescent="0.2">
      <c r="A465" s="301"/>
      <c r="B465" s="348" t="s">
        <v>450</v>
      </c>
      <c r="C465" s="101"/>
      <c r="D465" s="101"/>
      <c r="E465" s="101"/>
      <c r="F465" s="370"/>
      <c r="G465" s="149"/>
      <c r="H465" s="149"/>
      <c r="I465" s="149"/>
      <c r="J465" s="14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9"/>
      <c r="Z465" s="159"/>
      <c r="AA465" s="159"/>
      <c r="AB465" s="583"/>
    </row>
    <row r="466" spans="1:28" s="90" customFormat="1" ht="14.1" hidden="1" customHeight="1" x14ac:dyDescent="0.2">
      <c r="A466" s="301"/>
      <c r="B466" s="349" t="s">
        <v>451</v>
      </c>
      <c r="C466" s="101"/>
      <c r="D466" s="101"/>
      <c r="E466" s="101"/>
      <c r="F466" s="370" t="s">
        <v>452</v>
      </c>
      <c r="G466" s="149"/>
      <c r="H466" s="149"/>
      <c r="I466" s="329">
        <f t="shared" ref="I466:I472" si="817">G466+H466</f>
        <v>0</v>
      </c>
      <c r="J466" s="329">
        <f t="shared" ref="J466:J472" si="818">I466</f>
        <v>0</v>
      </c>
      <c r="K466" s="274"/>
      <c r="L466" s="274"/>
      <c r="M466" s="274"/>
      <c r="N466" s="275">
        <f t="shared" ref="N466:N472" si="819">J466+K466-L466+M466</f>
        <v>0</v>
      </c>
      <c r="O466" s="274"/>
      <c r="P466" s="274"/>
      <c r="Q466" s="274"/>
      <c r="R466" s="274"/>
      <c r="S466" s="274">
        <f t="shared" ref="S466:S472" si="820">SUM(O466:R466)</f>
        <v>0</v>
      </c>
      <c r="T466" s="274"/>
      <c r="U466" s="274"/>
      <c r="V466" s="274"/>
      <c r="W466" s="274"/>
      <c r="X466" s="274">
        <f t="shared" ref="X466:X472" si="821">SUM(T466:W466)</f>
        <v>0</v>
      </c>
      <c r="Y466" s="274">
        <f t="shared" ref="Y466:Y472" si="822">I466-N466</f>
        <v>0</v>
      </c>
      <c r="Z466" s="274">
        <f t="shared" ref="Z466:Z472" si="823">N466-S466</f>
        <v>0</v>
      </c>
      <c r="AA466" s="274"/>
      <c r="AB466" s="306">
        <f t="shared" ref="AB466:AB472" si="824">+S466-X466-AA466</f>
        <v>0</v>
      </c>
    </row>
    <row r="467" spans="1:28" s="90" customFormat="1" ht="14.1" hidden="1" customHeight="1" x14ac:dyDescent="0.2">
      <c r="A467" s="301"/>
      <c r="B467" s="349" t="s">
        <v>453</v>
      </c>
      <c r="C467" s="101"/>
      <c r="D467" s="101"/>
      <c r="E467" s="101"/>
      <c r="F467" s="370" t="s">
        <v>454</v>
      </c>
      <c r="G467" s="149"/>
      <c r="H467" s="149"/>
      <c r="I467" s="329">
        <f t="shared" si="817"/>
        <v>0</v>
      </c>
      <c r="J467" s="329">
        <f t="shared" si="818"/>
        <v>0</v>
      </c>
      <c r="K467" s="274"/>
      <c r="L467" s="274"/>
      <c r="M467" s="274"/>
      <c r="N467" s="275">
        <f t="shared" si="819"/>
        <v>0</v>
      </c>
      <c r="O467" s="274"/>
      <c r="P467" s="274"/>
      <c r="Q467" s="274"/>
      <c r="R467" s="274"/>
      <c r="S467" s="274">
        <f t="shared" si="820"/>
        <v>0</v>
      </c>
      <c r="T467" s="274"/>
      <c r="U467" s="274"/>
      <c r="V467" s="274"/>
      <c r="W467" s="274"/>
      <c r="X467" s="274">
        <f t="shared" si="821"/>
        <v>0</v>
      </c>
      <c r="Y467" s="274">
        <f t="shared" si="822"/>
        <v>0</v>
      </c>
      <c r="Z467" s="274">
        <f t="shared" si="823"/>
        <v>0</v>
      </c>
      <c r="AA467" s="274"/>
      <c r="AB467" s="306">
        <f t="shared" si="824"/>
        <v>0</v>
      </c>
    </row>
    <row r="468" spans="1:28" s="90" customFormat="1" ht="14.1" hidden="1" customHeight="1" x14ac:dyDescent="0.2">
      <c r="A468" s="301"/>
      <c r="B468" s="349" t="s">
        <v>455</v>
      </c>
      <c r="C468" s="101"/>
      <c r="D468" s="101"/>
      <c r="E468" s="101"/>
      <c r="F468" s="370" t="s">
        <v>456</v>
      </c>
      <c r="G468" s="149"/>
      <c r="H468" s="149"/>
      <c r="I468" s="329">
        <f t="shared" si="817"/>
        <v>0</v>
      </c>
      <c r="J468" s="329">
        <f t="shared" si="818"/>
        <v>0</v>
      </c>
      <c r="K468" s="274"/>
      <c r="L468" s="274"/>
      <c r="M468" s="274"/>
      <c r="N468" s="275">
        <f t="shared" si="819"/>
        <v>0</v>
      </c>
      <c r="O468" s="274"/>
      <c r="P468" s="274"/>
      <c r="Q468" s="274"/>
      <c r="R468" s="274"/>
      <c r="S468" s="274">
        <f t="shared" si="820"/>
        <v>0</v>
      </c>
      <c r="T468" s="274"/>
      <c r="U468" s="274"/>
      <c r="V468" s="274"/>
      <c r="W468" s="274"/>
      <c r="X468" s="274">
        <f t="shared" si="821"/>
        <v>0</v>
      </c>
      <c r="Y468" s="274">
        <f t="shared" si="822"/>
        <v>0</v>
      </c>
      <c r="Z468" s="274">
        <f t="shared" si="823"/>
        <v>0</v>
      </c>
      <c r="AA468" s="274"/>
      <c r="AB468" s="306">
        <f t="shared" si="824"/>
        <v>0</v>
      </c>
    </row>
    <row r="469" spans="1:28" s="90" customFormat="1" ht="14.1" hidden="1" customHeight="1" x14ac:dyDescent="0.2">
      <c r="A469" s="301"/>
      <c r="B469" s="349" t="s">
        <v>457</v>
      </c>
      <c r="C469" s="101"/>
      <c r="D469" s="101"/>
      <c r="E469" s="101"/>
      <c r="F469" s="370" t="s">
        <v>458</v>
      </c>
      <c r="G469" s="149"/>
      <c r="H469" s="149"/>
      <c r="I469" s="329">
        <f t="shared" si="817"/>
        <v>0</v>
      </c>
      <c r="J469" s="329">
        <f t="shared" si="818"/>
        <v>0</v>
      </c>
      <c r="K469" s="274"/>
      <c r="L469" s="274"/>
      <c r="M469" s="274"/>
      <c r="N469" s="275">
        <f t="shared" si="819"/>
        <v>0</v>
      </c>
      <c r="O469" s="274"/>
      <c r="P469" s="274"/>
      <c r="Q469" s="274"/>
      <c r="R469" s="274"/>
      <c r="S469" s="274">
        <f t="shared" si="820"/>
        <v>0</v>
      </c>
      <c r="T469" s="274"/>
      <c r="U469" s="274"/>
      <c r="V469" s="274"/>
      <c r="W469" s="274"/>
      <c r="X469" s="274">
        <f t="shared" si="821"/>
        <v>0</v>
      </c>
      <c r="Y469" s="274">
        <f t="shared" si="822"/>
        <v>0</v>
      </c>
      <c r="Z469" s="274">
        <f t="shared" si="823"/>
        <v>0</v>
      </c>
      <c r="AA469" s="274"/>
      <c r="AB469" s="306">
        <f t="shared" si="824"/>
        <v>0</v>
      </c>
    </row>
    <row r="470" spans="1:28" s="90" customFormat="1" ht="14.1" hidden="1" customHeight="1" x14ac:dyDescent="0.2">
      <c r="A470" s="301"/>
      <c r="B470" s="349" t="s">
        <v>459</v>
      </c>
      <c r="C470" s="101"/>
      <c r="D470" s="101"/>
      <c r="E470" s="101"/>
      <c r="F470" s="370" t="s">
        <v>460</v>
      </c>
      <c r="G470" s="149"/>
      <c r="H470" s="149"/>
      <c r="I470" s="329">
        <f t="shared" si="817"/>
        <v>0</v>
      </c>
      <c r="J470" s="329">
        <f t="shared" si="818"/>
        <v>0</v>
      </c>
      <c r="K470" s="274"/>
      <c r="L470" s="274"/>
      <c r="M470" s="274"/>
      <c r="N470" s="275">
        <f t="shared" si="819"/>
        <v>0</v>
      </c>
      <c r="O470" s="274"/>
      <c r="P470" s="274"/>
      <c r="Q470" s="274"/>
      <c r="R470" s="274"/>
      <c r="S470" s="274">
        <f t="shared" si="820"/>
        <v>0</v>
      </c>
      <c r="T470" s="274"/>
      <c r="U470" s="274"/>
      <c r="V470" s="274"/>
      <c r="W470" s="274"/>
      <c r="X470" s="274">
        <f t="shared" si="821"/>
        <v>0</v>
      </c>
      <c r="Y470" s="274">
        <f t="shared" si="822"/>
        <v>0</v>
      </c>
      <c r="Z470" s="274">
        <f t="shared" si="823"/>
        <v>0</v>
      </c>
      <c r="AA470" s="274"/>
      <c r="AB470" s="306">
        <f t="shared" si="824"/>
        <v>0</v>
      </c>
    </row>
    <row r="471" spans="1:28" s="90" customFormat="1" ht="14.1" hidden="1" customHeight="1" x14ac:dyDescent="0.2">
      <c r="A471" s="301"/>
      <c r="B471" s="349" t="s">
        <v>461</v>
      </c>
      <c r="C471" s="101"/>
      <c r="D471" s="101"/>
      <c r="E471" s="101"/>
      <c r="F471" s="370" t="s">
        <v>462</v>
      </c>
      <c r="G471" s="149"/>
      <c r="H471" s="149"/>
      <c r="I471" s="329">
        <f t="shared" si="817"/>
        <v>0</v>
      </c>
      <c r="J471" s="329">
        <f t="shared" si="818"/>
        <v>0</v>
      </c>
      <c r="K471" s="274"/>
      <c r="L471" s="274"/>
      <c r="M471" s="274"/>
      <c r="N471" s="275">
        <f t="shared" si="819"/>
        <v>0</v>
      </c>
      <c r="O471" s="274"/>
      <c r="P471" s="274"/>
      <c r="Q471" s="274"/>
      <c r="R471" s="274"/>
      <c r="S471" s="274">
        <f t="shared" si="820"/>
        <v>0</v>
      </c>
      <c r="T471" s="274"/>
      <c r="U471" s="274"/>
      <c r="V471" s="274"/>
      <c r="W471" s="274"/>
      <c r="X471" s="274">
        <f t="shared" si="821"/>
        <v>0</v>
      </c>
      <c r="Y471" s="274">
        <f t="shared" si="822"/>
        <v>0</v>
      </c>
      <c r="Z471" s="274">
        <f t="shared" si="823"/>
        <v>0</v>
      </c>
      <c r="AA471" s="274"/>
      <c r="AB471" s="306">
        <f t="shared" si="824"/>
        <v>0</v>
      </c>
    </row>
    <row r="472" spans="1:28" s="90" customFormat="1" ht="14.1" hidden="1" customHeight="1" x14ac:dyDescent="0.2">
      <c r="A472" s="301"/>
      <c r="B472" s="349" t="s">
        <v>463</v>
      </c>
      <c r="C472" s="101"/>
      <c r="D472" s="101"/>
      <c r="E472" s="101"/>
      <c r="F472" s="370" t="s">
        <v>464</v>
      </c>
      <c r="G472" s="149"/>
      <c r="H472" s="149"/>
      <c r="I472" s="329">
        <f t="shared" si="817"/>
        <v>0</v>
      </c>
      <c r="J472" s="329">
        <f t="shared" si="818"/>
        <v>0</v>
      </c>
      <c r="K472" s="274"/>
      <c r="L472" s="274"/>
      <c r="M472" s="274"/>
      <c r="N472" s="275">
        <f t="shared" si="819"/>
        <v>0</v>
      </c>
      <c r="O472" s="274"/>
      <c r="P472" s="274"/>
      <c r="Q472" s="274"/>
      <c r="R472" s="274"/>
      <c r="S472" s="274">
        <f t="shared" si="820"/>
        <v>0</v>
      </c>
      <c r="T472" s="274"/>
      <c r="U472" s="274"/>
      <c r="V472" s="274"/>
      <c r="W472" s="274"/>
      <c r="X472" s="274">
        <f t="shared" si="821"/>
        <v>0</v>
      </c>
      <c r="Y472" s="274">
        <f t="shared" si="822"/>
        <v>0</v>
      </c>
      <c r="Z472" s="274">
        <f t="shared" si="823"/>
        <v>0</v>
      </c>
      <c r="AA472" s="274"/>
      <c r="AB472" s="306">
        <f t="shared" si="824"/>
        <v>0</v>
      </c>
    </row>
    <row r="473" spans="1:28" s="90" customFormat="1" ht="14.1" customHeight="1" x14ac:dyDescent="0.2">
      <c r="A473" s="301"/>
      <c r="B473" s="348" t="s">
        <v>465</v>
      </c>
      <c r="C473" s="101"/>
      <c r="D473" s="101"/>
      <c r="E473" s="101"/>
      <c r="F473" s="370"/>
      <c r="G473" s="149"/>
      <c r="H473" s="149"/>
      <c r="I473" s="149"/>
      <c r="J473" s="14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  <c r="AA473" s="159"/>
      <c r="AB473" s="583"/>
    </row>
    <row r="474" spans="1:28" s="90" customFormat="1" ht="14.1" customHeight="1" x14ac:dyDescent="0.2">
      <c r="A474" s="301"/>
      <c r="B474" s="349" t="s">
        <v>466</v>
      </c>
      <c r="C474" s="101"/>
      <c r="D474" s="101"/>
      <c r="E474" s="101"/>
      <c r="F474" s="370" t="s">
        <v>467</v>
      </c>
      <c r="G474" s="149">
        <v>1400000</v>
      </c>
      <c r="H474" s="149"/>
      <c r="I474" s="329">
        <f t="shared" ref="I474:I476" si="825">G474+H474</f>
        <v>1400000</v>
      </c>
      <c r="J474" s="329">
        <f t="shared" ref="J474:J476" si="826">I474</f>
        <v>1400000</v>
      </c>
      <c r="K474" s="274"/>
      <c r="L474" s="274"/>
      <c r="M474" s="274"/>
      <c r="N474" s="275">
        <f t="shared" ref="N474:N476" si="827">J474+K474-L474+M474</f>
        <v>1400000</v>
      </c>
      <c r="O474" s="274"/>
      <c r="P474" s="274"/>
      <c r="Q474" s="274">
        <v>1400000</v>
      </c>
      <c r="R474" s="274"/>
      <c r="S474" s="274">
        <f t="shared" ref="S474:S476" si="828">SUM(O474:R474)</f>
        <v>1400000</v>
      </c>
      <c r="T474" s="274"/>
      <c r="U474" s="274"/>
      <c r="V474" s="274">
        <v>1400000</v>
      </c>
      <c r="W474" s="274"/>
      <c r="X474" s="274">
        <f t="shared" ref="X474:X476" si="829">SUM(T474:W474)</f>
        <v>1400000</v>
      </c>
      <c r="Y474" s="274">
        <f t="shared" ref="Y474:Y476" si="830">I474-N474</f>
        <v>0</v>
      </c>
      <c r="Z474" s="274">
        <f t="shared" ref="Z474:Z476" si="831">N474-S474</f>
        <v>0</v>
      </c>
      <c r="AA474" s="274"/>
      <c r="AB474" s="306">
        <f t="shared" ref="AB474:AB476" si="832">+S474-X474-AA474</f>
        <v>0</v>
      </c>
    </row>
    <row r="475" spans="1:28" s="90" customFormat="1" ht="14.1" hidden="1" customHeight="1" x14ac:dyDescent="0.2">
      <c r="A475" s="301"/>
      <c r="B475" s="349" t="s">
        <v>468</v>
      </c>
      <c r="C475" s="101"/>
      <c r="D475" s="101"/>
      <c r="E475" s="101"/>
      <c r="F475" s="370" t="s">
        <v>469</v>
      </c>
      <c r="G475" s="149"/>
      <c r="H475" s="149"/>
      <c r="I475" s="329">
        <f t="shared" si="825"/>
        <v>0</v>
      </c>
      <c r="J475" s="329">
        <f t="shared" si="826"/>
        <v>0</v>
      </c>
      <c r="K475" s="274"/>
      <c r="L475" s="274"/>
      <c r="M475" s="274"/>
      <c r="N475" s="275">
        <f t="shared" si="827"/>
        <v>0</v>
      </c>
      <c r="O475" s="274"/>
      <c r="P475" s="274"/>
      <c r="Q475" s="274"/>
      <c r="R475" s="274"/>
      <c r="S475" s="274">
        <f t="shared" si="828"/>
        <v>0</v>
      </c>
      <c r="T475" s="274"/>
      <c r="U475" s="274"/>
      <c r="V475" s="274"/>
      <c r="W475" s="274"/>
      <c r="X475" s="274">
        <f t="shared" si="829"/>
        <v>0</v>
      </c>
      <c r="Y475" s="274">
        <f t="shared" si="830"/>
        <v>0</v>
      </c>
      <c r="Z475" s="274">
        <f t="shared" si="831"/>
        <v>0</v>
      </c>
      <c r="AA475" s="274"/>
      <c r="AB475" s="306">
        <f t="shared" si="832"/>
        <v>0</v>
      </c>
    </row>
    <row r="476" spans="1:28" s="90" customFormat="1" ht="14.1" hidden="1" customHeight="1" x14ac:dyDescent="0.2">
      <c r="A476" s="301"/>
      <c r="B476" s="349" t="s">
        <v>470</v>
      </c>
      <c r="C476" s="101"/>
      <c r="D476" s="101"/>
      <c r="E476" s="101"/>
      <c r="F476" s="370" t="s">
        <v>471</v>
      </c>
      <c r="G476" s="149"/>
      <c r="H476" s="149"/>
      <c r="I476" s="329">
        <f t="shared" si="825"/>
        <v>0</v>
      </c>
      <c r="J476" s="329">
        <f t="shared" si="826"/>
        <v>0</v>
      </c>
      <c r="K476" s="274"/>
      <c r="L476" s="274"/>
      <c r="M476" s="274"/>
      <c r="N476" s="275">
        <f t="shared" si="827"/>
        <v>0</v>
      </c>
      <c r="O476" s="274"/>
      <c r="P476" s="274"/>
      <c r="Q476" s="274"/>
      <c r="R476" s="274"/>
      <c r="S476" s="274">
        <f t="shared" si="828"/>
        <v>0</v>
      </c>
      <c r="T476" s="274"/>
      <c r="U476" s="274"/>
      <c r="V476" s="274"/>
      <c r="W476" s="274"/>
      <c r="X476" s="274">
        <f t="shared" si="829"/>
        <v>0</v>
      </c>
      <c r="Y476" s="274">
        <f t="shared" si="830"/>
        <v>0</v>
      </c>
      <c r="Z476" s="274">
        <f t="shared" si="831"/>
        <v>0</v>
      </c>
      <c r="AA476" s="274"/>
      <c r="AB476" s="306">
        <f t="shared" si="832"/>
        <v>0</v>
      </c>
    </row>
    <row r="477" spans="1:28" s="90" customFormat="1" ht="14.1" hidden="1" customHeight="1" x14ac:dyDescent="0.2">
      <c r="A477" s="301"/>
      <c r="B477" s="348" t="s">
        <v>472</v>
      </c>
      <c r="C477" s="101"/>
      <c r="D477" s="101"/>
      <c r="E477" s="101"/>
      <c r="F477" s="370"/>
      <c r="G477" s="149"/>
      <c r="H477" s="149"/>
      <c r="I477" s="149"/>
      <c r="J477" s="14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  <c r="AA477" s="159"/>
      <c r="AB477" s="583"/>
    </row>
    <row r="478" spans="1:28" s="90" customFormat="1" ht="14.1" hidden="1" customHeight="1" x14ac:dyDescent="0.2">
      <c r="A478" s="301"/>
      <c r="B478" s="349" t="s">
        <v>473</v>
      </c>
      <c r="C478" s="101"/>
      <c r="D478" s="101"/>
      <c r="E478" s="101"/>
      <c r="F478" s="370" t="s">
        <v>474</v>
      </c>
      <c r="G478" s="149"/>
      <c r="H478" s="149"/>
      <c r="I478" s="329">
        <f t="shared" ref="I478:I479" si="833">G478+H478</f>
        <v>0</v>
      </c>
      <c r="J478" s="329">
        <f t="shared" ref="J478:J479" si="834">I478</f>
        <v>0</v>
      </c>
      <c r="K478" s="274"/>
      <c r="L478" s="274"/>
      <c r="M478" s="274"/>
      <c r="N478" s="275">
        <f t="shared" ref="N478:N479" si="835">J478+K478-L478+M478</f>
        <v>0</v>
      </c>
      <c r="O478" s="274"/>
      <c r="P478" s="274"/>
      <c r="Q478" s="274"/>
      <c r="R478" s="274"/>
      <c r="S478" s="274">
        <f t="shared" ref="S478:S479" si="836">SUM(O478:R478)</f>
        <v>0</v>
      </c>
      <c r="T478" s="274"/>
      <c r="U478" s="274"/>
      <c r="V478" s="274"/>
      <c r="W478" s="274"/>
      <c r="X478" s="274">
        <f t="shared" ref="X478:X479" si="837">SUM(T478:W478)</f>
        <v>0</v>
      </c>
      <c r="Y478" s="274">
        <f t="shared" ref="Y478:Y479" si="838">I478-N478</f>
        <v>0</v>
      </c>
      <c r="Z478" s="274">
        <f t="shared" ref="Z478:Z479" si="839">N478-S478</f>
        <v>0</v>
      </c>
      <c r="AA478" s="274"/>
      <c r="AB478" s="306">
        <f t="shared" ref="AB478:AB479" si="840">+S478-X478-AA478</f>
        <v>0</v>
      </c>
    </row>
    <row r="479" spans="1:28" s="90" customFormat="1" ht="14.1" hidden="1" customHeight="1" x14ac:dyDescent="0.2">
      <c r="A479" s="301"/>
      <c r="B479" s="349" t="s">
        <v>475</v>
      </c>
      <c r="C479" s="101"/>
      <c r="D479" s="101"/>
      <c r="E479" s="101"/>
      <c r="F479" s="370" t="s">
        <v>476</v>
      </c>
      <c r="G479" s="149"/>
      <c r="H479" s="149"/>
      <c r="I479" s="329">
        <f t="shared" si="833"/>
        <v>0</v>
      </c>
      <c r="J479" s="329">
        <f t="shared" si="834"/>
        <v>0</v>
      </c>
      <c r="K479" s="274"/>
      <c r="L479" s="274"/>
      <c r="M479" s="274"/>
      <c r="N479" s="275">
        <f t="shared" si="835"/>
        <v>0</v>
      </c>
      <c r="O479" s="274"/>
      <c r="P479" s="274"/>
      <c r="Q479" s="274"/>
      <c r="R479" s="274"/>
      <c r="S479" s="274">
        <f t="shared" si="836"/>
        <v>0</v>
      </c>
      <c r="T479" s="274"/>
      <c r="U479" s="274"/>
      <c r="V479" s="274"/>
      <c r="W479" s="274"/>
      <c r="X479" s="274">
        <f t="shared" si="837"/>
        <v>0</v>
      </c>
      <c r="Y479" s="274">
        <f t="shared" si="838"/>
        <v>0</v>
      </c>
      <c r="Z479" s="274">
        <f t="shared" si="839"/>
        <v>0</v>
      </c>
      <c r="AA479" s="274"/>
      <c r="AB479" s="306">
        <f t="shared" si="840"/>
        <v>0</v>
      </c>
    </row>
    <row r="480" spans="1:28" s="90" customFormat="1" ht="14.1" hidden="1" customHeight="1" x14ac:dyDescent="0.2">
      <c r="A480" s="301"/>
      <c r="B480" s="348" t="s">
        <v>477</v>
      </c>
      <c r="C480" s="101"/>
      <c r="D480" s="101"/>
      <c r="E480" s="101"/>
      <c r="F480" s="370"/>
      <c r="G480" s="149"/>
      <c r="H480" s="149"/>
      <c r="I480" s="149"/>
      <c r="J480" s="14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  <c r="AA480" s="159"/>
      <c r="AB480" s="583"/>
    </row>
    <row r="481" spans="1:91" s="90" customFormat="1" ht="14.1" hidden="1" customHeight="1" x14ac:dyDescent="0.2">
      <c r="A481" s="301"/>
      <c r="B481" s="349" t="s">
        <v>478</v>
      </c>
      <c r="C481" s="101"/>
      <c r="D481" s="101"/>
      <c r="E481" s="101"/>
      <c r="F481" s="370" t="s">
        <v>479</v>
      </c>
      <c r="G481" s="149"/>
      <c r="H481" s="149"/>
      <c r="I481" s="329">
        <f t="shared" ref="I481" si="841">G481+H481</f>
        <v>0</v>
      </c>
      <c r="J481" s="329">
        <f t="shared" ref="J481" si="842">I481</f>
        <v>0</v>
      </c>
      <c r="K481" s="274"/>
      <c r="L481" s="274"/>
      <c r="M481" s="274"/>
      <c r="N481" s="275">
        <f t="shared" ref="N481" si="843">J481+K481-L481+M481</f>
        <v>0</v>
      </c>
      <c r="O481" s="274"/>
      <c r="P481" s="274"/>
      <c r="Q481" s="274"/>
      <c r="R481" s="274"/>
      <c r="S481" s="274">
        <f t="shared" ref="S481" si="844">SUM(O481:R481)</f>
        <v>0</v>
      </c>
      <c r="T481" s="274"/>
      <c r="U481" s="274"/>
      <c r="V481" s="274"/>
      <c r="W481" s="274"/>
      <c r="X481" s="274">
        <f t="shared" ref="X481" si="845">SUM(T481:W481)</f>
        <v>0</v>
      </c>
      <c r="Y481" s="274">
        <f t="shared" ref="Y481" si="846">I481-N481</f>
        <v>0</v>
      </c>
      <c r="Z481" s="274">
        <f t="shared" ref="Z481" si="847">N481-S481</f>
        <v>0</v>
      </c>
      <c r="AA481" s="274"/>
      <c r="AB481" s="306">
        <f t="shared" ref="AB481" si="848">+S481-X481-AA481</f>
        <v>0</v>
      </c>
    </row>
    <row r="482" spans="1:91" s="90" customFormat="1" ht="14.1" hidden="1" customHeight="1" x14ac:dyDescent="0.2">
      <c r="A482" s="301"/>
      <c r="B482" s="348" t="s">
        <v>480</v>
      </c>
      <c r="C482" s="101"/>
      <c r="D482" s="101"/>
      <c r="E482" s="101"/>
      <c r="F482" s="370"/>
      <c r="G482" s="149"/>
      <c r="H482" s="149"/>
      <c r="I482" s="149"/>
      <c r="J482" s="14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  <c r="AA482" s="159"/>
      <c r="AB482" s="583"/>
    </row>
    <row r="483" spans="1:91" s="90" customFormat="1" ht="14.1" hidden="1" customHeight="1" x14ac:dyDescent="0.2">
      <c r="A483" s="301"/>
      <c r="B483" s="349" t="s">
        <v>481</v>
      </c>
      <c r="C483" s="101"/>
      <c r="D483" s="101"/>
      <c r="E483" s="101"/>
      <c r="F483" s="370" t="s">
        <v>482</v>
      </c>
      <c r="G483" s="149"/>
      <c r="H483" s="149"/>
      <c r="I483" s="329">
        <f t="shared" ref="I483" si="849">G483+H483</f>
        <v>0</v>
      </c>
      <c r="J483" s="329">
        <f t="shared" ref="J483" si="850">I483</f>
        <v>0</v>
      </c>
      <c r="K483" s="274"/>
      <c r="L483" s="274"/>
      <c r="M483" s="274"/>
      <c r="N483" s="275">
        <f t="shared" ref="N483" si="851">J483+K483-L483+M483</f>
        <v>0</v>
      </c>
      <c r="O483" s="274"/>
      <c r="P483" s="274"/>
      <c r="Q483" s="274"/>
      <c r="R483" s="274"/>
      <c r="S483" s="274">
        <f t="shared" ref="S483" si="852">SUM(O483:R483)</f>
        <v>0</v>
      </c>
      <c r="T483" s="274"/>
      <c r="U483" s="274"/>
      <c r="V483" s="274"/>
      <c r="W483" s="274"/>
      <c r="X483" s="274">
        <f t="shared" ref="X483" si="853">SUM(T483:W483)</f>
        <v>0</v>
      </c>
      <c r="Y483" s="274">
        <f t="shared" ref="Y483" si="854">I483-N483</f>
        <v>0</v>
      </c>
      <c r="Z483" s="274">
        <f t="shared" ref="Z483" si="855">N483-S483</f>
        <v>0</v>
      </c>
      <c r="AA483" s="274"/>
      <c r="AB483" s="306">
        <f t="shared" ref="AB483" si="856">+S483-X483-AA483</f>
        <v>0</v>
      </c>
    </row>
    <row r="484" spans="1:91" s="61" customFormat="1" ht="14.1" customHeight="1" x14ac:dyDescent="0.2">
      <c r="A484" s="303"/>
      <c r="B484" s="94"/>
      <c r="C484" s="94"/>
      <c r="D484" s="94"/>
      <c r="E484" s="69"/>
      <c r="F484" s="258"/>
      <c r="G484" s="148"/>
      <c r="H484" s="148"/>
      <c r="I484" s="148"/>
      <c r="J484" s="148"/>
      <c r="K484" s="152"/>
      <c r="L484" s="152"/>
      <c r="M484" s="152"/>
      <c r="N484" s="152"/>
      <c r="O484" s="152"/>
      <c r="P484" s="152"/>
      <c r="Q484" s="152"/>
      <c r="R484" s="340"/>
      <c r="S484" s="340"/>
      <c r="T484" s="340"/>
      <c r="U484" s="340"/>
      <c r="V484" s="340"/>
      <c r="W484" s="340"/>
      <c r="X484" s="340"/>
      <c r="Y484" s="340"/>
      <c r="Z484" s="340"/>
      <c r="AA484" s="340"/>
      <c r="AB484" s="300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</row>
    <row r="485" spans="1:91" s="61" customFormat="1" ht="14.1" customHeight="1" x14ac:dyDescent="0.2">
      <c r="A485" s="311" t="s">
        <v>262</v>
      </c>
      <c r="B485" s="94"/>
      <c r="C485" s="94"/>
      <c r="D485" s="94"/>
      <c r="E485" s="69"/>
      <c r="F485" s="258" t="s">
        <v>263</v>
      </c>
      <c r="G485" s="325">
        <f t="shared" ref="G485:AB485" si="857">G487+G511+G586</f>
        <v>13398000</v>
      </c>
      <c r="H485" s="325">
        <f t="shared" si="857"/>
        <v>0</v>
      </c>
      <c r="I485" s="325">
        <f t="shared" si="857"/>
        <v>13398000</v>
      </c>
      <c r="J485" s="325">
        <f t="shared" si="857"/>
        <v>13398000</v>
      </c>
      <c r="K485" s="325">
        <f t="shared" si="857"/>
        <v>0</v>
      </c>
      <c r="L485" s="325">
        <f t="shared" si="857"/>
        <v>0</v>
      </c>
      <c r="M485" s="325">
        <f t="shared" si="857"/>
        <v>0</v>
      </c>
      <c r="N485" s="325">
        <f t="shared" si="857"/>
        <v>13398000</v>
      </c>
      <c r="O485" s="325">
        <f t="shared" si="857"/>
        <v>3100741.38</v>
      </c>
      <c r="P485" s="325">
        <f t="shared" si="857"/>
        <v>3208290.1799999997</v>
      </c>
      <c r="Q485" s="325">
        <f t="shared" si="857"/>
        <v>2122051.65</v>
      </c>
      <c r="R485" s="325">
        <f t="shared" si="857"/>
        <v>3972134.5</v>
      </c>
      <c r="S485" s="325">
        <f t="shared" si="857"/>
        <v>12403217.710000001</v>
      </c>
      <c r="T485" s="325">
        <f t="shared" si="857"/>
        <v>2410301.38</v>
      </c>
      <c r="U485" s="325">
        <f t="shared" si="857"/>
        <v>3391179.9</v>
      </c>
      <c r="V485" s="325">
        <f t="shared" si="857"/>
        <v>2571815.8099999996</v>
      </c>
      <c r="W485" s="325">
        <f t="shared" si="857"/>
        <v>3225458.76</v>
      </c>
      <c r="X485" s="325">
        <f t="shared" si="857"/>
        <v>11598755.85</v>
      </c>
      <c r="Y485" s="325">
        <f t="shared" si="857"/>
        <v>0</v>
      </c>
      <c r="Z485" s="325">
        <f t="shared" si="857"/>
        <v>994782.29000000015</v>
      </c>
      <c r="AA485" s="335">
        <f t="shared" si="857"/>
        <v>5</v>
      </c>
      <c r="AB485" s="309">
        <f t="shared" si="857"/>
        <v>804456.85999999987</v>
      </c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</row>
    <row r="486" spans="1:91" ht="14.1" customHeight="1" x14ac:dyDescent="0.2">
      <c r="A486" s="303" t="s">
        <v>193</v>
      </c>
      <c r="B486" s="69" t="s">
        <v>194</v>
      </c>
      <c r="C486" s="69"/>
      <c r="D486" s="69"/>
      <c r="E486" s="69"/>
      <c r="F486" s="258" t="s">
        <v>264</v>
      </c>
      <c r="G486" s="148"/>
      <c r="H486" s="148"/>
      <c r="I486" s="148"/>
      <c r="J486" s="148"/>
      <c r="K486" s="152"/>
      <c r="L486" s="152"/>
      <c r="M486" s="152"/>
      <c r="N486" s="152"/>
      <c r="O486" s="152"/>
      <c r="P486" s="152"/>
      <c r="Q486" s="152"/>
      <c r="R486" s="340"/>
      <c r="S486" s="340"/>
      <c r="T486" s="340"/>
      <c r="U486" s="340"/>
      <c r="V486" s="340"/>
      <c r="W486" s="340"/>
      <c r="X486" s="340"/>
      <c r="Y486" s="340"/>
      <c r="Z486" s="340"/>
      <c r="AA486" s="340"/>
      <c r="AB486" s="300"/>
    </row>
    <row r="487" spans="1:91" s="90" customFormat="1" ht="14.1" customHeight="1" x14ac:dyDescent="0.2">
      <c r="A487" s="301"/>
      <c r="B487" s="347" t="s">
        <v>283</v>
      </c>
      <c r="C487" s="101"/>
      <c r="D487" s="101"/>
      <c r="E487" s="101"/>
      <c r="F487" s="370"/>
      <c r="G487" s="321">
        <f>SUM(G489:G509)</f>
        <v>8378000</v>
      </c>
      <c r="H487" s="321">
        <f t="shared" ref="H487:AB487" si="858">SUM(H489:H509)</f>
        <v>0</v>
      </c>
      <c r="I487" s="321">
        <f t="shared" si="858"/>
        <v>8378000</v>
      </c>
      <c r="J487" s="321">
        <f t="shared" si="858"/>
        <v>8378000</v>
      </c>
      <c r="K487" s="321">
        <f t="shared" si="858"/>
        <v>0</v>
      </c>
      <c r="L487" s="321">
        <f t="shared" si="858"/>
        <v>0</v>
      </c>
      <c r="M487" s="321">
        <f t="shared" si="858"/>
        <v>0</v>
      </c>
      <c r="N487" s="321">
        <f t="shared" si="858"/>
        <v>8378000</v>
      </c>
      <c r="O487" s="321">
        <f t="shared" si="858"/>
        <v>2823932</v>
      </c>
      <c r="P487" s="321">
        <f t="shared" si="858"/>
        <v>2697655.8</v>
      </c>
      <c r="Q487" s="321">
        <f t="shared" si="858"/>
        <v>1444260</v>
      </c>
      <c r="R487" s="321">
        <f t="shared" si="858"/>
        <v>1394152.2</v>
      </c>
      <c r="S487" s="321">
        <f t="shared" si="858"/>
        <v>8360000</v>
      </c>
      <c r="T487" s="321">
        <f t="shared" si="858"/>
        <v>2146199</v>
      </c>
      <c r="U487" s="321">
        <f t="shared" si="858"/>
        <v>2867838.52</v>
      </c>
      <c r="V487" s="321">
        <f t="shared" si="858"/>
        <v>1940199.16</v>
      </c>
      <c r="W487" s="321">
        <f t="shared" si="858"/>
        <v>1405763.3199999998</v>
      </c>
      <c r="X487" s="321">
        <f t="shared" si="858"/>
        <v>8360000</v>
      </c>
      <c r="Y487" s="321">
        <f t="shared" si="858"/>
        <v>0</v>
      </c>
      <c r="Z487" s="321">
        <f t="shared" si="858"/>
        <v>18000</v>
      </c>
      <c r="AA487" s="332">
        <f t="shared" si="858"/>
        <v>0</v>
      </c>
      <c r="AB487" s="382">
        <f t="shared" si="858"/>
        <v>0</v>
      </c>
    </row>
    <row r="488" spans="1:91" s="90" customFormat="1" ht="14.1" customHeight="1" x14ac:dyDescent="0.2">
      <c r="A488" s="301"/>
      <c r="B488" s="348" t="s">
        <v>284</v>
      </c>
      <c r="C488" s="101"/>
      <c r="D488" s="101"/>
      <c r="E488" s="101"/>
      <c r="F488" s="370"/>
      <c r="G488" s="321"/>
      <c r="H488" s="321"/>
      <c r="I488" s="321"/>
      <c r="J488" s="321"/>
      <c r="K488" s="332"/>
      <c r="L488" s="332"/>
      <c r="M488" s="332"/>
      <c r="N488" s="332"/>
      <c r="O488" s="332"/>
      <c r="P488" s="332"/>
      <c r="Q488" s="332"/>
      <c r="R488" s="332"/>
      <c r="S488" s="332"/>
      <c r="T488" s="332"/>
      <c r="U488" s="332"/>
      <c r="V488" s="332"/>
      <c r="W488" s="332"/>
      <c r="X488" s="332"/>
      <c r="Y488" s="332"/>
      <c r="Z488" s="332"/>
      <c r="AA488" s="332"/>
      <c r="AB488" s="302"/>
    </row>
    <row r="489" spans="1:91" s="90" customFormat="1" ht="14.1" customHeight="1" x14ac:dyDescent="0.2">
      <c r="A489" s="301"/>
      <c r="B489" s="349" t="s">
        <v>285</v>
      </c>
      <c r="C489" s="101"/>
      <c r="D489" s="101"/>
      <c r="E489" s="101"/>
      <c r="F489" s="370" t="s">
        <v>286</v>
      </c>
      <c r="G489" s="149">
        <v>7011000</v>
      </c>
      <c r="H489" s="149"/>
      <c r="I489" s="329">
        <f t="shared" ref="I489" si="859">G489+H489</f>
        <v>7011000</v>
      </c>
      <c r="J489" s="329">
        <f t="shared" ref="J489" si="860">I489</f>
        <v>7011000</v>
      </c>
      <c r="K489" s="274"/>
      <c r="L489" s="274"/>
      <c r="M489" s="274"/>
      <c r="N489" s="275">
        <f t="shared" ref="N489" si="861">J489+K489-L489+M489</f>
        <v>7011000</v>
      </c>
      <c r="O489" s="274">
        <v>2514732</v>
      </c>
      <c r="P489" s="274">
        <f>628683+628683+1501.8+629155</f>
        <v>1888022.8</v>
      </c>
      <c r="Q489" s="274">
        <f>629155+629155</f>
        <v>1258310</v>
      </c>
      <c r="R489" s="274">
        <f>1259409+45507.5+45018.7</f>
        <v>1349935.2</v>
      </c>
      <c r="S489" s="274">
        <f t="shared" ref="S489" si="862">SUM(O489:R489)</f>
        <v>7011000</v>
      </c>
      <c r="T489" s="274">
        <v>1885649</v>
      </c>
      <c r="U489" s="274">
        <f>499418.21+129664.79+149316+97929.96+381437.04+1366.64+628683+135251</f>
        <v>2023066.64</v>
      </c>
      <c r="V489" s="274">
        <f>468304.33+135.16+25599.67+629155+629155</f>
        <v>1752349.16</v>
      </c>
      <c r="W489" s="274">
        <f>629155+630254+45507.5+45018.7</f>
        <v>1349935.2</v>
      </c>
      <c r="X489" s="274">
        <f t="shared" ref="X489" si="863">SUM(T489:W489)</f>
        <v>7011000</v>
      </c>
      <c r="Y489" s="274">
        <f t="shared" ref="Y489" si="864">I489-N489</f>
        <v>0</v>
      </c>
      <c r="Z489" s="274">
        <f t="shared" ref="Z489" si="865">N489-S489</f>
        <v>0</v>
      </c>
      <c r="AA489" s="274"/>
      <c r="AB489" s="306">
        <f t="shared" ref="AB489" si="866">+S489-X489-AA489</f>
        <v>0</v>
      </c>
    </row>
    <row r="490" spans="1:91" s="90" customFormat="1" ht="14.1" customHeight="1" x14ac:dyDescent="0.2">
      <c r="A490" s="301"/>
      <c r="B490" s="348" t="s">
        <v>287</v>
      </c>
      <c r="C490" s="101"/>
      <c r="D490" s="101"/>
      <c r="E490" s="101"/>
      <c r="F490" s="370"/>
      <c r="G490" s="149"/>
      <c r="H490" s="149"/>
      <c r="I490" s="149"/>
      <c r="J490" s="14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  <c r="AA490" s="159"/>
      <c r="AB490" s="583"/>
    </row>
    <row r="491" spans="1:91" s="90" customFormat="1" ht="14.1" customHeight="1" x14ac:dyDescent="0.2">
      <c r="A491" s="301"/>
      <c r="B491" s="349" t="s">
        <v>288</v>
      </c>
      <c r="C491" s="101"/>
      <c r="D491" s="101"/>
      <c r="E491" s="101"/>
      <c r="F491" s="370" t="s">
        <v>289</v>
      </c>
      <c r="G491" s="149">
        <v>408000</v>
      </c>
      <c r="H491" s="149"/>
      <c r="I491" s="329">
        <f t="shared" ref="I491:I501" si="867">G491+H491</f>
        <v>408000</v>
      </c>
      <c r="J491" s="329">
        <f t="shared" ref="J491:J501" si="868">I491</f>
        <v>408000</v>
      </c>
      <c r="K491" s="274"/>
      <c r="L491" s="274"/>
      <c r="M491" s="274"/>
      <c r="N491" s="275">
        <f t="shared" ref="N491:N502" si="869">J491+K491-L491+M491</f>
        <v>408000</v>
      </c>
      <c r="O491" s="274">
        <v>152000</v>
      </c>
      <c r="P491" s="274">
        <f>38000+38000+38000</f>
        <v>114000</v>
      </c>
      <c r="Q491" s="274">
        <f>38000+38000+38000</f>
        <v>114000</v>
      </c>
      <c r="R491" s="274">
        <f>76000-48000</f>
        <v>28000</v>
      </c>
      <c r="S491" s="274">
        <f t="shared" ref="S491:S501" si="870">SUM(O491:R491)</f>
        <v>408000</v>
      </c>
      <c r="T491" s="274">
        <v>114000</v>
      </c>
      <c r="U491" s="274">
        <f>38000+35138.88+2861.12+38000+35138.88</f>
        <v>149138.88</v>
      </c>
      <c r="V491" s="274">
        <f>1550+1311.12+35138.88+2861.12+35138.88+2861.12+35138.88</f>
        <v>114000</v>
      </c>
      <c r="W491" s="274">
        <f>76000+2861.12-48000</f>
        <v>30861.119999999995</v>
      </c>
      <c r="X491" s="274">
        <f t="shared" ref="X491:X501" si="871">SUM(T491:W491)</f>
        <v>408000</v>
      </c>
      <c r="Y491" s="274">
        <f t="shared" ref="Y491:Y501" si="872">I491-N491</f>
        <v>0</v>
      </c>
      <c r="Z491" s="274">
        <f t="shared" ref="Z491:Z501" si="873">N491-S491</f>
        <v>0</v>
      </c>
      <c r="AA491" s="274"/>
      <c r="AB491" s="306">
        <f t="shared" ref="AB491:AB501" si="874">+S491-X491-AA491</f>
        <v>0</v>
      </c>
    </row>
    <row r="492" spans="1:91" s="90" customFormat="1" ht="14.1" customHeight="1" x14ac:dyDescent="0.2">
      <c r="A492" s="301"/>
      <c r="B492" s="349" t="s">
        <v>290</v>
      </c>
      <c r="C492" s="101"/>
      <c r="D492" s="101"/>
      <c r="E492" s="101"/>
      <c r="F492" s="370" t="s">
        <v>291</v>
      </c>
      <c r="G492" s="149"/>
      <c r="H492" s="149"/>
      <c r="I492" s="329">
        <f t="shared" si="867"/>
        <v>0</v>
      </c>
      <c r="J492" s="329">
        <f t="shared" si="868"/>
        <v>0</v>
      </c>
      <c r="K492" s="274"/>
      <c r="L492" s="274"/>
      <c r="M492" s="274"/>
      <c r="N492" s="275">
        <f t="shared" si="869"/>
        <v>0</v>
      </c>
      <c r="O492" s="274">
        <v>10000</v>
      </c>
      <c r="P492" s="274">
        <f>5000+5000+5000</f>
        <v>15000</v>
      </c>
      <c r="Q492" s="274">
        <f>5000+5000+5000+5000</f>
        <v>20000</v>
      </c>
      <c r="R492" s="274">
        <f t="shared" ref="R492:R493" si="875">10000+5000-60000</f>
        <v>-45000</v>
      </c>
      <c r="S492" s="274">
        <f t="shared" si="870"/>
        <v>0</v>
      </c>
      <c r="T492" s="274">
        <v>10000</v>
      </c>
      <c r="U492" s="274">
        <f>5000+5000+5000</f>
        <v>15000</v>
      </c>
      <c r="V492" s="274">
        <f>5000+5000+5000+5000</f>
        <v>20000</v>
      </c>
      <c r="W492" s="274">
        <f t="shared" ref="W492:W493" si="876">10000+5000-60000</f>
        <v>-45000</v>
      </c>
      <c r="X492" s="274">
        <f t="shared" si="871"/>
        <v>0</v>
      </c>
      <c r="Y492" s="274">
        <f t="shared" si="872"/>
        <v>0</v>
      </c>
      <c r="Z492" s="274">
        <f t="shared" si="873"/>
        <v>0</v>
      </c>
      <c r="AA492" s="274"/>
      <c r="AB492" s="306">
        <f t="shared" si="874"/>
        <v>0</v>
      </c>
    </row>
    <row r="493" spans="1:91" s="90" customFormat="1" ht="14.1" customHeight="1" x14ac:dyDescent="0.2">
      <c r="A493" s="301"/>
      <c r="B493" s="349" t="s">
        <v>292</v>
      </c>
      <c r="C493" s="101"/>
      <c r="D493" s="101"/>
      <c r="E493" s="101"/>
      <c r="F493" s="370" t="s">
        <v>293</v>
      </c>
      <c r="G493" s="149"/>
      <c r="H493" s="149"/>
      <c r="I493" s="329">
        <f t="shared" si="867"/>
        <v>0</v>
      </c>
      <c r="J493" s="329">
        <f t="shared" si="868"/>
        <v>0</v>
      </c>
      <c r="K493" s="274"/>
      <c r="L493" s="274"/>
      <c r="M493" s="274"/>
      <c r="N493" s="275">
        <f t="shared" si="869"/>
        <v>0</v>
      </c>
      <c r="O493" s="274">
        <v>10000</v>
      </c>
      <c r="P493" s="274">
        <f>5000+5000+5000</f>
        <v>15000</v>
      </c>
      <c r="Q493" s="274">
        <f>5000+5000+5000+5000</f>
        <v>20000</v>
      </c>
      <c r="R493" s="274">
        <f t="shared" si="875"/>
        <v>-45000</v>
      </c>
      <c r="S493" s="274">
        <f t="shared" si="870"/>
        <v>0</v>
      </c>
      <c r="T493" s="274">
        <v>10000</v>
      </c>
      <c r="U493" s="274">
        <f>5000+5000+5000</f>
        <v>15000</v>
      </c>
      <c r="V493" s="274">
        <f>5000+5000+5000+5000</f>
        <v>20000</v>
      </c>
      <c r="W493" s="274">
        <f t="shared" si="876"/>
        <v>-45000</v>
      </c>
      <c r="X493" s="274">
        <f t="shared" si="871"/>
        <v>0</v>
      </c>
      <c r="Y493" s="274">
        <f t="shared" si="872"/>
        <v>0</v>
      </c>
      <c r="Z493" s="274">
        <f t="shared" si="873"/>
        <v>0</v>
      </c>
      <c r="AA493" s="274"/>
      <c r="AB493" s="306">
        <f t="shared" si="874"/>
        <v>0</v>
      </c>
    </row>
    <row r="494" spans="1:91" s="90" customFormat="1" ht="14.1" customHeight="1" x14ac:dyDescent="0.2">
      <c r="A494" s="301"/>
      <c r="B494" s="349" t="s">
        <v>294</v>
      </c>
      <c r="C494" s="101"/>
      <c r="D494" s="101"/>
      <c r="E494" s="101"/>
      <c r="F494" s="370" t="s">
        <v>295</v>
      </c>
      <c r="G494" s="149">
        <v>85000</v>
      </c>
      <c r="H494" s="149"/>
      <c r="I494" s="329">
        <f t="shared" si="867"/>
        <v>85000</v>
      </c>
      <c r="J494" s="329">
        <f t="shared" si="868"/>
        <v>85000</v>
      </c>
      <c r="K494" s="274"/>
      <c r="L494" s="274"/>
      <c r="M494" s="274"/>
      <c r="N494" s="275">
        <f t="shared" si="869"/>
        <v>85000</v>
      </c>
      <c r="O494" s="274">
        <v>95000</v>
      </c>
      <c r="P494" s="274"/>
      <c r="Q494" s="274"/>
      <c r="R494" s="274">
        <v>-10000</v>
      </c>
      <c r="S494" s="274">
        <f t="shared" si="870"/>
        <v>85000</v>
      </c>
      <c r="T494" s="274">
        <v>95000</v>
      </c>
      <c r="U494" s="274"/>
      <c r="V494" s="274"/>
      <c r="W494" s="274">
        <v>-10000</v>
      </c>
      <c r="X494" s="274">
        <f t="shared" si="871"/>
        <v>85000</v>
      </c>
      <c r="Y494" s="274">
        <f t="shared" si="872"/>
        <v>0</v>
      </c>
      <c r="Z494" s="274">
        <f t="shared" si="873"/>
        <v>0</v>
      </c>
      <c r="AA494" s="274"/>
      <c r="AB494" s="306">
        <f t="shared" si="874"/>
        <v>0</v>
      </c>
    </row>
    <row r="495" spans="1:91" s="90" customFormat="1" ht="14.1" customHeight="1" x14ac:dyDescent="0.2">
      <c r="A495" s="301"/>
      <c r="B495" s="349" t="s">
        <v>814</v>
      </c>
      <c r="C495" s="864"/>
      <c r="D495" s="864"/>
      <c r="E495" s="864"/>
      <c r="F495" s="370" t="s">
        <v>815</v>
      </c>
      <c r="G495" s="149"/>
      <c r="H495" s="149"/>
      <c r="I495" s="660">
        <f t="shared" si="867"/>
        <v>0</v>
      </c>
      <c r="J495" s="660">
        <f t="shared" si="868"/>
        <v>0</v>
      </c>
      <c r="K495" s="662"/>
      <c r="L495" s="662"/>
      <c r="M495" s="662"/>
      <c r="N495" s="661">
        <f t="shared" si="869"/>
        <v>0</v>
      </c>
      <c r="O495" s="869"/>
      <c r="P495" s="662"/>
      <c r="Q495" s="662"/>
      <c r="R495" s="662"/>
      <c r="S495" s="662">
        <f t="shared" si="870"/>
        <v>0</v>
      </c>
      <c r="T495" s="662"/>
      <c r="U495" s="662"/>
      <c r="V495" s="662"/>
      <c r="W495" s="662"/>
      <c r="X495" s="662">
        <f t="shared" ref="X495:X496" si="877">SUM(T495:W495)</f>
        <v>0</v>
      </c>
      <c r="Y495" s="662">
        <f t="shared" si="872"/>
        <v>0</v>
      </c>
      <c r="Z495" s="662">
        <f t="shared" si="873"/>
        <v>0</v>
      </c>
      <c r="AA495" s="662"/>
      <c r="AB495" s="663">
        <f t="shared" si="874"/>
        <v>0</v>
      </c>
    </row>
    <row r="496" spans="1:91" s="90" customFormat="1" ht="14.1" customHeight="1" x14ac:dyDescent="0.2">
      <c r="A496" s="301"/>
      <c r="B496" s="349" t="s">
        <v>816</v>
      </c>
      <c r="C496" s="864"/>
      <c r="D496" s="864"/>
      <c r="E496" s="864"/>
      <c r="F496" s="370" t="s">
        <v>817</v>
      </c>
      <c r="G496" s="149"/>
      <c r="H496" s="149"/>
      <c r="I496" s="660">
        <f t="shared" si="867"/>
        <v>0</v>
      </c>
      <c r="J496" s="660">
        <f t="shared" si="868"/>
        <v>0</v>
      </c>
      <c r="K496" s="662"/>
      <c r="L496" s="662"/>
      <c r="M496" s="662"/>
      <c r="N496" s="661">
        <f t="shared" si="869"/>
        <v>0</v>
      </c>
      <c r="O496" s="869"/>
      <c r="P496" s="662"/>
      <c r="Q496" s="662"/>
      <c r="R496" s="662"/>
      <c r="S496" s="662">
        <f t="shared" si="870"/>
        <v>0</v>
      </c>
      <c r="T496" s="662"/>
      <c r="U496" s="662"/>
      <c r="V496" s="662"/>
      <c r="W496" s="662"/>
      <c r="X496" s="662">
        <f t="shared" si="877"/>
        <v>0</v>
      </c>
      <c r="Y496" s="662">
        <f t="shared" si="872"/>
        <v>0</v>
      </c>
      <c r="Z496" s="662">
        <f t="shared" si="873"/>
        <v>0</v>
      </c>
      <c r="AA496" s="662"/>
      <c r="AB496" s="663">
        <f t="shared" si="874"/>
        <v>0</v>
      </c>
    </row>
    <row r="497" spans="1:28" s="90" customFormat="1" ht="14.1" customHeight="1" x14ac:dyDescent="0.2">
      <c r="A497" s="301"/>
      <c r="B497" s="349" t="s">
        <v>296</v>
      </c>
      <c r="C497" s="101"/>
      <c r="D497" s="101"/>
      <c r="E497" s="101"/>
      <c r="F497" s="370" t="s">
        <v>297</v>
      </c>
      <c r="G497" s="149"/>
      <c r="H497" s="149"/>
      <c r="I497" s="329">
        <f t="shared" si="867"/>
        <v>0</v>
      </c>
      <c r="J497" s="329">
        <f t="shared" si="868"/>
        <v>0</v>
      </c>
      <c r="K497" s="274"/>
      <c r="L497" s="274"/>
      <c r="M497" s="274"/>
      <c r="N497" s="275">
        <f t="shared" si="869"/>
        <v>0</v>
      </c>
      <c r="O497" s="274"/>
      <c r="P497" s="274"/>
      <c r="Q497" s="274"/>
      <c r="R497" s="274"/>
      <c r="S497" s="274">
        <f t="shared" si="870"/>
        <v>0</v>
      </c>
      <c r="T497" s="274"/>
      <c r="U497" s="274"/>
      <c r="V497" s="274"/>
      <c r="W497" s="274"/>
      <c r="X497" s="274">
        <f t="shared" si="871"/>
        <v>0</v>
      </c>
      <c r="Y497" s="274">
        <f t="shared" si="872"/>
        <v>0</v>
      </c>
      <c r="Z497" s="274">
        <f t="shared" si="873"/>
        <v>0</v>
      </c>
      <c r="AA497" s="274"/>
      <c r="AB497" s="306">
        <f t="shared" si="874"/>
        <v>0</v>
      </c>
    </row>
    <row r="498" spans="1:28" s="90" customFormat="1" ht="14.1" customHeight="1" x14ac:dyDescent="0.2">
      <c r="A498" s="301"/>
      <c r="B498" s="349" t="s">
        <v>298</v>
      </c>
      <c r="C498" s="101"/>
      <c r="D498" s="101"/>
      <c r="E498" s="101"/>
      <c r="F498" s="370" t="s">
        <v>299</v>
      </c>
      <c r="G498" s="149"/>
      <c r="H498" s="149"/>
      <c r="I498" s="329">
        <f t="shared" si="867"/>
        <v>0</v>
      </c>
      <c r="J498" s="329">
        <f t="shared" si="868"/>
        <v>0</v>
      </c>
      <c r="K498" s="274"/>
      <c r="L498" s="274"/>
      <c r="M498" s="274"/>
      <c r="N498" s="275">
        <f t="shared" si="869"/>
        <v>0</v>
      </c>
      <c r="O498" s="274"/>
      <c r="P498" s="274">
        <v>5000</v>
      </c>
      <c r="Q498" s="274"/>
      <c r="R498" s="274">
        <v>-5000</v>
      </c>
      <c r="S498" s="274">
        <f t="shared" si="870"/>
        <v>0</v>
      </c>
      <c r="T498" s="274"/>
      <c r="U498" s="274">
        <v>5000</v>
      </c>
      <c r="V498" s="274"/>
      <c r="W498" s="274">
        <v>-5000</v>
      </c>
      <c r="X498" s="274">
        <f t="shared" si="871"/>
        <v>0</v>
      </c>
      <c r="Y498" s="274">
        <f t="shared" si="872"/>
        <v>0</v>
      </c>
      <c r="Z498" s="274">
        <f t="shared" si="873"/>
        <v>0</v>
      </c>
      <c r="AA498" s="274"/>
      <c r="AB498" s="306">
        <f t="shared" si="874"/>
        <v>0</v>
      </c>
    </row>
    <row r="499" spans="1:28" s="90" customFormat="1" ht="14.1" customHeight="1" x14ac:dyDescent="0.2">
      <c r="A499" s="301"/>
      <c r="B499" s="349" t="s">
        <v>300</v>
      </c>
      <c r="C499" s="101"/>
      <c r="D499" s="101"/>
      <c r="E499" s="101"/>
      <c r="F499" s="370" t="s">
        <v>301</v>
      </c>
      <c r="G499" s="149">
        <v>584000</v>
      </c>
      <c r="H499" s="149"/>
      <c r="I499" s="329">
        <f t="shared" si="867"/>
        <v>584000</v>
      </c>
      <c r="J499" s="329">
        <f t="shared" si="868"/>
        <v>584000</v>
      </c>
      <c r="K499" s="274"/>
      <c r="L499" s="274"/>
      <c r="M499" s="274"/>
      <c r="N499" s="275">
        <f t="shared" si="869"/>
        <v>584000</v>
      </c>
      <c r="O499" s="274"/>
      <c r="P499" s="274">
        <v>628683</v>
      </c>
      <c r="Q499" s="274"/>
      <c r="R499" s="274">
        <v>-44683</v>
      </c>
      <c r="S499" s="274">
        <f t="shared" si="870"/>
        <v>584000</v>
      </c>
      <c r="T499" s="274"/>
      <c r="U499" s="274">
        <v>628683</v>
      </c>
      <c r="V499" s="274"/>
      <c r="W499" s="274">
        <v>-44683</v>
      </c>
      <c r="X499" s="274">
        <f t="shared" si="871"/>
        <v>584000</v>
      </c>
      <c r="Y499" s="274">
        <f t="shared" si="872"/>
        <v>0</v>
      </c>
      <c r="Z499" s="274">
        <f t="shared" si="873"/>
        <v>0</v>
      </c>
      <c r="AA499" s="274"/>
      <c r="AB499" s="306">
        <f t="shared" si="874"/>
        <v>0</v>
      </c>
    </row>
    <row r="500" spans="1:28" s="90" customFormat="1" ht="14.1" customHeight="1" x14ac:dyDescent="0.2">
      <c r="A500" s="301"/>
      <c r="B500" s="349" t="s">
        <v>302</v>
      </c>
      <c r="C500" s="101"/>
      <c r="D500" s="101"/>
      <c r="E500" s="101"/>
      <c r="F500" s="370" t="s">
        <v>303</v>
      </c>
      <c r="G500" s="149">
        <v>85000</v>
      </c>
      <c r="H500" s="149"/>
      <c r="I500" s="329">
        <f t="shared" si="867"/>
        <v>85000</v>
      </c>
      <c r="J500" s="329">
        <f t="shared" si="868"/>
        <v>85000</v>
      </c>
      <c r="K500" s="274"/>
      <c r="L500" s="274"/>
      <c r="M500" s="274"/>
      <c r="N500" s="275">
        <f t="shared" si="869"/>
        <v>85000</v>
      </c>
      <c r="O500" s="274"/>
      <c r="P500" s="274"/>
      <c r="Q500" s="274"/>
      <c r="R500" s="274">
        <f>95000-10000</f>
        <v>85000</v>
      </c>
      <c r="S500" s="274">
        <f t="shared" si="870"/>
        <v>85000</v>
      </c>
      <c r="T500" s="274"/>
      <c r="U500" s="274"/>
      <c r="V500" s="274"/>
      <c r="W500" s="274">
        <f>95000-10000</f>
        <v>85000</v>
      </c>
      <c r="X500" s="274">
        <f t="shared" si="871"/>
        <v>85000</v>
      </c>
      <c r="Y500" s="274">
        <f t="shared" si="872"/>
        <v>0</v>
      </c>
      <c r="Z500" s="274">
        <f t="shared" si="873"/>
        <v>0</v>
      </c>
      <c r="AA500" s="274"/>
      <c r="AB500" s="306">
        <f t="shared" si="874"/>
        <v>0</v>
      </c>
    </row>
    <row r="501" spans="1:28" s="90" customFormat="1" ht="14.1" customHeight="1" x14ac:dyDescent="0.2">
      <c r="A501" s="301"/>
      <c r="B501" s="349" t="s">
        <v>304</v>
      </c>
      <c r="C501" s="101"/>
      <c r="D501" s="101"/>
      <c r="E501" s="101"/>
      <c r="F501" s="370" t="s">
        <v>305</v>
      </c>
      <c r="G501" s="149"/>
      <c r="H501" s="149"/>
      <c r="I501" s="329">
        <f t="shared" si="867"/>
        <v>0</v>
      </c>
      <c r="J501" s="329">
        <f t="shared" si="868"/>
        <v>0</v>
      </c>
      <c r="K501" s="274"/>
      <c r="L501" s="274"/>
      <c r="M501" s="274"/>
      <c r="N501" s="275">
        <f t="shared" si="869"/>
        <v>0</v>
      </c>
      <c r="O501" s="274"/>
      <c r="P501" s="274"/>
      <c r="Q501" s="274"/>
      <c r="R501" s="274"/>
      <c r="S501" s="274">
        <f t="shared" si="870"/>
        <v>0</v>
      </c>
      <c r="T501" s="274"/>
      <c r="U501" s="274"/>
      <c r="V501" s="274"/>
      <c r="W501" s="274"/>
      <c r="X501" s="274">
        <f t="shared" si="871"/>
        <v>0</v>
      </c>
      <c r="Y501" s="274">
        <f t="shared" si="872"/>
        <v>0</v>
      </c>
      <c r="Z501" s="274">
        <f t="shared" si="873"/>
        <v>0</v>
      </c>
      <c r="AA501" s="274"/>
      <c r="AB501" s="306">
        <f t="shared" si="874"/>
        <v>0</v>
      </c>
    </row>
    <row r="502" spans="1:28" s="90" customFormat="1" ht="14.1" customHeight="1" x14ac:dyDescent="0.2">
      <c r="A502" s="301"/>
      <c r="B502" s="349" t="s">
        <v>735</v>
      </c>
      <c r="C502" s="744"/>
      <c r="D502" s="744"/>
      <c r="E502" s="744"/>
      <c r="F502" s="370" t="s">
        <v>486</v>
      </c>
      <c r="G502" s="149">
        <v>85000</v>
      </c>
      <c r="H502" s="149"/>
      <c r="I502" s="329">
        <f t="shared" ref="I502" si="878">G502+H502</f>
        <v>85000</v>
      </c>
      <c r="J502" s="329">
        <f t="shared" ref="J502" si="879">I502</f>
        <v>85000</v>
      </c>
      <c r="K502" s="274"/>
      <c r="L502" s="274"/>
      <c r="M502" s="274"/>
      <c r="N502" s="275">
        <f t="shared" si="869"/>
        <v>85000</v>
      </c>
      <c r="O502" s="274"/>
      <c r="P502" s="274"/>
      <c r="Q502" s="274"/>
      <c r="R502" s="274">
        <f>95000-10000</f>
        <v>85000</v>
      </c>
      <c r="S502" s="274">
        <f t="shared" ref="S502" si="880">SUM(O502:R502)</f>
        <v>85000</v>
      </c>
      <c r="T502" s="274"/>
      <c r="U502" s="274"/>
      <c r="V502" s="274"/>
      <c r="W502" s="274">
        <f>95000-10000</f>
        <v>85000</v>
      </c>
      <c r="X502" s="274">
        <f t="shared" ref="X502" si="881">SUM(T502:W502)</f>
        <v>85000</v>
      </c>
      <c r="Y502" s="274">
        <f t="shared" ref="Y502" si="882">I502-N502</f>
        <v>0</v>
      </c>
      <c r="Z502" s="274">
        <f t="shared" ref="Z502" si="883">N502-S502</f>
        <v>0</v>
      </c>
      <c r="AA502" s="274"/>
      <c r="AB502" s="306">
        <f t="shared" ref="AB502" si="884">+S502-X502-AA502</f>
        <v>0</v>
      </c>
    </row>
    <row r="503" spans="1:28" s="90" customFormat="1" ht="14.1" customHeight="1" x14ac:dyDescent="0.2">
      <c r="A503" s="301"/>
      <c r="B503" s="348" t="s">
        <v>306</v>
      </c>
      <c r="C503" s="101"/>
      <c r="D503" s="101"/>
      <c r="E503" s="101"/>
      <c r="F503" s="370"/>
      <c r="G503" s="149"/>
      <c r="H503" s="149"/>
      <c r="I503" s="149"/>
      <c r="J503" s="14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  <c r="Y503" s="159"/>
      <c r="Z503" s="159"/>
      <c r="AA503" s="159"/>
      <c r="AB503" s="583"/>
    </row>
    <row r="504" spans="1:28" s="90" customFormat="1" ht="14.1" customHeight="1" x14ac:dyDescent="0.2">
      <c r="A504" s="301"/>
      <c r="B504" s="349" t="s">
        <v>307</v>
      </c>
      <c r="C504" s="101"/>
      <c r="D504" s="101"/>
      <c r="E504" s="101"/>
      <c r="F504" s="370" t="s">
        <v>308</v>
      </c>
      <c r="G504" s="149">
        <v>20000</v>
      </c>
      <c r="H504" s="149"/>
      <c r="I504" s="329">
        <f t="shared" ref="I504:I506" si="885">G504+H504</f>
        <v>20000</v>
      </c>
      <c r="J504" s="329">
        <f t="shared" ref="J504:J506" si="886">I504</f>
        <v>20000</v>
      </c>
      <c r="K504" s="274"/>
      <c r="L504" s="274"/>
      <c r="M504" s="274"/>
      <c r="N504" s="275">
        <f t="shared" ref="N504:N506" si="887">J504+K504-L504+M504</f>
        <v>20000</v>
      </c>
      <c r="O504" s="274">
        <v>7600</v>
      </c>
      <c r="P504" s="274">
        <f>1900+1900+1900</f>
        <v>5700</v>
      </c>
      <c r="Q504" s="274">
        <f>1900+1900+1900</f>
        <v>5700</v>
      </c>
      <c r="R504" s="274">
        <f>3800-2800</f>
        <v>1000</v>
      </c>
      <c r="S504" s="274">
        <f t="shared" ref="S504:S506" si="888">SUM(O504:R504)</f>
        <v>20000</v>
      </c>
      <c r="T504" s="274">
        <v>5700</v>
      </c>
      <c r="U504" s="274">
        <f>1900+1900+1900</f>
        <v>5700</v>
      </c>
      <c r="V504" s="274">
        <f>1900+1900+1900</f>
        <v>5700</v>
      </c>
      <c r="W504" s="274">
        <f>3800+1900-2800</f>
        <v>2900</v>
      </c>
      <c r="X504" s="274">
        <f t="shared" ref="X504:X506" si="889">SUM(T504:W504)</f>
        <v>20000</v>
      </c>
      <c r="Y504" s="274">
        <f t="shared" ref="Y504:Y506" si="890">I504-N504</f>
        <v>0</v>
      </c>
      <c r="Z504" s="274">
        <f t="shared" ref="Z504:Z506" si="891">N504-S504</f>
        <v>0</v>
      </c>
      <c r="AA504" s="274"/>
      <c r="AB504" s="306">
        <f t="shared" ref="AB504:AB506" si="892">+S504-X504-AA504</f>
        <v>0</v>
      </c>
    </row>
    <row r="505" spans="1:28" s="90" customFormat="1" ht="14.1" customHeight="1" x14ac:dyDescent="0.2">
      <c r="A505" s="301"/>
      <c r="B505" s="349" t="s">
        <v>309</v>
      </c>
      <c r="C505" s="101"/>
      <c r="D505" s="101"/>
      <c r="E505" s="101"/>
      <c r="F505" s="370" t="s">
        <v>310</v>
      </c>
      <c r="G505" s="149">
        <v>62000</v>
      </c>
      <c r="H505" s="149"/>
      <c r="I505" s="329">
        <f t="shared" si="885"/>
        <v>62000</v>
      </c>
      <c r="J505" s="329">
        <f t="shared" si="886"/>
        <v>62000</v>
      </c>
      <c r="K505" s="274"/>
      <c r="L505" s="274"/>
      <c r="M505" s="274"/>
      <c r="N505" s="275">
        <f t="shared" si="887"/>
        <v>62000</v>
      </c>
      <c r="O505" s="274">
        <v>27000</v>
      </c>
      <c r="P505" s="274">
        <f>6850+6850+6850</f>
        <v>20550</v>
      </c>
      <c r="Q505" s="274">
        <f>6850+6850+6850</f>
        <v>20550</v>
      </c>
      <c r="R505" s="274">
        <f>13700-19800</f>
        <v>-6100</v>
      </c>
      <c r="S505" s="274">
        <f t="shared" si="888"/>
        <v>62000</v>
      </c>
      <c r="T505" s="274">
        <v>20150</v>
      </c>
      <c r="U505" s="274">
        <f>6850+6850+6850</f>
        <v>20550</v>
      </c>
      <c r="V505" s="274">
        <f>6850+6850+6850</f>
        <v>20550</v>
      </c>
      <c r="W505" s="274">
        <f>13700+6850-19800</f>
        <v>750</v>
      </c>
      <c r="X505" s="274">
        <f t="shared" si="889"/>
        <v>62000</v>
      </c>
      <c r="Y505" s="274">
        <f t="shared" si="890"/>
        <v>0</v>
      </c>
      <c r="Z505" s="274">
        <f t="shared" si="891"/>
        <v>0</v>
      </c>
      <c r="AA505" s="274"/>
      <c r="AB505" s="306">
        <f t="shared" si="892"/>
        <v>0</v>
      </c>
    </row>
    <row r="506" spans="1:28" s="90" customFormat="1" ht="14.1" customHeight="1" x14ac:dyDescent="0.2">
      <c r="A506" s="301"/>
      <c r="B506" s="349" t="s">
        <v>311</v>
      </c>
      <c r="C506" s="101"/>
      <c r="D506" s="101"/>
      <c r="E506" s="101"/>
      <c r="F506" s="370" t="s">
        <v>312</v>
      </c>
      <c r="G506" s="149">
        <v>20000</v>
      </c>
      <c r="H506" s="149"/>
      <c r="I506" s="329">
        <f t="shared" si="885"/>
        <v>20000</v>
      </c>
      <c r="J506" s="329">
        <f t="shared" si="886"/>
        <v>20000</v>
      </c>
      <c r="K506" s="274"/>
      <c r="L506" s="274"/>
      <c r="M506" s="274"/>
      <c r="N506" s="275">
        <f t="shared" si="887"/>
        <v>20000</v>
      </c>
      <c r="O506" s="274">
        <v>7600</v>
      </c>
      <c r="P506" s="274">
        <f>1900+1900+1900</f>
        <v>5700</v>
      </c>
      <c r="Q506" s="274">
        <f>1900+1900+1900</f>
        <v>5700</v>
      </c>
      <c r="R506" s="274">
        <f>3800-2800</f>
        <v>1000</v>
      </c>
      <c r="S506" s="274">
        <f t="shared" si="888"/>
        <v>20000</v>
      </c>
      <c r="T506" s="274">
        <v>5700</v>
      </c>
      <c r="U506" s="274">
        <f>1900+1900+1900</f>
        <v>5700</v>
      </c>
      <c r="V506" s="274">
        <f>1900+1900+1900+1900</f>
        <v>7600</v>
      </c>
      <c r="W506" s="274">
        <f>3800-2800</f>
        <v>1000</v>
      </c>
      <c r="X506" s="274">
        <f t="shared" si="889"/>
        <v>20000</v>
      </c>
      <c r="Y506" s="274">
        <f t="shared" si="890"/>
        <v>0</v>
      </c>
      <c r="Z506" s="274">
        <f t="shared" si="891"/>
        <v>0</v>
      </c>
      <c r="AA506" s="274"/>
      <c r="AB506" s="306">
        <f t="shared" si="892"/>
        <v>0</v>
      </c>
    </row>
    <row r="507" spans="1:28" s="90" customFormat="1" ht="14.1" customHeight="1" x14ac:dyDescent="0.2">
      <c r="A507" s="301"/>
      <c r="B507" s="348" t="s">
        <v>313</v>
      </c>
      <c r="C507" s="101"/>
      <c r="D507" s="101"/>
      <c r="E507" s="101"/>
      <c r="F507" s="370"/>
      <c r="G507" s="149"/>
      <c r="H507" s="149"/>
      <c r="I507" s="149"/>
      <c r="J507" s="14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  <c r="Y507" s="159"/>
      <c r="Z507" s="159"/>
      <c r="AA507" s="159"/>
      <c r="AB507" s="583"/>
    </row>
    <row r="508" spans="1:28" s="90" customFormat="1" ht="14.1" customHeight="1" x14ac:dyDescent="0.2">
      <c r="A508" s="301"/>
      <c r="B508" s="349" t="s">
        <v>314</v>
      </c>
      <c r="C508" s="101"/>
      <c r="D508" s="101"/>
      <c r="E508" s="101"/>
      <c r="F508" s="370" t="s">
        <v>315</v>
      </c>
      <c r="G508" s="149">
        <v>18000</v>
      </c>
      <c r="H508" s="149"/>
      <c r="I508" s="329">
        <f t="shared" ref="I508:I509" si="893">G508+H508</f>
        <v>18000</v>
      </c>
      <c r="J508" s="329">
        <f t="shared" ref="J508:J509" si="894">I508</f>
        <v>18000</v>
      </c>
      <c r="K508" s="274"/>
      <c r="L508" s="274"/>
      <c r="M508" s="274"/>
      <c r="N508" s="275">
        <f t="shared" ref="N508:N509" si="895">J508+K508-L508+M508</f>
        <v>18000</v>
      </c>
      <c r="O508" s="274"/>
      <c r="P508" s="274"/>
      <c r="Q508" s="274"/>
      <c r="R508" s="274"/>
      <c r="S508" s="274">
        <f t="shared" ref="S508:S509" si="896">SUM(O508:R508)</f>
        <v>0</v>
      </c>
      <c r="T508" s="274"/>
      <c r="U508" s="274"/>
      <c r="V508" s="274"/>
      <c r="W508" s="274"/>
      <c r="X508" s="274">
        <f t="shared" ref="X508:X509" si="897">SUM(T508:W508)</f>
        <v>0</v>
      </c>
      <c r="Y508" s="274">
        <f t="shared" ref="Y508:Y509" si="898">I508-N508</f>
        <v>0</v>
      </c>
      <c r="Z508" s="274">
        <f t="shared" ref="Z508:Z509" si="899">N508-S508</f>
        <v>18000</v>
      </c>
      <c r="AA508" s="274"/>
      <c r="AB508" s="306">
        <f t="shared" ref="AB508:AB509" si="900">+S508-X508-AA508</f>
        <v>0</v>
      </c>
    </row>
    <row r="509" spans="1:28" s="90" customFormat="1" ht="14.1" customHeight="1" x14ac:dyDescent="0.2">
      <c r="A509" s="301"/>
      <c r="B509" s="349" t="s">
        <v>716</v>
      </c>
      <c r="C509" s="615"/>
      <c r="D509" s="615"/>
      <c r="E509" s="615"/>
      <c r="F509" s="370" t="s">
        <v>488</v>
      </c>
      <c r="G509" s="149"/>
      <c r="H509" s="149"/>
      <c r="I509" s="329">
        <f t="shared" si="893"/>
        <v>0</v>
      </c>
      <c r="J509" s="329">
        <f t="shared" si="894"/>
        <v>0</v>
      </c>
      <c r="K509" s="274"/>
      <c r="L509" s="274"/>
      <c r="M509" s="274"/>
      <c r="N509" s="275">
        <f t="shared" si="895"/>
        <v>0</v>
      </c>
      <c r="O509" s="274"/>
      <c r="P509" s="274"/>
      <c r="Q509" s="274"/>
      <c r="R509" s="274"/>
      <c r="S509" s="274">
        <f t="shared" si="896"/>
        <v>0</v>
      </c>
      <c r="T509" s="274"/>
      <c r="U509" s="274"/>
      <c r="V509" s="274"/>
      <c r="W509" s="274"/>
      <c r="X509" s="274">
        <f t="shared" si="897"/>
        <v>0</v>
      </c>
      <c r="Y509" s="274">
        <f t="shared" si="898"/>
        <v>0</v>
      </c>
      <c r="Z509" s="274">
        <f t="shared" si="899"/>
        <v>0</v>
      </c>
      <c r="AA509" s="274"/>
      <c r="AB509" s="306">
        <f t="shared" si="900"/>
        <v>0</v>
      </c>
    </row>
    <row r="510" spans="1:28" s="90" customFormat="1" ht="14.1" customHeight="1" x14ac:dyDescent="0.2">
      <c r="A510" s="301"/>
      <c r="B510" s="101"/>
      <c r="C510" s="101"/>
      <c r="D510" s="101"/>
      <c r="E510" s="101"/>
      <c r="F510" s="370"/>
      <c r="G510" s="321"/>
      <c r="H510" s="321"/>
      <c r="I510" s="321"/>
      <c r="J510" s="321"/>
      <c r="K510" s="332"/>
      <c r="L510" s="332"/>
      <c r="M510" s="332"/>
      <c r="N510" s="332"/>
      <c r="O510" s="332"/>
      <c r="P510" s="332"/>
      <c r="Q510" s="332"/>
      <c r="R510" s="332"/>
      <c r="S510" s="332"/>
      <c r="T510" s="332"/>
      <c r="U510" s="332"/>
      <c r="V510" s="332"/>
      <c r="W510" s="332"/>
      <c r="X510" s="332"/>
      <c r="Y510" s="332"/>
      <c r="Z510" s="332"/>
      <c r="AA510" s="332"/>
      <c r="AB510" s="302"/>
    </row>
    <row r="511" spans="1:28" s="90" customFormat="1" ht="14.1" customHeight="1" x14ac:dyDescent="0.2">
      <c r="A511" s="301"/>
      <c r="B511" s="347" t="s">
        <v>316</v>
      </c>
      <c r="C511" s="101"/>
      <c r="D511" s="101"/>
      <c r="E511" s="101"/>
      <c r="F511" s="370"/>
      <c r="G511" s="321">
        <f t="shared" ref="G511" si="901">SUM(G513:G584)</f>
        <v>5020000</v>
      </c>
      <c r="H511" s="321">
        <f t="shared" ref="H511:AB511" si="902">SUM(H513:H584)</f>
        <v>0</v>
      </c>
      <c r="I511" s="321">
        <f t="shared" si="902"/>
        <v>5020000</v>
      </c>
      <c r="J511" s="321">
        <f t="shared" si="902"/>
        <v>5020000</v>
      </c>
      <c r="K511" s="321">
        <f t="shared" si="902"/>
        <v>0</v>
      </c>
      <c r="L511" s="321">
        <f t="shared" si="902"/>
        <v>0</v>
      </c>
      <c r="M511" s="321">
        <f t="shared" si="902"/>
        <v>0</v>
      </c>
      <c r="N511" s="321">
        <f t="shared" si="902"/>
        <v>5020000</v>
      </c>
      <c r="O511" s="321">
        <f t="shared" si="902"/>
        <v>276809.38</v>
      </c>
      <c r="P511" s="321">
        <f t="shared" si="902"/>
        <v>510634.38</v>
      </c>
      <c r="Q511" s="321">
        <f t="shared" si="902"/>
        <v>677791.64999999991</v>
      </c>
      <c r="R511" s="321">
        <f t="shared" si="902"/>
        <v>2577982.2999999998</v>
      </c>
      <c r="S511" s="321">
        <f t="shared" si="902"/>
        <v>4043217.71</v>
      </c>
      <c r="T511" s="321">
        <f t="shared" si="902"/>
        <v>264102.38</v>
      </c>
      <c r="U511" s="321">
        <f t="shared" si="902"/>
        <v>523341.38000000006</v>
      </c>
      <c r="V511" s="321">
        <f t="shared" si="902"/>
        <v>631616.64999999991</v>
      </c>
      <c r="W511" s="321">
        <f t="shared" si="902"/>
        <v>1819695.4400000002</v>
      </c>
      <c r="X511" s="321">
        <f t="shared" si="902"/>
        <v>3238755.8499999996</v>
      </c>
      <c r="Y511" s="321">
        <f t="shared" si="902"/>
        <v>0</v>
      </c>
      <c r="Z511" s="321">
        <f t="shared" si="902"/>
        <v>976782.29000000015</v>
      </c>
      <c r="AA511" s="332">
        <f t="shared" ref="AA511" si="903">SUM(AA513:AA584)</f>
        <v>5</v>
      </c>
      <c r="AB511" s="302">
        <f t="shared" si="902"/>
        <v>804456.85999999987</v>
      </c>
    </row>
    <row r="512" spans="1:28" s="90" customFormat="1" ht="14.1" customHeight="1" x14ac:dyDescent="0.2">
      <c r="A512" s="301"/>
      <c r="B512" s="348" t="s">
        <v>317</v>
      </c>
      <c r="C512" s="101"/>
      <c r="D512" s="101"/>
      <c r="E512" s="101"/>
      <c r="F512" s="370"/>
      <c r="G512" s="321"/>
      <c r="H512" s="321"/>
      <c r="I512" s="321"/>
      <c r="J512" s="321"/>
      <c r="K512" s="332"/>
      <c r="L512" s="332"/>
      <c r="M512" s="332"/>
      <c r="N512" s="332"/>
      <c r="O512" s="332"/>
      <c r="P512" s="332"/>
      <c r="Q512" s="332"/>
      <c r="R512" s="332"/>
      <c r="S512" s="332"/>
      <c r="T512" s="332"/>
      <c r="U512" s="332"/>
      <c r="V512" s="332"/>
      <c r="W512" s="332"/>
      <c r="X512" s="332"/>
      <c r="Y512" s="332"/>
      <c r="Z512" s="332"/>
      <c r="AA512" s="332"/>
      <c r="AB512" s="302"/>
    </row>
    <row r="513" spans="1:28" s="90" customFormat="1" ht="14.1" customHeight="1" x14ac:dyDescent="0.2">
      <c r="A513" s="301"/>
      <c r="B513" s="350" t="s">
        <v>318</v>
      </c>
      <c r="C513" s="101"/>
      <c r="D513" s="101"/>
      <c r="E513" s="101"/>
      <c r="F513" s="370" t="s">
        <v>319</v>
      </c>
      <c r="G513" s="149">
        <v>1446000</v>
      </c>
      <c r="H513" s="149"/>
      <c r="I513" s="329">
        <f t="shared" ref="I513:I514" si="904">G513+H513</f>
        <v>1446000</v>
      </c>
      <c r="J513" s="329">
        <f t="shared" ref="J513:J514" si="905">I513</f>
        <v>1446000</v>
      </c>
      <c r="K513" s="274"/>
      <c r="L513" s="274"/>
      <c r="M513" s="274"/>
      <c r="N513" s="275">
        <f t="shared" ref="N513:N514" si="906">J513+K513-L513+M513</f>
        <v>1446000</v>
      </c>
      <c r="O513" s="274">
        <v>80891.5</v>
      </c>
      <c r="P513" s="274">
        <f>82329+990+3585+28871+11158.5+7248+1000+8355+2015+13320+27563.84+17640</f>
        <v>204075.34</v>
      </c>
      <c r="Q513" s="274">
        <f>165650+4400+19436+24370+3275+3275+26094+1668+2645</f>
        <v>250813</v>
      </c>
      <c r="R513" s="274">
        <f>174290.5+3229+2965+5590+2884.62+3035+4320+4320+8735+2400+5040+5040+5200+2240+2240+3520+3520+3520+3520+2800+2800+2800+2039+2653+2510+300000-2884.62+351893.66</f>
        <v>910220.15999999992</v>
      </c>
      <c r="S513" s="274">
        <f t="shared" ref="S513:S514" si="907">SUM(O513:R513)</f>
        <v>1446000</v>
      </c>
      <c r="T513" s="274">
        <v>80891.5</v>
      </c>
      <c r="U513" s="274">
        <f>82329+990+3585+28871+11158.5+7248+1000+8355+2015+17640+13320+27563.84</f>
        <v>204075.34</v>
      </c>
      <c r="V513" s="274">
        <f>26094+5465+5528.5+6299+5900+2595+3340+12281.46+12714.16+8807.76+2750+5600+800+800+27343.62+12730+16710+7065+714+24887+3319.5+4400+19436+24370+3275+3275+1668+2645</f>
        <v>250813</v>
      </c>
      <c r="W513" s="274">
        <f>174290.5+3229+2965+5590+3035+4320+4320+8735+2400+5040+5040+5200+2240+2240+3520+3520+3520+3520+2800+2800+2800+2039+2653+2510+300000</f>
        <v>558326.5</v>
      </c>
      <c r="X513" s="274">
        <f t="shared" ref="X513:X514" si="908">SUM(T513:W513)</f>
        <v>1094106.3399999999</v>
      </c>
      <c r="Y513" s="274">
        <f t="shared" ref="Y513:Y514" si="909">I513-N513</f>
        <v>0</v>
      </c>
      <c r="Z513" s="274">
        <f t="shared" ref="Z513:Z514" si="910">N513-S513</f>
        <v>0</v>
      </c>
      <c r="AA513" s="274"/>
      <c r="AB513" s="306">
        <f t="shared" ref="AB513:AB514" si="911">+S513-X513-AA513</f>
        <v>351893.66000000015</v>
      </c>
    </row>
    <row r="514" spans="1:28" s="90" customFormat="1" ht="14.1" hidden="1" customHeight="1" x14ac:dyDescent="0.2">
      <c r="A514" s="301"/>
      <c r="B514" s="350" t="s">
        <v>320</v>
      </c>
      <c r="C514" s="101"/>
      <c r="D514" s="101"/>
      <c r="E514" s="101"/>
      <c r="F514" s="370" t="s">
        <v>321</v>
      </c>
      <c r="G514" s="149"/>
      <c r="H514" s="149"/>
      <c r="I514" s="329">
        <f t="shared" si="904"/>
        <v>0</v>
      </c>
      <c r="J514" s="329">
        <f t="shared" si="905"/>
        <v>0</v>
      </c>
      <c r="K514" s="274"/>
      <c r="L514" s="274"/>
      <c r="M514" s="274"/>
      <c r="N514" s="275">
        <f t="shared" si="906"/>
        <v>0</v>
      </c>
      <c r="O514" s="274"/>
      <c r="P514" s="274"/>
      <c r="Q514" s="274"/>
      <c r="R514" s="274"/>
      <c r="S514" s="274">
        <f t="shared" si="907"/>
        <v>0</v>
      </c>
      <c r="T514" s="274"/>
      <c r="U514" s="274"/>
      <c r="V514" s="274"/>
      <c r="W514" s="274"/>
      <c r="X514" s="274">
        <f t="shared" si="908"/>
        <v>0</v>
      </c>
      <c r="Y514" s="274">
        <f t="shared" si="909"/>
        <v>0</v>
      </c>
      <c r="Z514" s="274">
        <f t="shared" si="910"/>
        <v>0</v>
      </c>
      <c r="AA514" s="274"/>
      <c r="AB514" s="306">
        <f t="shared" si="911"/>
        <v>0</v>
      </c>
    </row>
    <row r="515" spans="1:28" s="90" customFormat="1" ht="14.1" customHeight="1" x14ac:dyDescent="0.2">
      <c r="A515" s="301"/>
      <c r="B515" s="351" t="s">
        <v>322</v>
      </c>
      <c r="C515" s="101"/>
      <c r="D515" s="101"/>
      <c r="E515" s="101"/>
      <c r="F515" s="370"/>
      <c r="G515" s="149"/>
      <c r="H515" s="149"/>
      <c r="I515" s="149"/>
      <c r="J515" s="149"/>
      <c r="K515" s="159"/>
      <c r="L515" s="159"/>
      <c r="M515" s="159"/>
      <c r="N515" s="159"/>
      <c r="O515" s="159"/>
      <c r="P515" s="159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  <c r="AA515" s="159"/>
      <c r="AB515" s="583"/>
    </row>
    <row r="516" spans="1:28" s="90" customFormat="1" ht="14.1" customHeight="1" x14ac:dyDescent="0.2">
      <c r="A516" s="301"/>
      <c r="B516" s="350" t="s">
        <v>323</v>
      </c>
      <c r="C516" s="101"/>
      <c r="D516" s="101"/>
      <c r="E516" s="101"/>
      <c r="F516" s="370" t="s">
        <v>324</v>
      </c>
      <c r="G516" s="149"/>
      <c r="H516" s="149"/>
      <c r="I516" s="329">
        <f t="shared" ref="I516:I518" si="912">G516+H516</f>
        <v>0</v>
      </c>
      <c r="J516" s="329">
        <f t="shared" ref="J516:J518" si="913">I516</f>
        <v>0</v>
      </c>
      <c r="K516" s="274"/>
      <c r="L516" s="274"/>
      <c r="M516" s="274"/>
      <c r="N516" s="275">
        <f t="shared" ref="N516:N518" si="914">J516+K516-L516+M516</f>
        <v>0</v>
      </c>
      <c r="O516" s="274"/>
      <c r="P516" s="274"/>
      <c r="Q516" s="274"/>
      <c r="R516" s="274"/>
      <c r="S516" s="274">
        <f t="shared" ref="S516:S518" si="915">SUM(O516:R516)</f>
        <v>0</v>
      </c>
      <c r="T516" s="274"/>
      <c r="U516" s="274"/>
      <c r="V516" s="274"/>
      <c r="W516" s="274"/>
      <c r="X516" s="274">
        <f t="shared" ref="X516:X518" si="916">SUM(T516:W516)</f>
        <v>0</v>
      </c>
      <c r="Y516" s="274">
        <f t="shared" ref="Y516:Y518" si="917">I516-N516</f>
        <v>0</v>
      </c>
      <c r="Z516" s="274">
        <f t="shared" ref="Z516:Z518" si="918">N516-S516</f>
        <v>0</v>
      </c>
      <c r="AA516" s="274"/>
      <c r="AB516" s="306">
        <f t="shared" ref="AB516:AB518" si="919">+S516-X516-AA516</f>
        <v>0</v>
      </c>
    </row>
    <row r="517" spans="1:28" s="90" customFormat="1" ht="14.1" customHeight="1" x14ac:dyDescent="0.2">
      <c r="A517" s="301"/>
      <c r="B517" s="350" t="s">
        <v>720</v>
      </c>
      <c r="C517" s="718"/>
      <c r="D517" s="718"/>
      <c r="E517" s="718"/>
      <c r="F517" s="370" t="s">
        <v>721</v>
      </c>
      <c r="G517" s="149"/>
      <c r="H517" s="149"/>
      <c r="I517" s="329">
        <f t="shared" ref="I517" si="920">G517+H517</f>
        <v>0</v>
      </c>
      <c r="J517" s="329">
        <f t="shared" ref="J517" si="921">I517</f>
        <v>0</v>
      </c>
      <c r="K517" s="274"/>
      <c r="L517" s="274"/>
      <c r="M517" s="274"/>
      <c r="N517" s="275">
        <f t="shared" si="914"/>
        <v>0</v>
      </c>
      <c r="O517" s="274"/>
      <c r="P517" s="274"/>
      <c r="Q517" s="274"/>
      <c r="R517" s="274"/>
      <c r="S517" s="274">
        <f t="shared" ref="S517" si="922">SUM(O517:R517)</f>
        <v>0</v>
      </c>
      <c r="T517" s="274"/>
      <c r="U517" s="274"/>
      <c r="V517" s="274"/>
      <c r="W517" s="274"/>
      <c r="X517" s="274">
        <f t="shared" ref="X517" si="923">SUM(T517:W517)</f>
        <v>0</v>
      </c>
      <c r="Y517" s="274">
        <f t="shared" ref="Y517" si="924">I517-N517</f>
        <v>0</v>
      </c>
      <c r="Z517" s="274">
        <f t="shared" ref="Z517" si="925">N517-S517</f>
        <v>0</v>
      </c>
      <c r="AA517" s="274"/>
      <c r="AB517" s="306">
        <f t="shared" ref="AB517" si="926">+S517-X517-AA517</f>
        <v>0</v>
      </c>
    </row>
    <row r="518" spans="1:28" s="90" customFormat="1" ht="14.1" customHeight="1" x14ac:dyDescent="0.2">
      <c r="A518" s="301"/>
      <c r="B518" s="350" t="s">
        <v>325</v>
      </c>
      <c r="C518" s="101"/>
      <c r="D518" s="101"/>
      <c r="E518" s="101"/>
      <c r="F518" s="370" t="s">
        <v>326</v>
      </c>
      <c r="G518" s="149"/>
      <c r="H518" s="149"/>
      <c r="I518" s="329">
        <f t="shared" si="912"/>
        <v>0</v>
      </c>
      <c r="J518" s="329">
        <f t="shared" si="913"/>
        <v>0</v>
      </c>
      <c r="K518" s="274"/>
      <c r="L518" s="274"/>
      <c r="M518" s="274"/>
      <c r="N518" s="275">
        <f t="shared" si="914"/>
        <v>0</v>
      </c>
      <c r="O518" s="274"/>
      <c r="P518" s="274"/>
      <c r="Q518" s="274"/>
      <c r="R518" s="274"/>
      <c r="S518" s="274">
        <f t="shared" si="915"/>
        <v>0</v>
      </c>
      <c r="T518" s="274"/>
      <c r="U518" s="274"/>
      <c r="V518" s="274"/>
      <c r="W518" s="274"/>
      <c r="X518" s="274">
        <f t="shared" si="916"/>
        <v>0</v>
      </c>
      <c r="Y518" s="274">
        <f t="shared" si="917"/>
        <v>0</v>
      </c>
      <c r="Z518" s="274">
        <f t="shared" si="918"/>
        <v>0</v>
      </c>
      <c r="AA518" s="274"/>
      <c r="AB518" s="306">
        <f t="shared" si="919"/>
        <v>0</v>
      </c>
    </row>
    <row r="519" spans="1:28" s="90" customFormat="1" ht="14.1" customHeight="1" x14ac:dyDescent="0.2">
      <c r="A519" s="301"/>
      <c r="B519" s="351" t="s">
        <v>327</v>
      </c>
      <c r="C519" s="101"/>
      <c r="D519" s="101"/>
      <c r="E519" s="101"/>
      <c r="F519" s="370"/>
      <c r="G519" s="149"/>
      <c r="H519" s="149"/>
      <c r="I519" s="149"/>
      <c r="J519" s="14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  <c r="AA519" s="159"/>
      <c r="AB519" s="583"/>
    </row>
    <row r="520" spans="1:28" s="90" customFormat="1" ht="14.1" customHeight="1" x14ac:dyDescent="0.2">
      <c r="A520" s="301"/>
      <c r="B520" s="350" t="s">
        <v>328</v>
      </c>
      <c r="C520" s="101"/>
      <c r="D520" s="101"/>
      <c r="E520" s="101"/>
      <c r="F520" s="370" t="s">
        <v>743</v>
      </c>
      <c r="G520" s="149">
        <v>678000</v>
      </c>
      <c r="H520" s="149"/>
      <c r="I520" s="329">
        <f t="shared" ref="I520:I525" si="927">G520+H520</f>
        <v>678000</v>
      </c>
      <c r="J520" s="329">
        <f t="shared" ref="J520:J525" si="928">I520</f>
        <v>678000</v>
      </c>
      <c r="K520" s="274"/>
      <c r="L520" s="274"/>
      <c r="M520" s="274"/>
      <c r="N520" s="275">
        <f t="shared" ref="N520:N525" si="929">J520+K520-L520+M520</f>
        <v>678000</v>
      </c>
      <c r="O520" s="274"/>
      <c r="P520" s="274">
        <f>9000+1745</f>
        <v>10745</v>
      </c>
      <c r="Q520" s="274">
        <v>818</v>
      </c>
      <c r="R520" s="274">
        <f>121232.88+23100+7350+1426+54420+11295+20700+3501+43800+8600+200000-8000+171012.12</f>
        <v>658437</v>
      </c>
      <c r="S520" s="274">
        <f t="shared" ref="S520:S525" si="930">SUM(O520:R520)</f>
        <v>670000</v>
      </c>
      <c r="T520" s="274"/>
      <c r="U520" s="274">
        <f>9000+1745</f>
        <v>10745</v>
      </c>
      <c r="V520" s="274">
        <v>818</v>
      </c>
      <c r="W520" s="274">
        <f>121232.88+23100+7350+1426+11295+54420+20700+3501+43800+8600+200000-8000</f>
        <v>487424.88</v>
      </c>
      <c r="X520" s="274">
        <f t="shared" ref="X520:X525" si="931">SUM(T520:W520)</f>
        <v>498987.88</v>
      </c>
      <c r="Y520" s="274">
        <f t="shared" ref="Y520:Y525" si="932">I520-N520</f>
        <v>0</v>
      </c>
      <c r="Z520" s="274">
        <f t="shared" ref="Z520:Z525" si="933">N520-S520</f>
        <v>8000</v>
      </c>
      <c r="AA520" s="274"/>
      <c r="AB520" s="306">
        <f t="shared" ref="AB520:AB525" si="934">+S520-X520-AA520</f>
        <v>171012.12</v>
      </c>
    </row>
    <row r="521" spans="1:28" s="90" customFormat="1" ht="14.1" customHeight="1" x14ac:dyDescent="0.2">
      <c r="A521" s="301"/>
      <c r="B521" s="350" t="s">
        <v>330</v>
      </c>
      <c r="C521" s="101"/>
      <c r="D521" s="101"/>
      <c r="E521" s="101"/>
      <c r="F521" s="370" t="s">
        <v>331</v>
      </c>
      <c r="G521" s="149">
        <v>25000</v>
      </c>
      <c r="H521" s="149"/>
      <c r="I521" s="329">
        <f t="shared" si="927"/>
        <v>25000</v>
      </c>
      <c r="J521" s="329">
        <f t="shared" si="928"/>
        <v>25000</v>
      </c>
      <c r="K521" s="274"/>
      <c r="L521" s="274"/>
      <c r="M521" s="274"/>
      <c r="N521" s="275">
        <f t="shared" si="929"/>
        <v>25000</v>
      </c>
      <c r="O521" s="274">
        <v>24182</v>
      </c>
      <c r="P521" s="274"/>
      <c r="Q521" s="274"/>
      <c r="R521" s="274">
        <v>818</v>
      </c>
      <c r="S521" s="274">
        <f t="shared" si="930"/>
        <v>25000</v>
      </c>
      <c r="T521" s="274">
        <v>11475</v>
      </c>
      <c r="U521" s="274">
        <v>12707</v>
      </c>
      <c r="V521" s="274"/>
      <c r="W521" s="274">
        <v>818</v>
      </c>
      <c r="X521" s="274">
        <f t="shared" si="931"/>
        <v>25000</v>
      </c>
      <c r="Y521" s="274">
        <f t="shared" si="932"/>
        <v>0</v>
      </c>
      <c r="Z521" s="274">
        <f t="shared" si="933"/>
        <v>0</v>
      </c>
      <c r="AA521" s="274"/>
      <c r="AB521" s="306">
        <f t="shared" si="934"/>
        <v>0</v>
      </c>
    </row>
    <row r="522" spans="1:28" s="90" customFormat="1" ht="14.1" hidden="1" customHeight="1" x14ac:dyDescent="0.2">
      <c r="A522" s="301"/>
      <c r="B522" s="350" t="s">
        <v>332</v>
      </c>
      <c r="C522" s="101"/>
      <c r="D522" s="101"/>
      <c r="E522" s="101"/>
      <c r="F522" s="370" t="s">
        <v>333</v>
      </c>
      <c r="G522" s="149"/>
      <c r="H522" s="149"/>
      <c r="I522" s="329">
        <f t="shared" si="927"/>
        <v>0</v>
      </c>
      <c r="J522" s="329">
        <f t="shared" si="928"/>
        <v>0</v>
      </c>
      <c r="K522" s="274"/>
      <c r="L522" s="274"/>
      <c r="M522" s="274"/>
      <c r="N522" s="275">
        <f t="shared" si="929"/>
        <v>0</v>
      </c>
      <c r="O522" s="274"/>
      <c r="P522" s="274"/>
      <c r="Q522" s="274"/>
      <c r="R522" s="274"/>
      <c r="S522" s="274">
        <f t="shared" si="930"/>
        <v>0</v>
      </c>
      <c r="T522" s="274"/>
      <c r="U522" s="274"/>
      <c r="V522" s="274"/>
      <c r="W522" s="274"/>
      <c r="X522" s="274">
        <f t="shared" si="931"/>
        <v>0</v>
      </c>
      <c r="Y522" s="274">
        <f t="shared" si="932"/>
        <v>0</v>
      </c>
      <c r="Z522" s="274">
        <f t="shared" si="933"/>
        <v>0</v>
      </c>
      <c r="AA522" s="274"/>
      <c r="AB522" s="306">
        <f t="shared" si="934"/>
        <v>0</v>
      </c>
    </row>
    <row r="523" spans="1:28" s="90" customFormat="1" ht="14.1" hidden="1" customHeight="1" x14ac:dyDescent="0.2">
      <c r="A523" s="301"/>
      <c r="B523" s="350" t="s">
        <v>334</v>
      </c>
      <c r="C523" s="101"/>
      <c r="D523" s="101"/>
      <c r="E523" s="101"/>
      <c r="F523" s="370" t="s">
        <v>335</v>
      </c>
      <c r="G523" s="149"/>
      <c r="H523" s="149"/>
      <c r="I523" s="329">
        <f t="shared" si="927"/>
        <v>0</v>
      </c>
      <c r="J523" s="329">
        <f t="shared" si="928"/>
        <v>0</v>
      </c>
      <c r="K523" s="274"/>
      <c r="L523" s="274"/>
      <c r="M523" s="274"/>
      <c r="N523" s="275">
        <f t="shared" si="929"/>
        <v>0</v>
      </c>
      <c r="O523" s="274"/>
      <c r="P523" s="274"/>
      <c r="Q523" s="274"/>
      <c r="R523" s="274"/>
      <c r="S523" s="274">
        <f t="shared" si="930"/>
        <v>0</v>
      </c>
      <c r="T523" s="274"/>
      <c r="U523" s="274"/>
      <c r="V523" s="274"/>
      <c r="W523" s="274"/>
      <c r="X523" s="274">
        <f t="shared" si="931"/>
        <v>0</v>
      </c>
      <c r="Y523" s="274">
        <f t="shared" si="932"/>
        <v>0</v>
      </c>
      <c r="Z523" s="274">
        <f t="shared" si="933"/>
        <v>0</v>
      </c>
      <c r="AA523" s="274"/>
      <c r="AB523" s="306">
        <f t="shared" si="934"/>
        <v>0</v>
      </c>
    </row>
    <row r="524" spans="1:28" s="90" customFormat="1" ht="14.1" customHeight="1" x14ac:dyDescent="0.2">
      <c r="A524" s="301"/>
      <c r="B524" s="350" t="s">
        <v>336</v>
      </c>
      <c r="C524" s="101"/>
      <c r="D524" s="101"/>
      <c r="E524" s="101"/>
      <c r="F524" s="370" t="s">
        <v>337</v>
      </c>
      <c r="G524" s="149">
        <v>199000</v>
      </c>
      <c r="H524" s="149"/>
      <c r="I524" s="329">
        <f t="shared" si="927"/>
        <v>199000</v>
      </c>
      <c r="J524" s="329">
        <f t="shared" si="928"/>
        <v>199000</v>
      </c>
      <c r="K524" s="274"/>
      <c r="L524" s="274"/>
      <c r="M524" s="274"/>
      <c r="N524" s="275">
        <f t="shared" si="929"/>
        <v>199000</v>
      </c>
      <c r="O524" s="274"/>
      <c r="P524" s="274"/>
      <c r="Q524" s="274"/>
      <c r="R524" s="274"/>
      <c r="S524" s="274">
        <f t="shared" si="930"/>
        <v>0</v>
      </c>
      <c r="T524" s="274"/>
      <c r="U524" s="274"/>
      <c r="V524" s="274"/>
      <c r="W524" s="274"/>
      <c r="X524" s="274">
        <f t="shared" si="931"/>
        <v>0</v>
      </c>
      <c r="Y524" s="274">
        <f t="shared" si="932"/>
        <v>0</v>
      </c>
      <c r="Z524" s="274">
        <f t="shared" si="933"/>
        <v>199000</v>
      </c>
      <c r="AA524" s="274"/>
      <c r="AB524" s="306">
        <f t="shared" si="934"/>
        <v>0</v>
      </c>
    </row>
    <row r="525" spans="1:28" s="90" customFormat="1" ht="14.1" hidden="1" customHeight="1" x14ac:dyDescent="0.2">
      <c r="A525" s="301"/>
      <c r="B525" s="350" t="s">
        <v>338</v>
      </c>
      <c r="C525" s="101"/>
      <c r="D525" s="101"/>
      <c r="E525" s="101"/>
      <c r="F525" s="370" t="s">
        <v>339</v>
      </c>
      <c r="G525" s="149"/>
      <c r="H525" s="149"/>
      <c r="I525" s="329">
        <f t="shared" si="927"/>
        <v>0</v>
      </c>
      <c r="J525" s="329">
        <f t="shared" si="928"/>
        <v>0</v>
      </c>
      <c r="K525" s="274"/>
      <c r="L525" s="274"/>
      <c r="M525" s="274"/>
      <c r="N525" s="275">
        <f t="shared" si="929"/>
        <v>0</v>
      </c>
      <c r="O525" s="274"/>
      <c r="P525" s="274"/>
      <c r="Q525" s="274"/>
      <c r="R525" s="274"/>
      <c r="S525" s="274">
        <f t="shared" si="930"/>
        <v>0</v>
      </c>
      <c r="T525" s="274"/>
      <c r="U525" s="274"/>
      <c r="V525" s="274"/>
      <c r="W525" s="274"/>
      <c r="X525" s="274">
        <f t="shared" si="931"/>
        <v>0</v>
      </c>
      <c r="Y525" s="274">
        <f t="shared" si="932"/>
        <v>0</v>
      </c>
      <c r="Z525" s="274">
        <f t="shared" si="933"/>
        <v>0</v>
      </c>
      <c r="AA525" s="274"/>
      <c r="AB525" s="306">
        <f t="shared" si="934"/>
        <v>0</v>
      </c>
    </row>
    <row r="526" spans="1:28" s="90" customFormat="1" ht="14.1" customHeight="1" x14ac:dyDescent="0.2">
      <c r="A526" s="301"/>
      <c r="B526" s="351" t="s">
        <v>340</v>
      </c>
      <c r="C526" s="101"/>
      <c r="D526" s="101"/>
      <c r="E526" s="101"/>
      <c r="F526" s="370"/>
      <c r="G526" s="149"/>
      <c r="H526" s="149"/>
      <c r="I526" s="149"/>
      <c r="J526" s="149"/>
      <c r="K526" s="159"/>
      <c r="L526" s="159"/>
      <c r="M526" s="159"/>
      <c r="N526" s="159"/>
      <c r="O526" s="159"/>
      <c r="P526" s="159"/>
      <c r="Q526" s="159"/>
      <c r="R526" s="159"/>
      <c r="S526" s="159"/>
      <c r="T526" s="159"/>
      <c r="U526" s="159"/>
      <c r="V526" s="159"/>
      <c r="W526" s="159"/>
      <c r="X526" s="159"/>
      <c r="Y526" s="159"/>
      <c r="Z526" s="159"/>
      <c r="AA526" s="159"/>
      <c r="AB526" s="583"/>
    </row>
    <row r="527" spans="1:28" s="90" customFormat="1" ht="14.1" customHeight="1" x14ac:dyDescent="0.2">
      <c r="A527" s="301"/>
      <c r="B527" s="350" t="s">
        <v>341</v>
      </c>
      <c r="C527" s="101"/>
      <c r="D527" s="101"/>
      <c r="E527" s="101"/>
      <c r="F527" s="370" t="s">
        <v>342</v>
      </c>
      <c r="G527" s="149">
        <v>80000</v>
      </c>
      <c r="H527" s="149"/>
      <c r="I527" s="329">
        <f t="shared" ref="I527:I528" si="935">G527+H527</f>
        <v>80000</v>
      </c>
      <c r="J527" s="329">
        <f t="shared" ref="J527:J528" si="936">I527</f>
        <v>80000</v>
      </c>
      <c r="K527" s="274"/>
      <c r="L527" s="274"/>
      <c r="M527" s="274"/>
      <c r="N527" s="275">
        <f t="shared" ref="N527:N528" si="937">J527+K527-L527+M527</f>
        <v>80000</v>
      </c>
      <c r="O527" s="274"/>
      <c r="P527" s="274"/>
      <c r="Q527" s="274"/>
      <c r="R527" s="274">
        <v>80000</v>
      </c>
      <c r="S527" s="274">
        <f t="shared" ref="S527:S528" si="938">SUM(O527:R527)</f>
        <v>80000</v>
      </c>
      <c r="T527" s="274"/>
      <c r="U527" s="274"/>
      <c r="V527" s="274"/>
      <c r="W527" s="274"/>
      <c r="X527" s="274">
        <f t="shared" ref="X527:X528" si="939">SUM(T527:W527)</f>
        <v>0</v>
      </c>
      <c r="Y527" s="274">
        <f t="shared" ref="Y527:Y528" si="940">I527-N527</f>
        <v>0</v>
      </c>
      <c r="Z527" s="274">
        <f t="shared" ref="Z527:Z528" si="941">N527-S527</f>
        <v>0</v>
      </c>
      <c r="AA527" s="274"/>
      <c r="AB527" s="306">
        <f t="shared" ref="AB527:AB528" si="942">+S527-X527-AA527</f>
        <v>80000</v>
      </c>
    </row>
    <row r="528" spans="1:28" s="90" customFormat="1" ht="14.1" customHeight="1" x14ac:dyDescent="0.2">
      <c r="A528" s="301"/>
      <c r="B528" s="350" t="s">
        <v>343</v>
      </c>
      <c r="C528" s="101"/>
      <c r="D528" s="101"/>
      <c r="E528" s="101"/>
      <c r="F528" s="370" t="s">
        <v>344</v>
      </c>
      <c r="G528" s="149">
        <v>738000</v>
      </c>
      <c r="H528" s="149"/>
      <c r="I528" s="329">
        <f t="shared" si="935"/>
        <v>738000</v>
      </c>
      <c r="J528" s="329">
        <f t="shared" si="936"/>
        <v>738000</v>
      </c>
      <c r="K528" s="274"/>
      <c r="L528" s="274"/>
      <c r="M528" s="274"/>
      <c r="N528" s="275">
        <f t="shared" si="937"/>
        <v>738000</v>
      </c>
      <c r="O528" s="274"/>
      <c r="P528" s="274"/>
      <c r="Q528" s="274">
        <v>26845.33</v>
      </c>
      <c r="R528" s="274">
        <f>338346.24+171257.35+201551.08</f>
        <v>711154.66999999993</v>
      </c>
      <c r="S528" s="274">
        <f t="shared" si="938"/>
        <v>737999.99999999988</v>
      </c>
      <c r="T528" s="274"/>
      <c r="U528" s="274"/>
      <c r="V528" s="274">
        <v>26845.33</v>
      </c>
      <c r="W528" s="274">
        <f>338346.24+171257.35</f>
        <v>509603.58999999997</v>
      </c>
      <c r="X528" s="274">
        <f t="shared" si="939"/>
        <v>536448.91999999993</v>
      </c>
      <c r="Y528" s="274">
        <f t="shared" si="940"/>
        <v>0</v>
      </c>
      <c r="Z528" s="274">
        <f t="shared" si="941"/>
        <v>0</v>
      </c>
      <c r="AA528" s="274"/>
      <c r="AB528" s="306">
        <f t="shared" si="942"/>
        <v>201551.07999999996</v>
      </c>
    </row>
    <row r="529" spans="1:28" s="90" customFormat="1" ht="14.1" customHeight="1" x14ac:dyDescent="0.2">
      <c r="A529" s="301"/>
      <c r="B529" s="351" t="s">
        <v>345</v>
      </c>
      <c r="C529" s="101"/>
      <c r="D529" s="101"/>
      <c r="E529" s="101"/>
      <c r="F529" s="370"/>
      <c r="G529" s="149"/>
      <c r="H529" s="149"/>
      <c r="I529" s="149"/>
      <c r="J529" s="14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  <c r="AB529" s="583"/>
    </row>
    <row r="530" spans="1:28" s="90" customFormat="1" ht="14.1" customHeight="1" x14ac:dyDescent="0.2">
      <c r="A530" s="301"/>
      <c r="B530" s="350" t="s">
        <v>346</v>
      </c>
      <c r="C530" s="101"/>
      <c r="D530" s="101"/>
      <c r="E530" s="101"/>
      <c r="F530" s="370" t="s">
        <v>347</v>
      </c>
      <c r="G530" s="149">
        <v>30000</v>
      </c>
      <c r="H530" s="149"/>
      <c r="I530" s="329">
        <f t="shared" ref="I530:I534" si="943">G530+H530</f>
        <v>30000</v>
      </c>
      <c r="J530" s="329">
        <f t="shared" ref="J530:J534" si="944">I530</f>
        <v>30000</v>
      </c>
      <c r="K530" s="274"/>
      <c r="L530" s="274"/>
      <c r="M530" s="274"/>
      <c r="N530" s="275">
        <f t="shared" ref="N530:N534" si="945">J530+K530-L530+M530</f>
        <v>30000</v>
      </c>
      <c r="O530" s="274">
        <v>2100</v>
      </c>
      <c r="P530" s="274"/>
      <c r="Q530" s="274"/>
      <c r="R530" s="274">
        <f>16852.2+11047.8</f>
        <v>27900</v>
      </c>
      <c r="S530" s="274">
        <f t="shared" ref="S530:S534" si="946">SUM(O530:R530)</f>
        <v>30000</v>
      </c>
      <c r="T530" s="274">
        <v>2100</v>
      </c>
      <c r="U530" s="274"/>
      <c r="V530" s="274"/>
      <c r="W530" s="274">
        <f>16852.2+11047.8</f>
        <v>27900</v>
      </c>
      <c r="X530" s="274">
        <f t="shared" ref="X530:X534" si="947">SUM(T530:W530)</f>
        <v>30000</v>
      </c>
      <c r="Y530" s="274">
        <f t="shared" ref="Y530:Y534" si="948">I530-N530</f>
        <v>0</v>
      </c>
      <c r="Z530" s="274">
        <f t="shared" ref="Z530:Z534" si="949">N530-S530</f>
        <v>0</v>
      </c>
      <c r="AA530" s="274"/>
      <c r="AB530" s="306">
        <f t="shared" ref="AB530:AB534" si="950">+S530-X530-AA530</f>
        <v>0</v>
      </c>
    </row>
    <row r="531" spans="1:28" s="90" customFormat="1" ht="14.1" customHeight="1" x14ac:dyDescent="0.2">
      <c r="A531" s="301"/>
      <c r="B531" s="350" t="s">
        <v>348</v>
      </c>
      <c r="C531" s="101"/>
      <c r="D531" s="101"/>
      <c r="E531" s="101"/>
      <c r="F531" s="370" t="s">
        <v>349</v>
      </c>
      <c r="G531" s="149">
        <v>60000</v>
      </c>
      <c r="H531" s="149"/>
      <c r="I531" s="329">
        <f t="shared" si="943"/>
        <v>60000</v>
      </c>
      <c r="J531" s="329">
        <f t="shared" si="944"/>
        <v>60000</v>
      </c>
      <c r="K531" s="274"/>
      <c r="L531" s="274"/>
      <c r="M531" s="274"/>
      <c r="N531" s="275">
        <f t="shared" si="945"/>
        <v>60000</v>
      </c>
      <c r="O531" s="274">
        <v>5000</v>
      </c>
      <c r="P531" s="274">
        <v>1000</v>
      </c>
      <c r="Q531" s="274">
        <f>1000+1000+1000</f>
        <v>3000</v>
      </c>
      <c r="R531" s="274">
        <f>2000+2000</f>
        <v>4000</v>
      </c>
      <c r="S531" s="274">
        <f t="shared" si="946"/>
        <v>13000</v>
      </c>
      <c r="T531" s="274">
        <v>5000</v>
      </c>
      <c r="U531" s="274">
        <v>1000</v>
      </c>
      <c r="V531" s="274">
        <f>1000+1000+1000</f>
        <v>3000</v>
      </c>
      <c r="W531" s="274">
        <f>2000+2000</f>
        <v>4000</v>
      </c>
      <c r="X531" s="274">
        <f t="shared" si="947"/>
        <v>13000</v>
      </c>
      <c r="Y531" s="274">
        <f t="shared" si="948"/>
        <v>0</v>
      </c>
      <c r="Z531" s="274">
        <f t="shared" si="949"/>
        <v>47000</v>
      </c>
      <c r="AA531" s="274"/>
      <c r="AB531" s="306">
        <f t="shared" si="950"/>
        <v>0</v>
      </c>
    </row>
    <row r="532" spans="1:28" s="90" customFormat="1" ht="14.1" customHeight="1" x14ac:dyDescent="0.2">
      <c r="A532" s="301"/>
      <c r="B532" s="350" t="s">
        <v>350</v>
      </c>
      <c r="C532" s="101"/>
      <c r="D532" s="101"/>
      <c r="E532" s="101"/>
      <c r="F532" s="370" t="s">
        <v>351</v>
      </c>
      <c r="G532" s="149">
        <v>122000</v>
      </c>
      <c r="H532" s="149"/>
      <c r="I532" s="329">
        <f t="shared" si="943"/>
        <v>122000</v>
      </c>
      <c r="J532" s="329">
        <f t="shared" si="944"/>
        <v>122000</v>
      </c>
      <c r="K532" s="274"/>
      <c r="L532" s="274"/>
      <c r="M532" s="274"/>
      <c r="N532" s="275">
        <f t="shared" si="945"/>
        <v>122000</v>
      </c>
      <c r="O532" s="274">
        <v>11323.65</v>
      </c>
      <c r="P532" s="274">
        <f>6567.96+1192.74+1808.58+483.87+1778</f>
        <v>11831.15</v>
      </c>
      <c r="Q532" s="274">
        <f>2305.1+1983.09+2030.46+1774.13+807.47+2738.29+2177.09+1967.76</f>
        <v>15783.390000000001</v>
      </c>
      <c r="R532" s="274">
        <f>16215.42+1237.14+1048.78+2746.76+2381.69</f>
        <v>23629.789999999997</v>
      </c>
      <c r="S532" s="274">
        <f t="shared" si="946"/>
        <v>62567.979999999996</v>
      </c>
      <c r="T532" s="274">
        <v>11323.65</v>
      </c>
      <c r="U532" s="274">
        <f>6567.96+1192.74+1808.58+483.87+1778</f>
        <v>11831.15</v>
      </c>
      <c r="V532" s="274">
        <f>2305.1+1983.09+2030.46+1774.13+807.47+2738.29+2177.09+1967.76</f>
        <v>15783.390000000001</v>
      </c>
      <c r="W532" s="274">
        <f>16215.42+1237.14+1048.78+2746.76+2381.69</f>
        <v>23629.789999999997</v>
      </c>
      <c r="X532" s="274">
        <f t="shared" si="947"/>
        <v>62567.979999999996</v>
      </c>
      <c r="Y532" s="274">
        <f t="shared" si="948"/>
        <v>0</v>
      </c>
      <c r="Z532" s="274">
        <f t="shared" si="949"/>
        <v>59432.020000000004</v>
      </c>
      <c r="AA532" s="274"/>
      <c r="AB532" s="306">
        <f t="shared" si="950"/>
        <v>0</v>
      </c>
    </row>
    <row r="533" spans="1:28" s="90" customFormat="1" ht="14.1" customHeight="1" x14ac:dyDescent="0.2">
      <c r="A533" s="301"/>
      <c r="B533" s="350" t="s">
        <v>352</v>
      </c>
      <c r="C533" s="101"/>
      <c r="D533" s="101"/>
      <c r="E533" s="101"/>
      <c r="F533" s="370" t="s">
        <v>353</v>
      </c>
      <c r="G533" s="149">
        <v>47000</v>
      </c>
      <c r="H533" s="149"/>
      <c r="I533" s="329">
        <f t="shared" si="943"/>
        <v>47000</v>
      </c>
      <c r="J533" s="329">
        <f t="shared" si="944"/>
        <v>47000</v>
      </c>
      <c r="K533" s="274"/>
      <c r="L533" s="274"/>
      <c r="M533" s="274"/>
      <c r="N533" s="275">
        <f t="shared" si="945"/>
        <v>47000</v>
      </c>
      <c r="O533" s="274"/>
      <c r="P533" s="274">
        <v>2560</v>
      </c>
      <c r="Q533" s="274">
        <f>19600+560+4480+4480+1180</f>
        <v>30300</v>
      </c>
      <c r="R533" s="274">
        <v>14140</v>
      </c>
      <c r="S533" s="274">
        <f t="shared" si="946"/>
        <v>47000</v>
      </c>
      <c r="T533" s="274"/>
      <c r="U533" s="274">
        <f>2040+520</f>
        <v>2560</v>
      </c>
      <c r="V533" s="274">
        <f>560+4480+4480+4480+4480+1120+560+4480+4480+1180</f>
        <v>30300</v>
      </c>
      <c r="W533" s="274">
        <v>14140</v>
      </c>
      <c r="X533" s="274">
        <f t="shared" si="947"/>
        <v>47000</v>
      </c>
      <c r="Y533" s="274">
        <f t="shared" si="948"/>
        <v>0</v>
      </c>
      <c r="Z533" s="274">
        <f t="shared" si="949"/>
        <v>0</v>
      </c>
      <c r="AA533" s="274"/>
      <c r="AB533" s="306">
        <f t="shared" si="950"/>
        <v>0</v>
      </c>
    </row>
    <row r="534" spans="1:28" s="90" customFormat="1" ht="14.1" customHeight="1" x14ac:dyDescent="0.2">
      <c r="A534" s="301"/>
      <c r="B534" s="350" t="s">
        <v>354</v>
      </c>
      <c r="C534" s="101"/>
      <c r="D534" s="101"/>
      <c r="E534" s="101"/>
      <c r="F534" s="370" t="s">
        <v>355</v>
      </c>
      <c r="G534" s="149">
        <v>7000</v>
      </c>
      <c r="H534" s="149"/>
      <c r="I534" s="329">
        <f t="shared" si="943"/>
        <v>7000</v>
      </c>
      <c r="J534" s="329">
        <f t="shared" si="944"/>
        <v>7000</v>
      </c>
      <c r="K534" s="274"/>
      <c r="L534" s="274"/>
      <c r="M534" s="274"/>
      <c r="N534" s="275">
        <f t="shared" si="945"/>
        <v>7000</v>
      </c>
      <c r="O534" s="274"/>
      <c r="P534" s="274"/>
      <c r="Q534" s="274">
        <f>484.67+1080</f>
        <v>1564.67</v>
      </c>
      <c r="R534" s="274">
        <f>2160+1080</f>
        <v>3240</v>
      </c>
      <c r="S534" s="274">
        <f t="shared" si="946"/>
        <v>4804.67</v>
      </c>
      <c r="T534" s="274"/>
      <c r="U534" s="274"/>
      <c r="V534" s="274">
        <f>484.67+1080</f>
        <v>1564.67</v>
      </c>
      <c r="W534" s="274">
        <f>2160+1080</f>
        <v>3240</v>
      </c>
      <c r="X534" s="274">
        <f t="shared" si="947"/>
        <v>4804.67</v>
      </c>
      <c r="Y534" s="274">
        <f t="shared" si="948"/>
        <v>0</v>
      </c>
      <c r="Z534" s="274">
        <f t="shared" si="949"/>
        <v>2195.33</v>
      </c>
      <c r="AA534" s="274"/>
      <c r="AB534" s="306">
        <f t="shared" si="950"/>
        <v>0</v>
      </c>
    </row>
    <row r="535" spans="1:28" s="90" customFormat="1" ht="14.1" customHeight="1" x14ac:dyDescent="0.2">
      <c r="A535" s="301"/>
      <c r="B535" s="351" t="s">
        <v>356</v>
      </c>
      <c r="C535" s="101"/>
      <c r="D535" s="101"/>
      <c r="E535" s="101"/>
      <c r="F535" s="370"/>
      <c r="G535" s="149"/>
      <c r="H535" s="149"/>
      <c r="I535" s="149"/>
      <c r="J535" s="14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  <c r="AB535" s="583"/>
    </row>
    <row r="536" spans="1:28" s="90" customFormat="1" ht="14.1" hidden="1" customHeight="1" x14ac:dyDescent="0.2">
      <c r="A536" s="301"/>
      <c r="B536" s="350" t="s">
        <v>357</v>
      </c>
      <c r="C536" s="101"/>
      <c r="D536" s="101"/>
      <c r="E536" s="101"/>
      <c r="F536" s="370" t="s">
        <v>358</v>
      </c>
      <c r="G536" s="149"/>
      <c r="H536" s="149"/>
      <c r="I536" s="329">
        <f t="shared" ref="I536" si="951">G536+H536</f>
        <v>0</v>
      </c>
      <c r="J536" s="329">
        <f t="shared" ref="J536" si="952">I536</f>
        <v>0</v>
      </c>
      <c r="K536" s="274"/>
      <c r="L536" s="274"/>
      <c r="M536" s="274"/>
      <c r="N536" s="275">
        <f t="shared" ref="N536" si="953">J536+K536-L536+M536</f>
        <v>0</v>
      </c>
      <c r="O536" s="274"/>
      <c r="P536" s="274"/>
      <c r="Q536" s="274"/>
      <c r="R536" s="274"/>
      <c r="S536" s="274">
        <f t="shared" ref="S536" si="954">SUM(O536:R536)</f>
        <v>0</v>
      </c>
      <c r="T536" s="274"/>
      <c r="U536" s="274"/>
      <c r="V536" s="274"/>
      <c r="W536" s="274"/>
      <c r="X536" s="274">
        <f t="shared" ref="X536" si="955">SUM(T536:W536)</f>
        <v>0</v>
      </c>
      <c r="Y536" s="274">
        <f t="shared" ref="Y536" si="956">I536-N536</f>
        <v>0</v>
      </c>
      <c r="Z536" s="274">
        <f t="shared" ref="Z536" si="957">N536-S536</f>
        <v>0</v>
      </c>
      <c r="AA536" s="274"/>
      <c r="AB536" s="306">
        <f t="shared" ref="AB536" si="958">+S536-X536-AA536</f>
        <v>0</v>
      </c>
    </row>
    <row r="537" spans="1:28" s="90" customFormat="1" ht="14.1" customHeight="1" x14ac:dyDescent="0.2">
      <c r="A537" s="301"/>
      <c r="B537" s="351" t="s">
        <v>359</v>
      </c>
      <c r="C537" s="101"/>
      <c r="D537" s="101"/>
      <c r="E537" s="101"/>
      <c r="F537" s="370"/>
      <c r="G537" s="149"/>
      <c r="H537" s="149"/>
      <c r="I537" s="149"/>
      <c r="J537" s="14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  <c r="AB537" s="583"/>
    </row>
    <row r="538" spans="1:28" s="90" customFormat="1" ht="14.1" hidden="1" customHeight="1" x14ac:dyDescent="0.2">
      <c r="A538" s="301"/>
      <c r="B538" s="350" t="s">
        <v>360</v>
      </c>
      <c r="C538" s="101"/>
      <c r="D538" s="101"/>
      <c r="E538" s="101"/>
      <c r="F538" s="370" t="s">
        <v>361</v>
      </c>
      <c r="G538" s="149"/>
      <c r="H538" s="149"/>
      <c r="I538" s="329">
        <f t="shared" ref="I538:I541" si="959">G538+H538</f>
        <v>0</v>
      </c>
      <c r="J538" s="329">
        <f t="shared" ref="J538:J541" si="960">I538</f>
        <v>0</v>
      </c>
      <c r="K538" s="274"/>
      <c r="L538" s="274"/>
      <c r="M538" s="274"/>
      <c r="N538" s="275">
        <f t="shared" ref="N538:N541" si="961">J538+K538-L538+M538</f>
        <v>0</v>
      </c>
      <c r="O538" s="274"/>
      <c r="P538" s="274"/>
      <c r="Q538" s="274"/>
      <c r="R538" s="274"/>
      <c r="S538" s="274">
        <f t="shared" ref="S538:S541" si="962">SUM(O538:R538)</f>
        <v>0</v>
      </c>
      <c r="T538" s="274"/>
      <c r="U538" s="274"/>
      <c r="V538" s="274"/>
      <c r="W538" s="274"/>
      <c r="X538" s="274">
        <f t="shared" ref="X538:X541" si="963">SUM(T538:W538)</f>
        <v>0</v>
      </c>
      <c r="Y538" s="274">
        <f t="shared" ref="Y538:Y541" si="964">I538-N538</f>
        <v>0</v>
      </c>
      <c r="Z538" s="274">
        <f t="shared" ref="Z538:Z541" si="965">N538-S538</f>
        <v>0</v>
      </c>
      <c r="AA538" s="274"/>
      <c r="AB538" s="306">
        <f t="shared" ref="AB538:AB541" si="966">+S538-X538-AA538</f>
        <v>0</v>
      </c>
    </row>
    <row r="539" spans="1:28" s="90" customFormat="1" ht="14.1" hidden="1" customHeight="1" x14ac:dyDescent="0.2">
      <c r="A539" s="301"/>
      <c r="B539" s="350" t="s">
        <v>362</v>
      </c>
      <c r="C539" s="101"/>
      <c r="D539" s="101"/>
      <c r="E539" s="101"/>
      <c r="F539" s="370" t="s">
        <v>363</v>
      </c>
      <c r="G539" s="149"/>
      <c r="H539" s="149"/>
      <c r="I539" s="329">
        <f t="shared" si="959"/>
        <v>0</v>
      </c>
      <c r="J539" s="329">
        <f t="shared" si="960"/>
        <v>0</v>
      </c>
      <c r="K539" s="274"/>
      <c r="L539" s="274"/>
      <c r="M539" s="274"/>
      <c r="N539" s="275">
        <f t="shared" si="961"/>
        <v>0</v>
      </c>
      <c r="O539" s="274"/>
      <c r="P539" s="274"/>
      <c r="Q539" s="274"/>
      <c r="R539" s="274"/>
      <c r="S539" s="274">
        <f t="shared" si="962"/>
        <v>0</v>
      </c>
      <c r="T539" s="274"/>
      <c r="U539" s="274"/>
      <c r="V539" s="274"/>
      <c r="W539" s="274"/>
      <c r="X539" s="274">
        <f t="shared" si="963"/>
        <v>0</v>
      </c>
      <c r="Y539" s="274">
        <f t="shared" si="964"/>
        <v>0</v>
      </c>
      <c r="Z539" s="274">
        <f t="shared" si="965"/>
        <v>0</v>
      </c>
      <c r="AA539" s="274"/>
      <c r="AB539" s="306">
        <f t="shared" si="966"/>
        <v>0</v>
      </c>
    </row>
    <row r="540" spans="1:28" s="90" customFormat="1" ht="14.1" hidden="1" customHeight="1" x14ac:dyDescent="0.2">
      <c r="A540" s="301"/>
      <c r="B540" s="350" t="s">
        <v>722</v>
      </c>
      <c r="C540" s="718"/>
      <c r="D540" s="718"/>
      <c r="E540" s="718"/>
      <c r="F540" s="370" t="s">
        <v>723</v>
      </c>
      <c r="G540" s="149"/>
      <c r="H540" s="149"/>
      <c r="I540" s="329">
        <f t="shared" si="959"/>
        <v>0</v>
      </c>
      <c r="J540" s="329">
        <f t="shared" si="960"/>
        <v>0</v>
      </c>
      <c r="K540" s="274"/>
      <c r="L540" s="274"/>
      <c r="M540" s="274"/>
      <c r="N540" s="275">
        <f t="shared" si="961"/>
        <v>0</v>
      </c>
      <c r="O540" s="274"/>
      <c r="P540" s="274"/>
      <c r="Q540" s="274"/>
      <c r="R540" s="274"/>
      <c r="S540" s="274">
        <f t="shared" si="962"/>
        <v>0</v>
      </c>
      <c r="T540" s="274"/>
      <c r="U540" s="274"/>
      <c r="V540" s="274"/>
      <c r="W540" s="274"/>
      <c r="X540" s="274">
        <f t="shared" si="963"/>
        <v>0</v>
      </c>
      <c r="Y540" s="274">
        <f t="shared" si="964"/>
        <v>0</v>
      </c>
      <c r="Z540" s="274">
        <f t="shared" si="965"/>
        <v>0</v>
      </c>
      <c r="AA540" s="274"/>
      <c r="AB540" s="306">
        <f t="shared" si="966"/>
        <v>0</v>
      </c>
    </row>
    <row r="541" spans="1:28" s="90" customFormat="1" ht="14.1" customHeight="1" x14ac:dyDescent="0.2">
      <c r="A541" s="301"/>
      <c r="B541" s="350" t="s">
        <v>364</v>
      </c>
      <c r="C541" s="101"/>
      <c r="D541" s="101"/>
      <c r="E541" s="101"/>
      <c r="F541" s="370" t="s">
        <v>365</v>
      </c>
      <c r="G541" s="149">
        <v>761000</v>
      </c>
      <c r="H541" s="149"/>
      <c r="I541" s="329">
        <f t="shared" si="959"/>
        <v>761000</v>
      </c>
      <c r="J541" s="329">
        <f t="shared" si="960"/>
        <v>761000</v>
      </c>
      <c r="K541" s="274"/>
      <c r="L541" s="274"/>
      <c r="M541" s="274"/>
      <c r="N541" s="275">
        <f t="shared" si="961"/>
        <v>761000</v>
      </c>
      <c r="O541" s="274">
        <v>151132.23000000001</v>
      </c>
      <c r="P541" s="274">
        <f>77213.21+19237.5+20007+2203+4500+32254.8+4473.68+2072.79+10000+27702+21375+4424.95+5400+24380.26+3974.95+4500+10000</f>
        <v>273719.14</v>
      </c>
      <c r="Q541" s="274">
        <f>23085+23085+4800+4775.25+16929+15675+16929+6600+6401.25+6949.77+10000+6156+6156+7067.5+6321.25+15594.81+23017.59+22998.33+6560+5400+2400+4800+23085+21294.81+23085+5393.75+5355</f>
        <v>319914.31</v>
      </c>
      <c r="R541" s="274">
        <v>16234.32</v>
      </c>
      <c r="S541" s="274">
        <f t="shared" si="962"/>
        <v>760999.99999999988</v>
      </c>
      <c r="T541" s="274">
        <v>151132.23000000001</v>
      </c>
      <c r="U541" s="274">
        <f>76492.21+19237.5+20007+1682+4300+32254.8+200+521+2072.79+4473.68+521+200+10000+3903.95+5200+24380.26+21375+27702+10000+3974.95+4500+200+521</f>
        <v>273719.14000000007</v>
      </c>
      <c r="V541" s="274">
        <f>200+521+4600+4254.25+15675+6600+6401.25+521+200+6949.77+10000+16929+16929+6156+6156+6546.5+6121.25+22998.33+23017.59+200+521+6260+5400+15594.81+300+2200+4279+23085+21294.81+23085+5393.75+5355</f>
        <v>273744.31</v>
      </c>
      <c r="W541" s="274">
        <v>62404.32</v>
      </c>
      <c r="X541" s="274">
        <f t="shared" si="963"/>
        <v>761000.00000000012</v>
      </c>
      <c r="Y541" s="274">
        <f t="shared" si="964"/>
        <v>0</v>
      </c>
      <c r="Z541" s="274">
        <f t="shared" si="965"/>
        <v>0</v>
      </c>
      <c r="AA541" s="274"/>
      <c r="AB541" s="306">
        <f t="shared" si="966"/>
        <v>-2.3283064365386963E-10</v>
      </c>
    </row>
    <row r="542" spans="1:28" s="90" customFormat="1" ht="14.1" customHeight="1" x14ac:dyDescent="0.2">
      <c r="A542" s="301"/>
      <c r="B542" s="351" t="s">
        <v>366</v>
      </c>
      <c r="C542" s="101"/>
      <c r="D542" s="101"/>
      <c r="E542" s="101"/>
      <c r="F542" s="370"/>
      <c r="G542" s="149"/>
      <c r="H542" s="149"/>
      <c r="I542" s="149"/>
      <c r="J542" s="14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  <c r="AB542" s="583"/>
    </row>
    <row r="543" spans="1:28" s="90" customFormat="1" ht="14.1" hidden="1" customHeight="1" x14ac:dyDescent="0.2">
      <c r="A543" s="301"/>
      <c r="B543" s="350" t="s">
        <v>366</v>
      </c>
      <c r="C543" s="101"/>
      <c r="D543" s="101"/>
      <c r="E543" s="101"/>
      <c r="F543" s="370" t="s">
        <v>367</v>
      </c>
      <c r="G543" s="149"/>
      <c r="H543" s="149"/>
      <c r="I543" s="329">
        <f t="shared" ref="I543:I547" si="967">G543+H543</f>
        <v>0</v>
      </c>
      <c r="J543" s="329">
        <f t="shared" ref="J543:J547" si="968">I543</f>
        <v>0</v>
      </c>
      <c r="K543" s="274"/>
      <c r="L543" s="274"/>
      <c r="M543" s="274"/>
      <c r="N543" s="275">
        <f t="shared" ref="N543:N547" si="969">J543+K543-L543+M543</f>
        <v>0</v>
      </c>
      <c r="O543" s="274"/>
      <c r="P543" s="274"/>
      <c r="Q543" s="274"/>
      <c r="R543" s="274"/>
      <c r="S543" s="274">
        <f t="shared" ref="S543:S547" si="970">SUM(O543:R543)</f>
        <v>0</v>
      </c>
      <c r="T543" s="274"/>
      <c r="U543" s="274"/>
      <c r="V543" s="274"/>
      <c r="W543" s="274"/>
      <c r="X543" s="274">
        <f t="shared" ref="X543:X547" si="971">SUM(T543:W543)</f>
        <v>0</v>
      </c>
      <c r="Y543" s="274">
        <f t="shared" ref="Y543:Y547" si="972">I543-N543</f>
        <v>0</v>
      </c>
      <c r="Z543" s="274">
        <f t="shared" ref="Z543:Z547" si="973">N543-S543</f>
        <v>0</v>
      </c>
      <c r="AA543" s="274"/>
      <c r="AB543" s="306">
        <f t="shared" ref="AB543:AB547" si="974">+S543-X543-AA543</f>
        <v>0</v>
      </c>
    </row>
    <row r="544" spans="1:28" s="90" customFormat="1" ht="14.1" hidden="1" customHeight="1" x14ac:dyDescent="0.2">
      <c r="A544" s="301"/>
      <c r="B544" s="350" t="s">
        <v>724</v>
      </c>
      <c r="C544" s="718"/>
      <c r="D544" s="718"/>
      <c r="E544" s="718"/>
      <c r="F544" s="370" t="s">
        <v>725</v>
      </c>
      <c r="G544" s="149"/>
      <c r="H544" s="149"/>
      <c r="I544" s="329">
        <f t="shared" ref="I544" si="975">G544+H544</f>
        <v>0</v>
      </c>
      <c r="J544" s="329">
        <f t="shared" ref="J544" si="976">I544</f>
        <v>0</v>
      </c>
      <c r="K544" s="274"/>
      <c r="L544" s="274"/>
      <c r="M544" s="274"/>
      <c r="N544" s="275">
        <f t="shared" si="969"/>
        <v>0</v>
      </c>
      <c r="O544" s="274"/>
      <c r="P544" s="274"/>
      <c r="Q544" s="274"/>
      <c r="R544" s="274"/>
      <c r="S544" s="274">
        <f t="shared" ref="S544" si="977">SUM(O544:R544)</f>
        <v>0</v>
      </c>
      <c r="T544" s="274"/>
      <c r="U544" s="274"/>
      <c r="V544" s="274"/>
      <c r="W544" s="274"/>
      <c r="X544" s="274">
        <f t="shared" ref="X544" si="978">SUM(T544:W544)</f>
        <v>0</v>
      </c>
      <c r="Y544" s="274">
        <f t="shared" ref="Y544" si="979">I544-N544</f>
        <v>0</v>
      </c>
      <c r="Z544" s="274">
        <f t="shared" ref="Z544" si="980">N544-S544</f>
        <v>0</v>
      </c>
      <c r="AA544" s="274"/>
      <c r="AB544" s="306">
        <f t="shared" ref="AB544" si="981">+S544-X544-AA544</f>
        <v>0</v>
      </c>
    </row>
    <row r="545" spans="1:28" s="90" customFormat="1" ht="14.1" customHeight="1" x14ac:dyDescent="0.2">
      <c r="A545" s="301"/>
      <c r="B545" s="350" t="s">
        <v>368</v>
      </c>
      <c r="C545" s="101"/>
      <c r="D545" s="101"/>
      <c r="E545" s="101"/>
      <c r="F545" s="370" t="s">
        <v>369</v>
      </c>
      <c r="G545" s="149">
        <v>154000</v>
      </c>
      <c r="H545" s="149"/>
      <c r="I545" s="329">
        <f t="shared" si="967"/>
        <v>154000</v>
      </c>
      <c r="J545" s="329">
        <f t="shared" si="968"/>
        <v>154000</v>
      </c>
      <c r="K545" s="274"/>
      <c r="L545" s="274"/>
      <c r="M545" s="274"/>
      <c r="N545" s="275">
        <f t="shared" si="969"/>
        <v>154000</v>
      </c>
      <c r="O545" s="274"/>
      <c r="P545" s="274">
        <v>0</v>
      </c>
      <c r="Q545" s="274"/>
      <c r="R545" s="274"/>
      <c r="S545" s="274">
        <f t="shared" si="970"/>
        <v>0</v>
      </c>
      <c r="T545" s="274"/>
      <c r="U545" s="274"/>
      <c r="V545" s="274"/>
      <c r="W545" s="274"/>
      <c r="X545" s="274">
        <f t="shared" si="971"/>
        <v>0</v>
      </c>
      <c r="Y545" s="274">
        <f t="shared" si="972"/>
        <v>0</v>
      </c>
      <c r="Z545" s="274">
        <f t="shared" si="973"/>
        <v>154000</v>
      </c>
      <c r="AA545" s="274"/>
      <c r="AB545" s="306">
        <f t="shared" si="974"/>
        <v>0</v>
      </c>
    </row>
    <row r="546" spans="1:28" s="90" customFormat="1" ht="14.1" customHeight="1" x14ac:dyDescent="0.2">
      <c r="A546" s="301"/>
      <c r="B546" s="350" t="s">
        <v>370</v>
      </c>
      <c r="C546" s="101"/>
      <c r="D546" s="101"/>
      <c r="E546" s="101"/>
      <c r="F546" s="370" t="s">
        <v>371</v>
      </c>
      <c r="G546" s="149">
        <v>279000</v>
      </c>
      <c r="H546" s="149"/>
      <c r="I546" s="329">
        <f t="shared" si="967"/>
        <v>279000</v>
      </c>
      <c r="J546" s="329">
        <f t="shared" si="968"/>
        <v>279000</v>
      </c>
      <c r="K546" s="274"/>
      <c r="L546" s="274"/>
      <c r="M546" s="274"/>
      <c r="N546" s="275">
        <f t="shared" si="969"/>
        <v>279000</v>
      </c>
      <c r="O546" s="274"/>
      <c r="P546" s="274"/>
      <c r="Q546" s="274"/>
      <c r="R546" s="274"/>
      <c r="S546" s="274">
        <f t="shared" si="970"/>
        <v>0</v>
      </c>
      <c r="T546" s="274"/>
      <c r="U546" s="274"/>
      <c r="V546" s="274"/>
      <c r="W546" s="274"/>
      <c r="X546" s="274">
        <f t="shared" si="971"/>
        <v>0</v>
      </c>
      <c r="Y546" s="274">
        <f t="shared" si="972"/>
        <v>0</v>
      </c>
      <c r="Z546" s="274">
        <f t="shared" si="973"/>
        <v>279000</v>
      </c>
      <c r="AA546" s="274"/>
      <c r="AB546" s="306">
        <f t="shared" si="974"/>
        <v>0</v>
      </c>
    </row>
    <row r="547" spans="1:28" s="90" customFormat="1" ht="14.1" customHeight="1" x14ac:dyDescent="0.2">
      <c r="A547" s="301"/>
      <c r="B547" s="350" t="s">
        <v>372</v>
      </c>
      <c r="C547" s="101"/>
      <c r="D547" s="101"/>
      <c r="E547" s="101"/>
      <c r="F547" s="370" t="s">
        <v>373</v>
      </c>
      <c r="G547" s="149"/>
      <c r="H547" s="149"/>
      <c r="I547" s="329">
        <f t="shared" si="967"/>
        <v>0</v>
      </c>
      <c r="J547" s="329">
        <f t="shared" si="968"/>
        <v>0</v>
      </c>
      <c r="K547" s="274"/>
      <c r="L547" s="274"/>
      <c r="M547" s="274"/>
      <c r="N547" s="275">
        <f t="shared" si="969"/>
        <v>0</v>
      </c>
      <c r="O547" s="274"/>
      <c r="P547" s="274"/>
      <c r="Q547" s="274"/>
      <c r="R547" s="274"/>
      <c r="S547" s="274">
        <f t="shared" si="970"/>
        <v>0</v>
      </c>
      <c r="T547" s="274"/>
      <c r="U547" s="274"/>
      <c r="V547" s="274"/>
      <c r="W547" s="274"/>
      <c r="X547" s="274">
        <f t="shared" si="971"/>
        <v>0</v>
      </c>
      <c r="Y547" s="274">
        <f t="shared" si="972"/>
        <v>0</v>
      </c>
      <c r="Z547" s="274">
        <f t="shared" si="973"/>
        <v>0</v>
      </c>
      <c r="AA547" s="274"/>
      <c r="AB547" s="306">
        <f t="shared" si="974"/>
        <v>0</v>
      </c>
    </row>
    <row r="548" spans="1:28" s="90" customFormat="1" ht="14.1" customHeight="1" x14ac:dyDescent="0.2">
      <c r="A548" s="301"/>
      <c r="B548" s="351" t="s">
        <v>374</v>
      </c>
      <c r="C548" s="101"/>
      <c r="D548" s="101"/>
      <c r="E548" s="101"/>
      <c r="F548" s="370"/>
      <c r="G548" s="149"/>
      <c r="H548" s="149"/>
      <c r="I548" s="149"/>
      <c r="J548" s="14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  <c r="AB548" s="583"/>
    </row>
    <row r="549" spans="1:28" s="90" customFormat="1" ht="14.1" hidden="1" customHeight="1" x14ac:dyDescent="0.2">
      <c r="A549" s="301"/>
      <c r="B549" s="350" t="s">
        <v>375</v>
      </c>
      <c r="C549" s="101"/>
      <c r="D549" s="101"/>
      <c r="E549" s="101"/>
      <c r="F549" s="370" t="s">
        <v>376</v>
      </c>
      <c r="G549" s="149"/>
      <c r="H549" s="149"/>
      <c r="I549" s="329">
        <f t="shared" ref="I549:I566" si="982">G549+H549</f>
        <v>0</v>
      </c>
      <c r="J549" s="329">
        <f t="shared" ref="J549:J566" si="983">I549</f>
        <v>0</v>
      </c>
      <c r="K549" s="274"/>
      <c r="L549" s="274"/>
      <c r="M549" s="274"/>
      <c r="N549" s="275">
        <f t="shared" ref="N549:N566" si="984">J549+K549-L549+M549</f>
        <v>0</v>
      </c>
      <c r="O549" s="274"/>
      <c r="P549" s="274"/>
      <c r="Q549" s="274"/>
      <c r="R549" s="274"/>
      <c r="S549" s="274">
        <f t="shared" ref="S549:S566" si="985">SUM(O549:R549)</f>
        <v>0</v>
      </c>
      <c r="T549" s="274"/>
      <c r="U549" s="274"/>
      <c r="V549" s="274"/>
      <c r="W549" s="274"/>
      <c r="X549" s="274">
        <f t="shared" ref="X549:X566" si="986">SUM(T549:W549)</f>
        <v>0</v>
      </c>
      <c r="Y549" s="274">
        <f t="shared" ref="Y549:Y566" si="987">I549-N549</f>
        <v>0</v>
      </c>
      <c r="Z549" s="274">
        <f t="shared" ref="Z549:Z566" si="988">N549-S549</f>
        <v>0</v>
      </c>
      <c r="AA549" s="274"/>
      <c r="AB549" s="306">
        <f t="shared" ref="AB549:AB566" si="989">+S549-X549-AA549</f>
        <v>0</v>
      </c>
    </row>
    <row r="550" spans="1:28" s="90" customFormat="1" ht="14.1" customHeight="1" x14ac:dyDescent="0.2">
      <c r="A550" s="301"/>
      <c r="B550" s="350" t="s">
        <v>377</v>
      </c>
      <c r="C550" s="101"/>
      <c r="D550" s="101"/>
      <c r="E550" s="101"/>
      <c r="F550" s="370" t="s">
        <v>378</v>
      </c>
      <c r="G550" s="149">
        <v>81000</v>
      </c>
      <c r="H550" s="149"/>
      <c r="I550" s="329">
        <f t="shared" si="982"/>
        <v>81000</v>
      </c>
      <c r="J550" s="329">
        <f t="shared" si="983"/>
        <v>81000</v>
      </c>
      <c r="K550" s="274"/>
      <c r="L550" s="274"/>
      <c r="M550" s="274"/>
      <c r="N550" s="275">
        <f t="shared" si="984"/>
        <v>81000</v>
      </c>
      <c r="O550" s="274"/>
      <c r="P550" s="274"/>
      <c r="Q550" s="274"/>
      <c r="R550" s="274">
        <v>81000</v>
      </c>
      <c r="S550" s="274">
        <f t="shared" si="985"/>
        <v>81000</v>
      </c>
      <c r="T550" s="274"/>
      <c r="U550" s="274"/>
      <c r="V550" s="274"/>
      <c r="W550" s="274">
        <v>81000</v>
      </c>
      <c r="X550" s="274">
        <f t="shared" si="986"/>
        <v>81000</v>
      </c>
      <c r="Y550" s="274">
        <f t="shared" si="987"/>
        <v>0</v>
      </c>
      <c r="Z550" s="274">
        <f t="shared" si="988"/>
        <v>0</v>
      </c>
      <c r="AA550" s="274"/>
      <c r="AB550" s="306">
        <f t="shared" si="989"/>
        <v>0</v>
      </c>
    </row>
    <row r="551" spans="1:28" s="90" customFormat="1" ht="14.1" hidden="1" customHeight="1" x14ac:dyDescent="0.2">
      <c r="A551" s="301"/>
      <c r="B551" s="350" t="s">
        <v>379</v>
      </c>
      <c r="C551" s="101"/>
      <c r="D551" s="101"/>
      <c r="E551" s="101"/>
      <c r="F551" s="370" t="s">
        <v>380</v>
      </c>
      <c r="G551" s="149"/>
      <c r="H551" s="149"/>
      <c r="I551" s="329">
        <f t="shared" si="982"/>
        <v>0</v>
      </c>
      <c r="J551" s="329">
        <f t="shared" si="983"/>
        <v>0</v>
      </c>
      <c r="K551" s="274"/>
      <c r="L551" s="274"/>
      <c r="M551" s="274"/>
      <c r="N551" s="275">
        <f t="shared" si="984"/>
        <v>0</v>
      </c>
      <c r="O551" s="274"/>
      <c r="P551" s="274"/>
      <c r="Q551" s="274"/>
      <c r="R551" s="274"/>
      <c r="S551" s="274">
        <f t="shared" si="985"/>
        <v>0</v>
      </c>
      <c r="T551" s="274"/>
      <c r="U551" s="274"/>
      <c r="V551" s="274"/>
      <c r="W551" s="274"/>
      <c r="X551" s="274">
        <f t="shared" si="986"/>
        <v>0</v>
      </c>
      <c r="Y551" s="274">
        <f t="shared" si="987"/>
        <v>0</v>
      </c>
      <c r="Z551" s="274">
        <f t="shared" si="988"/>
        <v>0</v>
      </c>
      <c r="AA551" s="274"/>
      <c r="AB551" s="306">
        <f t="shared" si="989"/>
        <v>0</v>
      </c>
    </row>
    <row r="552" spans="1:28" s="90" customFormat="1" ht="14.1" hidden="1" customHeight="1" x14ac:dyDescent="0.2">
      <c r="A552" s="301"/>
      <c r="B552" s="350" t="s">
        <v>381</v>
      </c>
      <c r="C552" s="101"/>
      <c r="D552" s="101"/>
      <c r="E552" s="101"/>
      <c r="F552" s="370" t="s">
        <v>382</v>
      </c>
      <c r="G552" s="149"/>
      <c r="H552" s="149"/>
      <c r="I552" s="329">
        <f t="shared" si="982"/>
        <v>0</v>
      </c>
      <c r="J552" s="329">
        <f t="shared" si="983"/>
        <v>0</v>
      </c>
      <c r="K552" s="274"/>
      <c r="L552" s="274"/>
      <c r="M552" s="274"/>
      <c r="N552" s="275">
        <f t="shared" si="984"/>
        <v>0</v>
      </c>
      <c r="O552" s="274"/>
      <c r="P552" s="274"/>
      <c r="Q552" s="274"/>
      <c r="R552" s="274"/>
      <c r="S552" s="274">
        <f t="shared" si="985"/>
        <v>0</v>
      </c>
      <c r="T552" s="274"/>
      <c r="U552" s="274"/>
      <c r="V552" s="274"/>
      <c r="W552" s="274"/>
      <c r="X552" s="274">
        <f t="shared" si="986"/>
        <v>0</v>
      </c>
      <c r="Y552" s="274">
        <f t="shared" si="987"/>
        <v>0</v>
      </c>
      <c r="Z552" s="274">
        <f t="shared" si="988"/>
        <v>0</v>
      </c>
      <c r="AA552" s="274"/>
      <c r="AB552" s="306">
        <f t="shared" si="989"/>
        <v>0</v>
      </c>
    </row>
    <row r="553" spans="1:28" s="90" customFormat="1" ht="14.1" hidden="1" customHeight="1" x14ac:dyDescent="0.2">
      <c r="A553" s="301"/>
      <c r="B553" s="350" t="s">
        <v>383</v>
      </c>
      <c r="C553" s="101"/>
      <c r="D553" s="101"/>
      <c r="E553" s="101"/>
      <c r="F553" s="370" t="s">
        <v>384</v>
      </c>
      <c r="G553" s="149"/>
      <c r="H553" s="149"/>
      <c r="I553" s="329">
        <f t="shared" si="982"/>
        <v>0</v>
      </c>
      <c r="J553" s="329">
        <f t="shared" si="983"/>
        <v>0</v>
      </c>
      <c r="K553" s="274"/>
      <c r="L553" s="274"/>
      <c r="M553" s="274"/>
      <c r="N553" s="275">
        <f t="shared" si="984"/>
        <v>0</v>
      </c>
      <c r="O553" s="274"/>
      <c r="P553" s="274"/>
      <c r="Q553" s="274"/>
      <c r="R553" s="274"/>
      <c r="S553" s="274">
        <f t="shared" si="985"/>
        <v>0</v>
      </c>
      <c r="T553" s="274"/>
      <c r="U553" s="274"/>
      <c r="V553" s="274"/>
      <c r="W553" s="274"/>
      <c r="X553" s="274">
        <f t="shared" si="986"/>
        <v>0</v>
      </c>
      <c r="Y553" s="274">
        <f t="shared" si="987"/>
        <v>0</v>
      </c>
      <c r="Z553" s="274">
        <f t="shared" si="988"/>
        <v>0</v>
      </c>
      <c r="AA553" s="274"/>
      <c r="AB553" s="306">
        <f t="shared" si="989"/>
        <v>0</v>
      </c>
    </row>
    <row r="554" spans="1:28" s="90" customFormat="1" ht="14.1" hidden="1" customHeight="1" x14ac:dyDescent="0.2">
      <c r="A554" s="301"/>
      <c r="B554" s="350" t="s">
        <v>385</v>
      </c>
      <c r="C554" s="101"/>
      <c r="D554" s="101"/>
      <c r="E554" s="101"/>
      <c r="F554" s="370" t="s">
        <v>386</v>
      </c>
      <c r="G554" s="149"/>
      <c r="H554" s="149"/>
      <c r="I554" s="329">
        <f t="shared" si="982"/>
        <v>0</v>
      </c>
      <c r="J554" s="329">
        <f t="shared" si="983"/>
        <v>0</v>
      </c>
      <c r="K554" s="274"/>
      <c r="L554" s="274"/>
      <c r="M554" s="274"/>
      <c r="N554" s="275">
        <f t="shared" si="984"/>
        <v>0</v>
      </c>
      <c r="O554" s="274"/>
      <c r="P554" s="274"/>
      <c r="Q554" s="274"/>
      <c r="R554" s="274"/>
      <c r="S554" s="274">
        <f t="shared" si="985"/>
        <v>0</v>
      </c>
      <c r="T554" s="274"/>
      <c r="U554" s="274"/>
      <c r="V554" s="274"/>
      <c r="W554" s="274"/>
      <c r="X554" s="274">
        <f t="shared" si="986"/>
        <v>0</v>
      </c>
      <c r="Y554" s="274">
        <f t="shared" si="987"/>
        <v>0</v>
      </c>
      <c r="Z554" s="274">
        <f t="shared" si="988"/>
        <v>0</v>
      </c>
      <c r="AA554" s="274"/>
      <c r="AB554" s="306">
        <f t="shared" si="989"/>
        <v>0</v>
      </c>
    </row>
    <row r="555" spans="1:28" s="90" customFormat="1" ht="14.1" customHeight="1" x14ac:dyDescent="0.2">
      <c r="A555" s="301"/>
      <c r="B555" s="350" t="s">
        <v>726</v>
      </c>
      <c r="C555" s="718"/>
      <c r="D555" s="718"/>
      <c r="E555" s="718"/>
      <c r="F555" s="370" t="s">
        <v>387</v>
      </c>
      <c r="G555" s="149">
        <v>101000</v>
      </c>
      <c r="H555" s="149"/>
      <c r="I555" s="329">
        <f t="shared" si="982"/>
        <v>101000</v>
      </c>
      <c r="J555" s="329">
        <f t="shared" si="983"/>
        <v>101000</v>
      </c>
      <c r="K555" s="274"/>
      <c r="L555" s="274"/>
      <c r="M555" s="274"/>
      <c r="N555" s="275">
        <f t="shared" si="984"/>
        <v>101000</v>
      </c>
      <c r="O555" s="274">
        <v>780</v>
      </c>
      <c r="P555" s="274">
        <v>400</v>
      </c>
      <c r="Q555" s="274"/>
      <c r="R555" s="274">
        <f>1000+44634</f>
        <v>45634</v>
      </c>
      <c r="S555" s="274">
        <f t="shared" si="985"/>
        <v>46814</v>
      </c>
      <c r="T555" s="274">
        <v>780</v>
      </c>
      <c r="U555" s="274">
        <v>400</v>
      </c>
      <c r="V555" s="274"/>
      <c r="W555" s="274">
        <f>1000+44634</f>
        <v>45634</v>
      </c>
      <c r="X555" s="274">
        <f t="shared" si="986"/>
        <v>46814</v>
      </c>
      <c r="Y555" s="274">
        <f t="shared" si="987"/>
        <v>0</v>
      </c>
      <c r="Z555" s="274">
        <f t="shared" si="988"/>
        <v>54186</v>
      </c>
      <c r="AA555" s="274"/>
      <c r="AB555" s="306">
        <f t="shared" si="989"/>
        <v>0</v>
      </c>
    </row>
    <row r="556" spans="1:28" s="90" customFormat="1" ht="14.1" hidden="1" customHeight="1" x14ac:dyDescent="0.2">
      <c r="A556" s="301"/>
      <c r="B556" s="350" t="s">
        <v>388</v>
      </c>
      <c r="C556" s="101"/>
      <c r="D556" s="101"/>
      <c r="E556" s="101"/>
      <c r="F556" s="370" t="s">
        <v>389</v>
      </c>
      <c r="G556" s="149"/>
      <c r="H556" s="149"/>
      <c r="I556" s="329">
        <f t="shared" si="982"/>
        <v>0</v>
      </c>
      <c r="J556" s="329">
        <f t="shared" si="983"/>
        <v>0</v>
      </c>
      <c r="K556" s="274"/>
      <c r="L556" s="274"/>
      <c r="M556" s="274"/>
      <c r="N556" s="275">
        <f t="shared" si="984"/>
        <v>0</v>
      </c>
      <c r="O556" s="274"/>
      <c r="P556" s="274"/>
      <c r="Q556" s="274"/>
      <c r="R556" s="274"/>
      <c r="S556" s="274">
        <f t="shared" si="985"/>
        <v>0</v>
      </c>
      <c r="T556" s="274"/>
      <c r="U556" s="274"/>
      <c r="V556" s="274"/>
      <c r="W556" s="274"/>
      <c r="X556" s="274">
        <f t="shared" si="986"/>
        <v>0</v>
      </c>
      <c r="Y556" s="274">
        <f t="shared" si="987"/>
        <v>0</v>
      </c>
      <c r="Z556" s="274">
        <f t="shared" si="988"/>
        <v>0</v>
      </c>
      <c r="AA556" s="274"/>
      <c r="AB556" s="306">
        <f t="shared" si="989"/>
        <v>0</v>
      </c>
    </row>
    <row r="557" spans="1:28" s="90" customFormat="1" ht="14.1" hidden="1" customHeight="1" x14ac:dyDescent="0.2">
      <c r="A557" s="301"/>
      <c r="B557" s="350" t="s">
        <v>390</v>
      </c>
      <c r="C557" s="101"/>
      <c r="D557" s="101"/>
      <c r="E557" s="101"/>
      <c r="F557" s="370" t="s">
        <v>391</v>
      </c>
      <c r="G557" s="149"/>
      <c r="H557" s="149"/>
      <c r="I557" s="329">
        <f t="shared" si="982"/>
        <v>0</v>
      </c>
      <c r="J557" s="329">
        <f t="shared" si="983"/>
        <v>0</v>
      </c>
      <c r="K557" s="274"/>
      <c r="L557" s="274"/>
      <c r="M557" s="274"/>
      <c r="N557" s="275">
        <f t="shared" si="984"/>
        <v>0</v>
      </c>
      <c r="O557" s="274"/>
      <c r="P557" s="274"/>
      <c r="Q557" s="274"/>
      <c r="R557" s="274"/>
      <c r="S557" s="274">
        <f t="shared" si="985"/>
        <v>0</v>
      </c>
      <c r="T557" s="274"/>
      <c r="U557" s="274"/>
      <c r="V557" s="274"/>
      <c r="W557" s="274"/>
      <c r="X557" s="274">
        <f t="shared" si="986"/>
        <v>0</v>
      </c>
      <c r="Y557" s="274">
        <f t="shared" si="987"/>
        <v>0</v>
      </c>
      <c r="Z557" s="274">
        <f t="shared" si="988"/>
        <v>0</v>
      </c>
      <c r="AA557" s="274"/>
      <c r="AB557" s="306">
        <f t="shared" si="989"/>
        <v>0</v>
      </c>
    </row>
    <row r="558" spans="1:28" s="90" customFormat="1" ht="14.1" hidden="1" customHeight="1" x14ac:dyDescent="0.2">
      <c r="A558" s="301"/>
      <c r="B558" s="350" t="s">
        <v>392</v>
      </c>
      <c r="C558" s="101"/>
      <c r="D558" s="101"/>
      <c r="E558" s="101"/>
      <c r="F558" s="370" t="s">
        <v>393</v>
      </c>
      <c r="G558" s="149"/>
      <c r="H558" s="149"/>
      <c r="I558" s="329">
        <f t="shared" si="982"/>
        <v>0</v>
      </c>
      <c r="J558" s="329">
        <f t="shared" si="983"/>
        <v>0</v>
      </c>
      <c r="K558" s="274"/>
      <c r="L558" s="274"/>
      <c r="M558" s="274"/>
      <c r="N558" s="275">
        <f t="shared" si="984"/>
        <v>0</v>
      </c>
      <c r="O558" s="274"/>
      <c r="P558" s="274"/>
      <c r="Q558" s="274"/>
      <c r="R558" s="274"/>
      <c r="S558" s="274">
        <f t="shared" si="985"/>
        <v>0</v>
      </c>
      <c r="T558" s="274"/>
      <c r="U558" s="274"/>
      <c r="V558" s="274"/>
      <c r="W558" s="274"/>
      <c r="X558" s="274">
        <f t="shared" si="986"/>
        <v>0</v>
      </c>
      <c r="Y558" s="274">
        <f t="shared" si="987"/>
        <v>0</v>
      </c>
      <c r="Z558" s="274">
        <f t="shared" si="988"/>
        <v>0</v>
      </c>
      <c r="AA558" s="274"/>
      <c r="AB558" s="306">
        <f t="shared" si="989"/>
        <v>0</v>
      </c>
    </row>
    <row r="559" spans="1:28" s="90" customFormat="1" ht="14.1" hidden="1" customHeight="1" x14ac:dyDescent="0.2">
      <c r="A559" s="301"/>
      <c r="B559" s="350" t="s">
        <v>394</v>
      </c>
      <c r="C559" s="101"/>
      <c r="D559" s="101"/>
      <c r="E559" s="101"/>
      <c r="F559" s="370" t="s">
        <v>395</v>
      </c>
      <c r="G559" s="149"/>
      <c r="H559" s="149"/>
      <c r="I559" s="329">
        <f t="shared" si="982"/>
        <v>0</v>
      </c>
      <c r="J559" s="329">
        <f t="shared" si="983"/>
        <v>0</v>
      </c>
      <c r="K559" s="274"/>
      <c r="L559" s="274"/>
      <c r="M559" s="274"/>
      <c r="N559" s="275">
        <f t="shared" si="984"/>
        <v>0</v>
      </c>
      <c r="O559" s="274"/>
      <c r="P559" s="274"/>
      <c r="Q559" s="274"/>
      <c r="R559" s="274"/>
      <c r="S559" s="274">
        <f t="shared" si="985"/>
        <v>0</v>
      </c>
      <c r="T559" s="274"/>
      <c r="U559" s="274"/>
      <c r="V559" s="274"/>
      <c r="W559" s="274"/>
      <c r="X559" s="274">
        <f t="shared" si="986"/>
        <v>0</v>
      </c>
      <c r="Y559" s="274">
        <f t="shared" si="987"/>
        <v>0</v>
      </c>
      <c r="Z559" s="274">
        <f t="shared" si="988"/>
        <v>0</v>
      </c>
      <c r="AA559" s="274"/>
      <c r="AB559" s="306">
        <f t="shared" si="989"/>
        <v>0</v>
      </c>
    </row>
    <row r="560" spans="1:28" s="90" customFormat="1" ht="14.1" hidden="1" customHeight="1" x14ac:dyDescent="0.2">
      <c r="A560" s="301"/>
      <c r="B560" s="350" t="s">
        <v>396</v>
      </c>
      <c r="C560" s="101"/>
      <c r="D560" s="101"/>
      <c r="E560" s="101"/>
      <c r="F560" s="370" t="s">
        <v>397</v>
      </c>
      <c r="G560" s="149"/>
      <c r="H560" s="149"/>
      <c r="I560" s="329">
        <f t="shared" si="982"/>
        <v>0</v>
      </c>
      <c r="J560" s="329">
        <f t="shared" si="983"/>
        <v>0</v>
      </c>
      <c r="K560" s="274"/>
      <c r="L560" s="274"/>
      <c r="M560" s="274"/>
      <c r="N560" s="275">
        <f t="shared" si="984"/>
        <v>0</v>
      </c>
      <c r="O560" s="274"/>
      <c r="P560" s="274"/>
      <c r="Q560" s="274"/>
      <c r="R560" s="274"/>
      <c r="S560" s="274">
        <f t="shared" si="985"/>
        <v>0</v>
      </c>
      <c r="T560" s="274"/>
      <c r="U560" s="274"/>
      <c r="V560" s="274"/>
      <c r="W560" s="274"/>
      <c r="X560" s="274">
        <f t="shared" si="986"/>
        <v>0</v>
      </c>
      <c r="Y560" s="274">
        <f t="shared" si="987"/>
        <v>0</v>
      </c>
      <c r="Z560" s="274">
        <f t="shared" si="988"/>
        <v>0</v>
      </c>
      <c r="AA560" s="274"/>
      <c r="AB560" s="306">
        <f t="shared" si="989"/>
        <v>0</v>
      </c>
    </row>
    <row r="561" spans="1:28" s="90" customFormat="1" ht="14.1" customHeight="1" x14ac:dyDescent="0.2">
      <c r="A561" s="301"/>
      <c r="B561" s="350" t="s">
        <v>398</v>
      </c>
      <c r="C561" s="101"/>
      <c r="D561" s="101"/>
      <c r="E561" s="101"/>
      <c r="F561" s="370" t="s">
        <v>399</v>
      </c>
      <c r="G561" s="149">
        <v>90000</v>
      </c>
      <c r="H561" s="149"/>
      <c r="I561" s="329">
        <f t="shared" si="982"/>
        <v>90000</v>
      </c>
      <c r="J561" s="329">
        <f t="shared" si="983"/>
        <v>90000</v>
      </c>
      <c r="K561" s="274"/>
      <c r="L561" s="274"/>
      <c r="M561" s="274"/>
      <c r="N561" s="275">
        <f t="shared" si="984"/>
        <v>90000</v>
      </c>
      <c r="O561" s="274"/>
      <c r="P561" s="274">
        <v>1050</v>
      </c>
      <c r="Q561" s="274">
        <v>152.94999999999999</v>
      </c>
      <c r="R561" s="274"/>
      <c r="S561" s="274">
        <f t="shared" si="985"/>
        <v>1202.95</v>
      </c>
      <c r="T561" s="274"/>
      <c r="U561" s="274">
        <v>1050</v>
      </c>
      <c r="V561" s="274">
        <v>152.94999999999999</v>
      </c>
      <c r="W561" s="274"/>
      <c r="X561" s="274">
        <f t="shared" si="986"/>
        <v>1202.95</v>
      </c>
      <c r="Y561" s="274">
        <f t="shared" si="987"/>
        <v>0</v>
      </c>
      <c r="Z561" s="274">
        <f t="shared" si="988"/>
        <v>88797.05</v>
      </c>
      <c r="AA561" s="274"/>
      <c r="AB561" s="306">
        <f t="shared" si="989"/>
        <v>0</v>
      </c>
    </row>
    <row r="562" spans="1:28" s="90" customFormat="1" ht="14.1" hidden="1" customHeight="1" x14ac:dyDescent="0.2">
      <c r="A562" s="301"/>
      <c r="B562" s="350" t="s">
        <v>400</v>
      </c>
      <c r="C562" s="101"/>
      <c r="D562" s="101"/>
      <c r="E562" s="101"/>
      <c r="F562" s="370" t="s">
        <v>401</v>
      </c>
      <c r="G562" s="149"/>
      <c r="H562" s="149"/>
      <c r="I562" s="329">
        <f t="shared" si="982"/>
        <v>0</v>
      </c>
      <c r="J562" s="329">
        <f t="shared" si="983"/>
        <v>0</v>
      </c>
      <c r="K562" s="274"/>
      <c r="L562" s="274"/>
      <c r="M562" s="274"/>
      <c r="N562" s="275">
        <f t="shared" si="984"/>
        <v>0</v>
      </c>
      <c r="O562" s="274"/>
      <c r="P562" s="274"/>
      <c r="Q562" s="274"/>
      <c r="R562" s="274"/>
      <c r="S562" s="274">
        <f t="shared" si="985"/>
        <v>0</v>
      </c>
      <c r="T562" s="274"/>
      <c r="U562" s="274"/>
      <c r="V562" s="274"/>
      <c r="W562" s="274"/>
      <c r="X562" s="274">
        <f t="shared" si="986"/>
        <v>0</v>
      </c>
      <c r="Y562" s="274">
        <f t="shared" si="987"/>
        <v>0</v>
      </c>
      <c r="Z562" s="274">
        <f t="shared" si="988"/>
        <v>0</v>
      </c>
      <c r="AA562" s="274"/>
      <c r="AB562" s="306">
        <f t="shared" si="989"/>
        <v>0</v>
      </c>
    </row>
    <row r="563" spans="1:28" s="90" customFormat="1" ht="14.1" hidden="1" customHeight="1" x14ac:dyDescent="0.2">
      <c r="A563" s="301"/>
      <c r="B563" s="350" t="s">
        <v>402</v>
      </c>
      <c r="C563" s="101"/>
      <c r="D563" s="101"/>
      <c r="E563" s="101"/>
      <c r="F563" s="370" t="s">
        <v>403</v>
      </c>
      <c r="G563" s="149"/>
      <c r="H563" s="149"/>
      <c r="I563" s="329">
        <f t="shared" si="982"/>
        <v>0</v>
      </c>
      <c r="J563" s="329">
        <f t="shared" si="983"/>
        <v>0</v>
      </c>
      <c r="K563" s="274"/>
      <c r="L563" s="274"/>
      <c r="M563" s="274"/>
      <c r="N563" s="275">
        <f t="shared" si="984"/>
        <v>0</v>
      </c>
      <c r="O563" s="274"/>
      <c r="P563" s="274"/>
      <c r="Q563" s="274"/>
      <c r="R563" s="274"/>
      <c r="S563" s="274">
        <f t="shared" si="985"/>
        <v>0</v>
      </c>
      <c r="T563" s="274"/>
      <c r="U563" s="274"/>
      <c r="V563" s="274"/>
      <c r="W563" s="274"/>
      <c r="X563" s="274">
        <f t="shared" si="986"/>
        <v>0</v>
      </c>
      <c r="Y563" s="274">
        <f t="shared" si="987"/>
        <v>0</v>
      </c>
      <c r="Z563" s="274">
        <f t="shared" si="988"/>
        <v>0</v>
      </c>
      <c r="AA563" s="274"/>
      <c r="AB563" s="306">
        <f t="shared" si="989"/>
        <v>0</v>
      </c>
    </row>
    <row r="564" spans="1:28" s="90" customFormat="1" ht="14.1" hidden="1" customHeight="1" x14ac:dyDescent="0.2">
      <c r="A564" s="301"/>
      <c r="B564" s="350" t="s">
        <v>404</v>
      </c>
      <c r="C564" s="101"/>
      <c r="D564" s="101"/>
      <c r="E564" s="101"/>
      <c r="F564" s="370" t="s">
        <v>405</v>
      </c>
      <c r="G564" s="149"/>
      <c r="H564" s="149"/>
      <c r="I564" s="329">
        <f t="shared" si="982"/>
        <v>0</v>
      </c>
      <c r="J564" s="329">
        <f t="shared" si="983"/>
        <v>0</v>
      </c>
      <c r="K564" s="274"/>
      <c r="L564" s="274"/>
      <c r="M564" s="274"/>
      <c r="N564" s="275">
        <f t="shared" si="984"/>
        <v>0</v>
      </c>
      <c r="O564" s="274"/>
      <c r="P564" s="274"/>
      <c r="Q564" s="274"/>
      <c r="R564" s="274"/>
      <c r="S564" s="274">
        <f t="shared" si="985"/>
        <v>0</v>
      </c>
      <c r="T564" s="274"/>
      <c r="U564" s="274"/>
      <c r="V564" s="274"/>
      <c r="W564" s="274"/>
      <c r="X564" s="274">
        <f t="shared" si="986"/>
        <v>0</v>
      </c>
      <c r="Y564" s="274">
        <f t="shared" si="987"/>
        <v>0</v>
      </c>
      <c r="Z564" s="274">
        <f t="shared" si="988"/>
        <v>0</v>
      </c>
      <c r="AA564" s="274"/>
      <c r="AB564" s="306">
        <f t="shared" si="989"/>
        <v>0</v>
      </c>
    </row>
    <row r="565" spans="1:28" s="90" customFormat="1" ht="14.1" hidden="1" customHeight="1" x14ac:dyDescent="0.2">
      <c r="A565" s="301"/>
      <c r="B565" s="350" t="s">
        <v>727</v>
      </c>
      <c r="C565" s="718"/>
      <c r="D565" s="718"/>
      <c r="E565" s="718"/>
      <c r="F565" s="370" t="s">
        <v>728</v>
      </c>
      <c r="G565" s="149"/>
      <c r="H565" s="149"/>
      <c r="I565" s="329">
        <f t="shared" ref="I565" si="990">G565+H565</f>
        <v>0</v>
      </c>
      <c r="J565" s="329">
        <f t="shared" ref="J565" si="991">I565</f>
        <v>0</v>
      </c>
      <c r="K565" s="274"/>
      <c r="L565" s="274"/>
      <c r="M565" s="274"/>
      <c r="N565" s="275">
        <f t="shared" si="984"/>
        <v>0</v>
      </c>
      <c r="O565" s="274"/>
      <c r="P565" s="274"/>
      <c r="Q565" s="274"/>
      <c r="R565" s="274"/>
      <c r="S565" s="274">
        <f t="shared" ref="S565" si="992">SUM(O565:R565)</f>
        <v>0</v>
      </c>
      <c r="T565" s="274"/>
      <c r="U565" s="274"/>
      <c r="V565" s="274"/>
      <c r="W565" s="274"/>
      <c r="X565" s="274">
        <f t="shared" ref="X565" si="993">SUM(T565:W565)</f>
        <v>0</v>
      </c>
      <c r="Y565" s="274">
        <f t="shared" ref="Y565" si="994">I565-N565</f>
        <v>0</v>
      </c>
      <c r="Z565" s="274">
        <f t="shared" ref="Z565" si="995">N565-S565</f>
        <v>0</v>
      </c>
      <c r="AA565" s="274"/>
      <c r="AB565" s="306">
        <f t="shared" ref="AB565" si="996">+S565-X565-AA565</f>
        <v>0</v>
      </c>
    </row>
    <row r="566" spans="1:28" s="90" customFormat="1" ht="14.1" hidden="1" customHeight="1" x14ac:dyDescent="0.2">
      <c r="A566" s="301"/>
      <c r="B566" s="350" t="s">
        <v>406</v>
      </c>
      <c r="C566" s="101"/>
      <c r="D566" s="101"/>
      <c r="E566" s="101"/>
      <c r="F566" s="370" t="s">
        <v>407</v>
      </c>
      <c r="G566" s="149"/>
      <c r="H566" s="149"/>
      <c r="I566" s="329">
        <f t="shared" si="982"/>
        <v>0</v>
      </c>
      <c r="J566" s="329">
        <f t="shared" si="983"/>
        <v>0</v>
      </c>
      <c r="K566" s="274"/>
      <c r="L566" s="274"/>
      <c r="M566" s="274"/>
      <c r="N566" s="275">
        <f t="shared" si="984"/>
        <v>0</v>
      </c>
      <c r="O566" s="274"/>
      <c r="P566" s="274"/>
      <c r="Q566" s="274"/>
      <c r="R566" s="274"/>
      <c r="S566" s="274">
        <f t="shared" si="985"/>
        <v>0</v>
      </c>
      <c r="T566" s="274"/>
      <c r="U566" s="274"/>
      <c r="V566" s="274"/>
      <c r="W566" s="274"/>
      <c r="X566" s="274">
        <f t="shared" si="986"/>
        <v>0</v>
      </c>
      <c r="Y566" s="274">
        <f t="shared" si="987"/>
        <v>0</v>
      </c>
      <c r="Z566" s="274">
        <f t="shared" si="988"/>
        <v>0</v>
      </c>
      <c r="AA566" s="274"/>
      <c r="AB566" s="306">
        <f t="shared" si="989"/>
        <v>0</v>
      </c>
    </row>
    <row r="567" spans="1:28" s="90" customFormat="1" ht="14.1" customHeight="1" x14ac:dyDescent="0.2">
      <c r="A567" s="301"/>
      <c r="B567" s="351" t="s">
        <v>408</v>
      </c>
      <c r="C567" s="101"/>
      <c r="D567" s="101"/>
      <c r="E567" s="101"/>
      <c r="F567" s="370"/>
      <c r="G567" s="149"/>
      <c r="H567" s="149"/>
      <c r="I567" s="149"/>
      <c r="J567" s="14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  <c r="AB567" s="583"/>
    </row>
    <row r="568" spans="1:28" s="90" customFormat="1" ht="14.1" customHeight="1" x14ac:dyDescent="0.2">
      <c r="A568" s="301"/>
      <c r="B568" s="350" t="s">
        <v>409</v>
      </c>
      <c r="C568" s="101"/>
      <c r="D568" s="101"/>
      <c r="E568" s="101"/>
      <c r="F568" s="370" t="s">
        <v>410</v>
      </c>
      <c r="G568" s="149">
        <v>6000</v>
      </c>
      <c r="H568" s="149"/>
      <c r="I568" s="329">
        <f t="shared" ref="I568:I570" si="997">G568+H568</f>
        <v>6000</v>
      </c>
      <c r="J568" s="329">
        <f t="shared" ref="J568:J570" si="998">I568</f>
        <v>6000</v>
      </c>
      <c r="K568" s="274"/>
      <c r="L568" s="274"/>
      <c r="M568" s="274"/>
      <c r="N568" s="275">
        <f t="shared" ref="N568:N570" si="999">J568+K568-L568+M568</f>
        <v>6000</v>
      </c>
      <c r="O568" s="274"/>
      <c r="P568" s="274"/>
      <c r="Q568" s="274"/>
      <c r="R568" s="274">
        <v>1574.36</v>
      </c>
      <c r="S568" s="274">
        <f t="shared" ref="S568:S570" si="1000">SUM(O568:R568)</f>
        <v>1574.36</v>
      </c>
      <c r="T568" s="274"/>
      <c r="U568" s="274"/>
      <c r="V568" s="274"/>
      <c r="W568" s="274">
        <v>1574.36</v>
      </c>
      <c r="X568" s="274">
        <f t="shared" ref="X568:X570" si="1001">SUM(T568:W568)</f>
        <v>1574.36</v>
      </c>
      <c r="Y568" s="274">
        <f t="shared" ref="Y568:Y570" si="1002">I568-N568</f>
        <v>0</v>
      </c>
      <c r="Z568" s="274">
        <f t="shared" ref="Z568:Z570" si="1003">N568-S568</f>
        <v>4425.6400000000003</v>
      </c>
      <c r="AA568" s="274"/>
      <c r="AB568" s="306">
        <f t="shared" ref="AB568:AB570" si="1004">+S568-X568-AA568</f>
        <v>0</v>
      </c>
    </row>
    <row r="569" spans="1:28" s="90" customFormat="1" ht="14.1" customHeight="1" x14ac:dyDescent="0.2">
      <c r="A569" s="301"/>
      <c r="B569" s="350" t="s">
        <v>411</v>
      </c>
      <c r="C569" s="101"/>
      <c r="D569" s="101"/>
      <c r="E569" s="101"/>
      <c r="F569" s="370" t="s">
        <v>412</v>
      </c>
      <c r="G569" s="149">
        <v>16000</v>
      </c>
      <c r="H569" s="149"/>
      <c r="I569" s="329">
        <f t="shared" si="997"/>
        <v>16000</v>
      </c>
      <c r="J569" s="329">
        <f t="shared" si="998"/>
        <v>16000</v>
      </c>
      <c r="K569" s="274"/>
      <c r="L569" s="274"/>
      <c r="M569" s="274"/>
      <c r="N569" s="275">
        <f t="shared" si="999"/>
        <v>16000</v>
      </c>
      <c r="O569" s="274"/>
      <c r="P569" s="274">
        <v>5253.75</v>
      </c>
      <c r="Q569" s="274"/>
      <c r="R569" s="274"/>
      <c r="S569" s="274">
        <f t="shared" si="1000"/>
        <v>5253.75</v>
      </c>
      <c r="T569" s="274"/>
      <c r="U569" s="274">
        <v>5253.75</v>
      </c>
      <c r="V569" s="274"/>
      <c r="W569" s="274"/>
      <c r="X569" s="274">
        <f t="shared" si="1001"/>
        <v>5253.75</v>
      </c>
      <c r="Y569" s="274">
        <f t="shared" si="1002"/>
        <v>0</v>
      </c>
      <c r="Z569" s="274">
        <f t="shared" si="1003"/>
        <v>10746.25</v>
      </c>
      <c r="AA569" s="274"/>
      <c r="AB569" s="306">
        <f t="shared" si="1004"/>
        <v>0</v>
      </c>
    </row>
    <row r="570" spans="1:28" s="90" customFormat="1" ht="14.1" customHeight="1" x14ac:dyDescent="0.2">
      <c r="A570" s="301"/>
      <c r="B570" s="350" t="s">
        <v>413</v>
      </c>
      <c r="C570" s="101"/>
      <c r="D570" s="101"/>
      <c r="E570" s="101"/>
      <c r="F570" s="370" t="s">
        <v>414</v>
      </c>
      <c r="G570" s="149">
        <v>59000</v>
      </c>
      <c r="H570" s="149"/>
      <c r="I570" s="329">
        <f t="shared" si="997"/>
        <v>59000</v>
      </c>
      <c r="J570" s="329">
        <f t="shared" si="998"/>
        <v>59000</v>
      </c>
      <c r="K570" s="274"/>
      <c r="L570" s="274"/>
      <c r="M570" s="274"/>
      <c r="N570" s="275">
        <f t="shared" si="999"/>
        <v>59000</v>
      </c>
      <c r="O570" s="274"/>
      <c r="P570" s="274"/>
      <c r="Q570" s="274"/>
      <c r="R570" s="274"/>
      <c r="S570" s="274">
        <f t="shared" si="1000"/>
        <v>0</v>
      </c>
      <c r="T570" s="274"/>
      <c r="U570" s="274"/>
      <c r="V570" s="274"/>
      <c r="W570" s="274"/>
      <c r="X570" s="274">
        <f t="shared" si="1001"/>
        <v>0</v>
      </c>
      <c r="Y570" s="274">
        <f t="shared" si="1002"/>
        <v>0</v>
      </c>
      <c r="Z570" s="274">
        <f t="shared" si="1003"/>
        <v>59000</v>
      </c>
      <c r="AA570" s="274"/>
      <c r="AB570" s="306">
        <f t="shared" si="1004"/>
        <v>0</v>
      </c>
    </row>
    <row r="571" spans="1:28" s="90" customFormat="1" ht="14.1" customHeight="1" x14ac:dyDescent="0.2">
      <c r="A571" s="301"/>
      <c r="B571" s="351" t="s">
        <v>415</v>
      </c>
      <c r="C571" s="101"/>
      <c r="D571" s="101"/>
      <c r="E571" s="101"/>
      <c r="F571" s="370"/>
      <c r="G571" s="149"/>
      <c r="H571" s="149"/>
      <c r="I571" s="149"/>
      <c r="J571" s="14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  <c r="AB571" s="583"/>
    </row>
    <row r="572" spans="1:28" s="90" customFormat="1" ht="14.1" hidden="1" customHeight="1" x14ac:dyDescent="0.2">
      <c r="A572" s="301"/>
      <c r="B572" s="350" t="s">
        <v>416</v>
      </c>
      <c r="C572" s="101"/>
      <c r="D572" s="101"/>
      <c r="E572" s="101"/>
      <c r="F572" s="370" t="s">
        <v>417</v>
      </c>
      <c r="G572" s="149"/>
      <c r="H572" s="149"/>
      <c r="I572" s="329">
        <f t="shared" ref="I572:I584" si="1005">G572+H572</f>
        <v>0</v>
      </c>
      <c r="J572" s="329">
        <f t="shared" ref="J572:J584" si="1006">I572</f>
        <v>0</v>
      </c>
      <c r="K572" s="274"/>
      <c r="L572" s="274"/>
      <c r="M572" s="274"/>
      <c r="N572" s="275">
        <f t="shared" ref="N572:N584" si="1007">J572+K572-L572+M572</f>
        <v>0</v>
      </c>
      <c r="O572" s="274"/>
      <c r="P572" s="274"/>
      <c r="Q572" s="274"/>
      <c r="R572" s="274"/>
      <c r="S572" s="274">
        <f t="shared" ref="S572:S584" si="1008">SUM(O572:R572)</f>
        <v>0</v>
      </c>
      <c r="T572" s="274"/>
      <c r="U572" s="274"/>
      <c r="V572" s="274"/>
      <c r="W572" s="274"/>
      <c r="X572" s="274">
        <f t="shared" ref="X572:X584" si="1009">SUM(T572:W572)</f>
        <v>0</v>
      </c>
      <c r="Y572" s="274">
        <f t="shared" ref="Y572:Y584" si="1010">I572-N572</f>
        <v>0</v>
      </c>
      <c r="Z572" s="274">
        <f t="shared" ref="Z572:Z584" si="1011">N572-S572</f>
        <v>0</v>
      </c>
      <c r="AA572" s="274"/>
      <c r="AB572" s="306">
        <f t="shared" ref="AB572:AB584" si="1012">+S572-X572-AA572</f>
        <v>0</v>
      </c>
    </row>
    <row r="573" spans="1:28" s="90" customFormat="1" ht="14.1" hidden="1" customHeight="1" x14ac:dyDescent="0.2">
      <c r="A573" s="301"/>
      <c r="B573" s="350" t="s">
        <v>418</v>
      </c>
      <c r="C573" s="101"/>
      <c r="D573" s="101"/>
      <c r="E573" s="101"/>
      <c r="F573" s="370" t="s">
        <v>419</v>
      </c>
      <c r="G573" s="149"/>
      <c r="H573" s="149"/>
      <c r="I573" s="329">
        <f t="shared" si="1005"/>
        <v>0</v>
      </c>
      <c r="J573" s="329">
        <f t="shared" si="1006"/>
        <v>0</v>
      </c>
      <c r="K573" s="274"/>
      <c r="L573" s="274"/>
      <c r="M573" s="274"/>
      <c r="N573" s="275">
        <f t="shared" si="1007"/>
        <v>0</v>
      </c>
      <c r="O573" s="274"/>
      <c r="P573" s="274"/>
      <c r="Q573" s="274"/>
      <c r="R573" s="274"/>
      <c r="S573" s="274">
        <f t="shared" si="1008"/>
        <v>0</v>
      </c>
      <c r="T573" s="274"/>
      <c r="U573" s="274"/>
      <c r="V573" s="274"/>
      <c r="W573" s="274"/>
      <c r="X573" s="274">
        <f t="shared" si="1009"/>
        <v>0</v>
      </c>
      <c r="Y573" s="274">
        <f t="shared" si="1010"/>
        <v>0</v>
      </c>
      <c r="Z573" s="274">
        <f t="shared" si="1011"/>
        <v>0</v>
      </c>
      <c r="AA573" s="274"/>
      <c r="AB573" s="306">
        <f t="shared" si="1012"/>
        <v>0</v>
      </c>
    </row>
    <row r="574" spans="1:28" s="90" customFormat="1" ht="14.1" hidden="1" customHeight="1" x14ac:dyDescent="0.2">
      <c r="A574" s="301"/>
      <c r="B574" s="350" t="s">
        <v>420</v>
      </c>
      <c r="C574" s="101"/>
      <c r="D574" s="101"/>
      <c r="E574" s="101"/>
      <c r="F574" s="370" t="s">
        <v>421</v>
      </c>
      <c r="G574" s="149"/>
      <c r="H574" s="149"/>
      <c r="I574" s="329">
        <f t="shared" si="1005"/>
        <v>0</v>
      </c>
      <c r="J574" s="329">
        <f t="shared" si="1006"/>
        <v>0</v>
      </c>
      <c r="K574" s="274"/>
      <c r="L574" s="274"/>
      <c r="M574" s="274"/>
      <c r="N574" s="275">
        <f t="shared" si="1007"/>
        <v>0</v>
      </c>
      <c r="O574" s="274"/>
      <c r="P574" s="274"/>
      <c r="Q574" s="274"/>
      <c r="R574" s="274"/>
      <c r="S574" s="274">
        <f t="shared" si="1008"/>
        <v>0</v>
      </c>
      <c r="T574" s="274"/>
      <c r="U574" s="274"/>
      <c r="V574" s="274"/>
      <c r="W574" s="274"/>
      <c r="X574" s="274">
        <f t="shared" si="1009"/>
        <v>0</v>
      </c>
      <c r="Y574" s="274">
        <f t="shared" si="1010"/>
        <v>0</v>
      </c>
      <c r="Z574" s="274">
        <f t="shared" si="1011"/>
        <v>0</v>
      </c>
      <c r="AA574" s="274"/>
      <c r="AB574" s="306">
        <f t="shared" si="1012"/>
        <v>0</v>
      </c>
    </row>
    <row r="575" spans="1:28" s="90" customFormat="1" ht="14.1" customHeight="1" x14ac:dyDescent="0.2">
      <c r="A575" s="301"/>
      <c r="B575" s="350" t="s">
        <v>422</v>
      </c>
      <c r="C575" s="101"/>
      <c r="D575" s="101"/>
      <c r="E575" s="101"/>
      <c r="F575" s="370" t="s">
        <v>423</v>
      </c>
      <c r="G575" s="149">
        <v>6000</v>
      </c>
      <c r="H575" s="149"/>
      <c r="I575" s="329">
        <f t="shared" si="1005"/>
        <v>6000</v>
      </c>
      <c r="J575" s="329">
        <f t="shared" si="1006"/>
        <v>6000</v>
      </c>
      <c r="K575" s="274"/>
      <c r="L575" s="274"/>
      <c r="M575" s="274"/>
      <c r="N575" s="275">
        <f t="shared" si="1007"/>
        <v>6000</v>
      </c>
      <c r="O575" s="274">
        <v>1400</v>
      </c>
      <c r="P575" s="274"/>
      <c r="Q575" s="274">
        <f>3400+1200</f>
        <v>4600</v>
      </c>
      <c r="R575" s="274"/>
      <c r="S575" s="274">
        <f t="shared" si="1008"/>
        <v>6000</v>
      </c>
      <c r="T575" s="274">
        <v>1400</v>
      </c>
      <c r="U575" s="274"/>
      <c r="V575" s="274">
        <f>3400+1195</f>
        <v>4595</v>
      </c>
      <c r="W575" s="274"/>
      <c r="X575" s="274">
        <f t="shared" si="1009"/>
        <v>5995</v>
      </c>
      <c r="Y575" s="274">
        <f t="shared" si="1010"/>
        <v>0</v>
      </c>
      <c r="Z575" s="274">
        <f t="shared" si="1011"/>
        <v>0</v>
      </c>
      <c r="AA575" s="274">
        <v>5</v>
      </c>
      <c r="AB575" s="306">
        <f t="shared" si="1012"/>
        <v>0</v>
      </c>
    </row>
    <row r="576" spans="1:28" s="90" customFormat="1" ht="14.1" customHeight="1" x14ac:dyDescent="0.2">
      <c r="A576" s="301"/>
      <c r="B576" s="350" t="s">
        <v>424</v>
      </c>
      <c r="C576" s="101"/>
      <c r="D576" s="101"/>
      <c r="E576" s="101"/>
      <c r="F576" s="370" t="s">
        <v>425</v>
      </c>
      <c r="G576" s="149">
        <v>24000</v>
      </c>
      <c r="H576" s="149"/>
      <c r="I576" s="329">
        <f t="shared" si="1005"/>
        <v>24000</v>
      </c>
      <c r="J576" s="329">
        <f t="shared" si="1006"/>
        <v>24000</v>
      </c>
      <c r="K576" s="274"/>
      <c r="L576" s="274"/>
      <c r="M576" s="274"/>
      <c r="N576" s="275">
        <f t="shared" si="1007"/>
        <v>24000</v>
      </c>
      <c r="O576" s="274"/>
      <c r="P576" s="274"/>
      <c r="Q576" s="274">
        <v>24000</v>
      </c>
      <c r="R576" s="274"/>
      <c r="S576" s="274">
        <f t="shared" si="1008"/>
        <v>24000</v>
      </c>
      <c r="T576" s="274"/>
      <c r="U576" s="274"/>
      <c r="V576" s="274">
        <v>24000</v>
      </c>
      <c r="W576" s="274"/>
      <c r="X576" s="274">
        <f t="shared" si="1009"/>
        <v>24000</v>
      </c>
      <c r="Y576" s="274">
        <f t="shared" si="1010"/>
        <v>0</v>
      </c>
      <c r="Z576" s="274">
        <f t="shared" si="1011"/>
        <v>0</v>
      </c>
      <c r="AA576" s="274"/>
      <c r="AB576" s="306">
        <f t="shared" si="1012"/>
        <v>0</v>
      </c>
    </row>
    <row r="577" spans="1:28" s="90" customFormat="1" ht="14.1" hidden="1" customHeight="1" x14ac:dyDescent="0.2">
      <c r="A577" s="301"/>
      <c r="B577" s="350" t="s">
        <v>426</v>
      </c>
      <c r="C577" s="101"/>
      <c r="D577" s="101"/>
      <c r="E577" s="101"/>
      <c r="F577" s="370" t="s">
        <v>427</v>
      </c>
      <c r="G577" s="149"/>
      <c r="H577" s="149"/>
      <c r="I577" s="329">
        <f t="shared" si="1005"/>
        <v>0</v>
      </c>
      <c r="J577" s="329">
        <f t="shared" si="1006"/>
        <v>0</v>
      </c>
      <c r="K577" s="274"/>
      <c r="L577" s="274"/>
      <c r="M577" s="274"/>
      <c r="N577" s="275">
        <f t="shared" si="1007"/>
        <v>0</v>
      </c>
      <c r="O577" s="274"/>
      <c r="P577" s="274"/>
      <c r="Q577" s="274"/>
      <c r="R577" s="274"/>
      <c r="S577" s="274">
        <f t="shared" si="1008"/>
        <v>0</v>
      </c>
      <c r="T577" s="274"/>
      <c r="U577" s="274"/>
      <c r="V577" s="274"/>
      <c r="W577" s="274"/>
      <c r="X577" s="274">
        <f t="shared" si="1009"/>
        <v>0</v>
      </c>
      <c r="Y577" s="274">
        <f t="shared" si="1010"/>
        <v>0</v>
      </c>
      <c r="Z577" s="274">
        <f t="shared" si="1011"/>
        <v>0</v>
      </c>
      <c r="AA577" s="274"/>
      <c r="AB577" s="306">
        <f t="shared" si="1012"/>
        <v>0</v>
      </c>
    </row>
    <row r="578" spans="1:28" s="90" customFormat="1" ht="14.1" hidden="1" customHeight="1" x14ac:dyDescent="0.2">
      <c r="A578" s="301"/>
      <c r="B578" s="350" t="s">
        <v>428</v>
      </c>
      <c r="C578" s="101"/>
      <c r="D578" s="101"/>
      <c r="E578" s="101"/>
      <c r="F578" s="370" t="s">
        <v>429</v>
      </c>
      <c r="G578" s="149"/>
      <c r="H578" s="149"/>
      <c r="I578" s="329">
        <f t="shared" si="1005"/>
        <v>0</v>
      </c>
      <c r="J578" s="329">
        <f t="shared" si="1006"/>
        <v>0</v>
      </c>
      <c r="K578" s="274"/>
      <c r="L578" s="274"/>
      <c r="M578" s="274"/>
      <c r="N578" s="275">
        <f t="shared" si="1007"/>
        <v>0</v>
      </c>
      <c r="O578" s="274"/>
      <c r="P578" s="274"/>
      <c r="Q578" s="274"/>
      <c r="R578" s="274"/>
      <c r="S578" s="274">
        <f t="shared" si="1008"/>
        <v>0</v>
      </c>
      <c r="T578" s="274"/>
      <c r="U578" s="274"/>
      <c r="V578" s="274"/>
      <c r="W578" s="274"/>
      <c r="X578" s="274">
        <f t="shared" si="1009"/>
        <v>0</v>
      </c>
      <c r="Y578" s="274">
        <f t="shared" si="1010"/>
        <v>0</v>
      </c>
      <c r="Z578" s="274">
        <f t="shared" si="1011"/>
        <v>0</v>
      </c>
      <c r="AA578" s="274"/>
      <c r="AB578" s="306">
        <f t="shared" si="1012"/>
        <v>0</v>
      </c>
    </row>
    <row r="579" spans="1:28" s="90" customFormat="1" ht="14.1" hidden="1" customHeight="1" x14ac:dyDescent="0.2">
      <c r="A579" s="301"/>
      <c r="B579" s="350" t="s">
        <v>718</v>
      </c>
      <c r="C579" s="615"/>
      <c r="D579" s="615"/>
      <c r="E579" s="615"/>
      <c r="F579" s="370" t="s">
        <v>719</v>
      </c>
      <c r="G579" s="149"/>
      <c r="H579" s="149"/>
      <c r="I579" s="329">
        <f t="shared" si="1005"/>
        <v>0</v>
      </c>
      <c r="J579" s="329">
        <f t="shared" si="1006"/>
        <v>0</v>
      </c>
      <c r="K579" s="274"/>
      <c r="L579" s="274"/>
      <c r="M579" s="274"/>
      <c r="N579" s="275">
        <f t="shared" si="1007"/>
        <v>0</v>
      </c>
      <c r="O579" s="274"/>
      <c r="P579" s="274"/>
      <c r="Q579" s="274"/>
      <c r="R579" s="274"/>
      <c r="S579" s="274">
        <f t="shared" si="1008"/>
        <v>0</v>
      </c>
      <c r="T579" s="274"/>
      <c r="U579" s="274"/>
      <c r="V579" s="274"/>
      <c r="W579" s="274"/>
      <c r="X579" s="274">
        <f t="shared" si="1009"/>
        <v>0</v>
      </c>
      <c r="Y579" s="274">
        <f t="shared" si="1010"/>
        <v>0</v>
      </c>
      <c r="Z579" s="274">
        <f t="shared" si="1011"/>
        <v>0</v>
      </c>
      <c r="AA579" s="274"/>
      <c r="AB579" s="306">
        <f t="shared" si="1012"/>
        <v>0</v>
      </c>
    </row>
    <row r="580" spans="1:28" s="90" customFormat="1" ht="14.1" hidden="1" customHeight="1" x14ac:dyDescent="0.2">
      <c r="A580" s="301"/>
      <c r="B580" s="350" t="s">
        <v>432</v>
      </c>
      <c r="C580" s="101"/>
      <c r="D580" s="101"/>
      <c r="E580" s="101"/>
      <c r="F580" s="370" t="s">
        <v>433</v>
      </c>
      <c r="G580" s="149"/>
      <c r="H580" s="149"/>
      <c r="I580" s="329">
        <f t="shared" si="1005"/>
        <v>0</v>
      </c>
      <c r="J580" s="329">
        <f t="shared" si="1006"/>
        <v>0</v>
      </c>
      <c r="K580" s="274"/>
      <c r="L580" s="274"/>
      <c r="M580" s="274"/>
      <c r="N580" s="275">
        <f t="shared" si="1007"/>
        <v>0</v>
      </c>
      <c r="O580" s="274"/>
      <c r="P580" s="274"/>
      <c r="Q580" s="274"/>
      <c r="R580" s="274"/>
      <c r="S580" s="274">
        <f t="shared" si="1008"/>
        <v>0</v>
      </c>
      <c r="T580" s="274"/>
      <c r="U580" s="274"/>
      <c r="V580" s="274"/>
      <c r="W580" s="274"/>
      <c r="X580" s="274">
        <f t="shared" si="1009"/>
        <v>0</v>
      </c>
      <c r="Y580" s="274">
        <f t="shared" si="1010"/>
        <v>0</v>
      </c>
      <c r="Z580" s="274">
        <f t="shared" si="1011"/>
        <v>0</v>
      </c>
      <c r="AA580" s="274"/>
      <c r="AB580" s="306">
        <f t="shared" si="1012"/>
        <v>0</v>
      </c>
    </row>
    <row r="581" spans="1:28" s="90" customFormat="1" ht="14.1" hidden="1" customHeight="1" x14ac:dyDescent="0.2">
      <c r="A581" s="301"/>
      <c r="B581" s="350" t="s">
        <v>730</v>
      </c>
      <c r="C581" s="744"/>
      <c r="D581" s="744"/>
      <c r="E581" s="744"/>
      <c r="F581" s="370" t="s">
        <v>733</v>
      </c>
      <c r="G581" s="149"/>
      <c r="H581" s="149"/>
      <c r="I581" s="329">
        <f t="shared" si="1005"/>
        <v>0</v>
      </c>
      <c r="J581" s="329">
        <f t="shared" si="1006"/>
        <v>0</v>
      </c>
      <c r="K581" s="274"/>
      <c r="L581" s="274"/>
      <c r="M581" s="274"/>
      <c r="N581" s="275">
        <f t="shared" si="1007"/>
        <v>0</v>
      </c>
      <c r="O581" s="274"/>
      <c r="P581" s="274"/>
      <c r="Q581" s="274"/>
      <c r="R581" s="274"/>
      <c r="S581" s="274">
        <f t="shared" si="1008"/>
        <v>0</v>
      </c>
      <c r="T581" s="274"/>
      <c r="U581" s="274"/>
      <c r="V581" s="274"/>
      <c r="W581" s="274"/>
      <c r="X581" s="274">
        <f t="shared" si="1009"/>
        <v>0</v>
      </c>
      <c r="Y581" s="274">
        <f t="shared" si="1010"/>
        <v>0</v>
      </c>
      <c r="Z581" s="274">
        <f t="shared" si="1011"/>
        <v>0</v>
      </c>
      <c r="AA581" s="274"/>
      <c r="AB581" s="306">
        <f t="shared" si="1012"/>
        <v>0</v>
      </c>
    </row>
    <row r="582" spans="1:28" s="90" customFormat="1" ht="14.1" customHeight="1" x14ac:dyDescent="0.2">
      <c r="A582" s="301"/>
      <c r="B582" s="350" t="s">
        <v>737</v>
      </c>
      <c r="C582" s="744"/>
      <c r="D582" s="744"/>
      <c r="E582" s="744"/>
      <c r="F582" s="370" t="s">
        <v>738</v>
      </c>
      <c r="G582" s="149">
        <v>11000</v>
      </c>
      <c r="H582" s="149"/>
      <c r="I582" s="329">
        <f t="shared" ref="I582:I583" si="1013">G582+H582</f>
        <v>11000</v>
      </c>
      <c r="J582" s="329">
        <f t="shared" ref="J582:J583" si="1014">I582</f>
        <v>11000</v>
      </c>
      <c r="K582" s="274"/>
      <c r="L582" s="274"/>
      <c r="M582" s="274"/>
      <c r="N582" s="275">
        <f t="shared" si="1007"/>
        <v>11000</v>
      </c>
      <c r="O582" s="274"/>
      <c r="P582" s="274"/>
      <c r="Q582" s="274"/>
      <c r="R582" s="274"/>
      <c r="S582" s="274">
        <f t="shared" ref="S582:S583" si="1015">SUM(O582:R582)</f>
        <v>0</v>
      </c>
      <c r="T582" s="274"/>
      <c r="U582" s="274"/>
      <c r="V582" s="274"/>
      <c r="W582" s="274"/>
      <c r="X582" s="274">
        <f t="shared" ref="X582:X583" si="1016">SUM(T582:W582)</f>
        <v>0</v>
      </c>
      <c r="Y582" s="274">
        <f t="shared" ref="Y582:Y583" si="1017">I582-N582</f>
        <v>0</v>
      </c>
      <c r="Z582" s="274">
        <f t="shared" ref="Z582:Z583" si="1018">N582-S582</f>
        <v>11000</v>
      </c>
      <c r="AA582" s="274"/>
      <c r="AB582" s="306">
        <f t="shared" ref="AB582:AB583" si="1019">+S582-X582-AA582</f>
        <v>0</v>
      </c>
    </row>
    <row r="583" spans="1:28" s="90" customFormat="1" ht="14.1" hidden="1" customHeight="1" x14ac:dyDescent="0.2">
      <c r="A583" s="301"/>
      <c r="B583" s="350" t="s">
        <v>434</v>
      </c>
      <c r="C583" s="718"/>
      <c r="D583" s="718"/>
      <c r="E583" s="718"/>
      <c r="F583" s="370" t="s">
        <v>435</v>
      </c>
      <c r="G583" s="149"/>
      <c r="H583" s="149"/>
      <c r="I583" s="329">
        <f t="shared" si="1013"/>
        <v>0</v>
      </c>
      <c r="J583" s="329">
        <f t="shared" si="1014"/>
        <v>0</v>
      </c>
      <c r="K583" s="274"/>
      <c r="L583" s="274"/>
      <c r="M583" s="274"/>
      <c r="N583" s="275">
        <f t="shared" si="1007"/>
        <v>0</v>
      </c>
      <c r="O583" s="274"/>
      <c r="P583" s="274"/>
      <c r="Q583" s="274"/>
      <c r="R583" s="274"/>
      <c r="S583" s="274">
        <f t="shared" si="1015"/>
        <v>0</v>
      </c>
      <c r="T583" s="274"/>
      <c r="U583" s="274"/>
      <c r="V583" s="274"/>
      <c r="W583" s="274"/>
      <c r="X583" s="274">
        <f t="shared" si="1016"/>
        <v>0</v>
      </c>
      <c r="Y583" s="274">
        <f t="shared" si="1017"/>
        <v>0</v>
      </c>
      <c r="Z583" s="274">
        <f t="shared" si="1018"/>
        <v>0</v>
      </c>
      <c r="AA583" s="274"/>
      <c r="AB583" s="306">
        <f t="shared" si="1019"/>
        <v>0</v>
      </c>
    </row>
    <row r="584" spans="1:28" s="90" customFormat="1" ht="14.1" hidden="1" customHeight="1" x14ac:dyDescent="0.2">
      <c r="A584" s="301"/>
      <c r="B584" s="350" t="s">
        <v>732</v>
      </c>
      <c r="C584" s="718"/>
      <c r="D584" s="718"/>
      <c r="E584" s="718"/>
      <c r="F584" s="370" t="s">
        <v>731</v>
      </c>
      <c r="G584" s="149"/>
      <c r="H584" s="149"/>
      <c r="I584" s="329">
        <f t="shared" si="1005"/>
        <v>0</v>
      </c>
      <c r="J584" s="329">
        <f t="shared" si="1006"/>
        <v>0</v>
      </c>
      <c r="K584" s="274"/>
      <c r="L584" s="274"/>
      <c r="M584" s="274"/>
      <c r="N584" s="275">
        <f t="shared" si="1007"/>
        <v>0</v>
      </c>
      <c r="O584" s="274"/>
      <c r="P584" s="274"/>
      <c r="Q584" s="274"/>
      <c r="R584" s="274"/>
      <c r="S584" s="274">
        <f t="shared" si="1008"/>
        <v>0</v>
      </c>
      <c r="T584" s="274"/>
      <c r="U584" s="274"/>
      <c r="V584" s="274"/>
      <c r="W584" s="274"/>
      <c r="X584" s="274">
        <f t="shared" si="1009"/>
        <v>0</v>
      </c>
      <c r="Y584" s="274">
        <f t="shared" si="1010"/>
        <v>0</v>
      </c>
      <c r="Z584" s="274">
        <f t="shared" si="1011"/>
        <v>0</v>
      </c>
      <c r="AA584" s="274"/>
      <c r="AB584" s="306">
        <f t="shared" si="1012"/>
        <v>0</v>
      </c>
    </row>
    <row r="585" spans="1:28" s="90" customFormat="1" ht="14.1" customHeight="1" x14ac:dyDescent="0.2">
      <c r="A585" s="301"/>
      <c r="B585" s="15"/>
      <c r="C585" s="101"/>
      <c r="D585" s="101"/>
      <c r="E585" s="101"/>
      <c r="F585" s="370"/>
      <c r="G585" s="321"/>
      <c r="H585" s="321"/>
      <c r="I585" s="321"/>
      <c r="J585" s="321"/>
      <c r="K585" s="332"/>
      <c r="L585" s="332"/>
      <c r="M585" s="332"/>
      <c r="N585" s="332"/>
      <c r="O585" s="332"/>
      <c r="P585" s="332"/>
      <c r="Q585" s="332"/>
      <c r="R585" s="332"/>
      <c r="S585" s="332"/>
      <c r="T585" s="332"/>
      <c r="U585" s="332"/>
      <c r="V585" s="332"/>
      <c r="W585" s="332"/>
      <c r="X585" s="332"/>
      <c r="Y585" s="332"/>
      <c r="Z585" s="332"/>
      <c r="AA585" s="332"/>
      <c r="AB585" s="302"/>
    </row>
    <row r="586" spans="1:28" s="90" customFormat="1" ht="14.1" customHeight="1" x14ac:dyDescent="0.2">
      <c r="A586" s="301"/>
      <c r="B586" s="347" t="s">
        <v>436</v>
      </c>
      <c r="C586" s="101"/>
      <c r="D586" s="101"/>
      <c r="E586" s="101"/>
      <c r="F586" s="370"/>
      <c r="G586" s="322">
        <f t="shared" ref="G586" si="1020">SUM(G589:G613)</f>
        <v>0</v>
      </c>
      <c r="H586" s="322">
        <f t="shared" ref="H586:AB586" si="1021">SUM(H589:H613)</f>
        <v>0</v>
      </c>
      <c r="I586" s="322">
        <f t="shared" si="1021"/>
        <v>0</v>
      </c>
      <c r="J586" s="322">
        <f t="shared" si="1021"/>
        <v>0</v>
      </c>
      <c r="K586" s="322">
        <f t="shared" si="1021"/>
        <v>0</v>
      </c>
      <c r="L586" s="322">
        <f t="shared" si="1021"/>
        <v>0</v>
      </c>
      <c r="M586" s="322">
        <f t="shared" si="1021"/>
        <v>0</v>
      </c>
      <c r="N586" s="322">
        <f t="shared" si="1021"/>
        <v>0</v>
      </c>
      <c r="O586" s="322">
        <f t="shared" si="1021"/>
        <v>0</v>
      </c>
      <c r="P586" s="322">
        <f t="shared" si="1021"/>
        <v>0</v>
      </c>
      <c r="Q586" s="322">
        <f t="shared" si="1021"/>
        <v>0</v>
      </c>
      <c r="R586" s="322">
        <f t="shared" si="1021"/>
        <v>0</v>
      </c>
      <c r="S586" s="322">
        <f t="shared" si="1021"/>
        <v>0</v>
      </c>
      <c r="T586" s="322">
        <f t="shared" si="1021"/>
        <v>0</v>
      </c>
      <c r="U586" s="322">
        <f t="shared" si="1021"/>
        <v>0</v>
      </c>
      <c r="V586" s="322">
        <f t="shared" si="1021"/>
        <v>0</v>
      </c>
      <c r="W586" s="322">
        <f t="shared" si="1021"/>
        <v>0</v>
      </c>
      <c r="X586" s="322">
        <f t="shared" si="1021"/>
        <v>0</v>
      </c>
      <c r="Y586" s="322">
        <f t="shared" si="1021"/>
        <v>0</v>
      </c>
      <c r="Z586" s="322">
        <f t="shared" si="1021"/>
        <v>0</v>
      </c>
      <c r="AA586" s="333">
        <f t="shared" ref="AA586" si="1022">SUM(AA589:AA613)</f>
        <v>0</v>
      </c>
      <c r="AB586" s="305">
        <f t="shared" si="1021"/>
        <v>0</v>
      </c>
    </row>
    <row r="587" spans="1:28" s="90" customFormat="1" ht="14.1" hidden="1" customHeight="1" x14ac:dyDescent="0.2">
      <c r="A587" s="301"/>
      <c r="B587" s="347" t="s">
        <v>437</v>
      </c>
      <c r="C587" s="101"/>
      <c r="D587" s="101"/>
      <c r="E587" s="101"/>
      <c r="F587" s="370"/>
      <c r="G587" s="321"/>
      <c r="H587" s="321"/>
      <c r="I587" s="321"/>
      <c r="J587" s="321"/>
      <c r="K587" s="332"/>
      <c r="L587" s="332"/>
      <c r="M587" s="332"/>
      <c r="N587" s="332"/>
      <c r="O587" s="332"/>
      <c r="P587" s="332"/>
      <c r="Q587" s="332"/>
      <c r="R587" s="332"/>
      <c r="S587" s="332"/>
      <c r="T587" s="332"/>
      <c r="U587" s="332"/>
      <c r="V587" s="332"/>
      <c r="W587" s="332"/>
      <c r="X587" s="332"/>
      <c r="Y587" s="332"/>
      <c r="Z587" s="332"/>
      <c r="AA587" s="332"/>
      <c r="AB587" s="302"/>
    </row>
    <row r="588" spans="1:28" s="90" customFormat="1" ht="14.1" hidden="1" customHeight="1" x14ac:dyDescent="0.2">
      <c r="A588" s="301"/>
      <c r="B588" s="348" t="s">
        <v>438</v>
      </c>
      <c r="C588" s="101"/>
      <c r="D588" s="101"/>
      <c r="E588" s="101"/>
      <c r="F588" s="370"/>
      <c r="G588" s="321"/>
      <c r="H588" s="321"/>
      <c r="I588" s="321"/>
      <c r="J588" s="321"/>
      <c r="K588" s="332"/>
      <c r="L588" s="332"/>
      <c r="M588" s="332"/>
      <c r="N588" s="332"/>
      <c r="O588" s="332"/>
      <c r="P588" s="332"/>
      <c r="Q588" s="332"/>
      <c r="R588" s="332"/>
      <c r="S588" s="332"/>
      <c r="T588" s="332"/>
      <c r="U588" s="332"/>
      <c r="V588" s="332"/>
      <c r="W588" s="332"/>
      <c r="X588" s="332"/>
      <c r="Y588" s="332"/>
      <c r="Z588" s="332"/>
      <c r="AA588" s="332"/>
      <c r="AB588" s="302"/>
    </row>
    <row r="589" spans="1:28" s="90" customFormat="1" ht="14.1" hidden="1" customHeight="1" x14ac:dyDescent="0.2">
      <c r="A589" s="301"/>
      <c r="B589" s="349" t="s">
        <v>439</v>
      </c>
      <c r="C589" s="101"/>
      <c r="D589" s="101"/>
      <c r="E589" s="101"/>
      <c r="F589" s="370" t="s">
        <v>440</v>
      </c>
      <c r="G589" s="149"/>
      <c r="H589" s="149"/>
      <c r="I589" s="329">
        <f t="shared" ref="I589:I590" si="1023">G589+H589</f>
        <v>0</v>
      </c>
      <c r="J589" s="329">
        <f t="shared" ref="J589:J590" si="1024">I589</f>
        <v>0</v>
      </c>
      <c r="K589" s="274"/>
      <c r="L589" s="274"/>
      <c r="M589" s="274"/>
      <c r="N589" s="275">
        <f t="shared" ref="N589:N590" si="1025">J589+K589-L589+M589</f>
        <v>0</v>
      </c>
      <c r="O589" s="274"/>
      <c r="P589" s="274"/>
      <c r="Q589" s="274"/>
      <c r="R589" s="274"/>
      <c r="S589" s="274">
        <f t="shared" ref="S589:S590" si="1026">SUM(O589:R589)</f>
        <v>0</v>
      </c>
      <c r="T589" s="274"/>
      <c r="U589" s="274"/>
      <c r="V589" s="274"/>
      <c r="W589" s="274"/>
      <c r="X589" s="274">
        <f t="shared" ref="X589:X590" si="1027">SUM(T589:W589)</f>
        <v>0</v>
      </c>
      <c r="Y589" s="274">
        <f t="shared" ref="Y589:Y590" si="1028">I589-N589</f>
        <v>0</v>
      </c>
      <c r="Z589" s="274">
        <f t="shared" ref="Z589:Z590" si="1029">N589-S589</f>
        <v>0</v>
      </c>
      <c r="AA589" s="274"/>
      <c r="AB589" s="306">
        <f t="shared" ref="AB589:AB590" si="1030">+S589-X589-AA589</f>
        <v>0</v>
      </c>
    </row>
    <row r="590" spans="1:28" s="90" customFormat="1" ht="14.1" hidden="1" customHeight="1" x14ac:dyDescent="0.2">
      <c r="A590" s="301"/>
      <c r="B590" s="349" t="s">
        <v>441</v>
      </c>
      <c r="C590" s="101"/>
      <c r="D590" s="101"/>
      <c r="E590" s="101"/>
      <c r="F590" s="370" t="s">
        <v>442</v>
      </c>
      <c r="G590" s="149"/>
      <c r="H590" s="149"/>
      <c r="I590" s="329">
        <f t="shared" si="1023"/>
        <v>0</v>
      </c>
      <c r="J590" s="329">
        <f t="shared" si="1024"/>
        <v>0</v>
      </c>
      <c r="K590" s="274"/>
      <c r="L590" s="274"/>
      <c r="M590" s="274"/>
      <c r="N590" s="275">
        <f t="shared" si="1025"/>
        <v>0</v>
      </c>
      <c r="O590" s="274"/>
      <c r="P590" s="274"/>
      <c r="Q590" s="274"/>
      <c r="R590" s="274"/>
      <c r="S590" s="274">
        <f t="shared" si="1026"/>
        <v>0</v>
      </c>
      <c r="T590" s="274"/>
      <c r="U590" s="274"/>
      <c r="V590" s="274"/>
      <c r="W590" s="274"/>
      <c r="X590" s="274">
        <f t="shared" si="1027"/>
        <v>0</v>
      </c>
      <c r="Y590" s="274">
        <f t="shared" si="1028"/>
        <v>0</v>
      </c>
      <c r="Z590" s="274">
        <f t="shared" si="1029"/>
        <v>0</v>
      </c>
      <c r="AA590" s="274"/>
      <c r="AB590" s="306">
        <f t="shared" si="1030"/>
        <v>0</v>
      </c>
    </row>
    <row r="591" spans="1:28" s="90" customFormat="1" ht="14.1" hidden="1" customHeight="1" x14ac:dyDescent="0.2">
      <c r="A591" s="301"/>
      <c r="B591" s="348" t="s">
        <v>443</v>
      </c>
      <c r="C591" s="101"/>
      <c r="D591" s="101"/>
      <c r="E591" s="101"/>
      <c r="F591" s="370"/>
      <c r="G591" s="149"/>
      <c r="H591" s="149"/>
      <c r="I591" s="149"/>
      <c r="J591" s="14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  <c r="AB591" s="583"/>
    </row>
    <row r="592" spans="1:28" s="90" customFormat="1" ht="14.1" hidden="1" customHeight="1" x14ac:dyDescent="0.2">
      <c r="A592" s="301"/>
      <c r="B592" s="349" t="s">
        <v>444</v>
      </c>
      <c r="C592" s="101"/>
      <c r="D592" s="101"/>
      <c r="E592" s="101"/>
      <c r="F592" s="370" t="s">
        <v>445</v>
      </c>
      <c r="G592" s="149"/>
      <c r="H592" s="149"/>
      <c r="I592" s="329">
        <f t="shared" ref="I592:I594" si="1031">G592+H592</f>
        <v>0</v>
      </c>
      <c r="J592" s="329">
        <f t="shared" ref="J592:J594" si="1032">I592</f>
        <v>0</v>
      </c>
      <c r="K592" s="274"/>
      <c r="L592" s="274"/>
      <c r="M592" s="274"/>
      <c r="N592" s="275">
        <f t="shared" ref="N592:N594" si="1033">J592+K592-L592+M592</f>
        <v>0</v>
      </c>
      <c r="O592" s="274"/>
      <c r="P592" s="274"/>
      <c r="Q592" s="274"/>
      <c r="R592" s="274"/>
      <c r="S592" s="274">
        <f t="shared" ref="S592:S594" si="1034">SUM(O592:R592)</f>
        <v>0</v>
      </c>
      <c r="T592" s="274"/>
      <c r="U592" s="274"/>
      <c r="V592" s="274"/>
      <c r="W592" s="274"/>
      <c r="X592" s="274">
        <f t="shared" ref="X592:X594" si="1035">SUM(T592:W592)</f>
        <v>0</v>
      </c>
      <c r="Y592" s="274">
        <f t="shared" ref="Y592:Y594" si="1036">I592-N592</f>
        <v>0</v>
      </c>
      <c r="Z592" s="274">
        <f t="shared" ref="Z592:Z594" si="1037">N592-S592</f>
        <v>0</v>
      </c>
      <c r="AA592" s="274"/>
      <c r="AB592" s="306">
        <f t="shared" ref="AB592:AB594" si="1038">+S592-X592-AA592</f>
        <v>0</v>
      </c>
    </row>
    <row r="593" spans="1:28" s="90" customFormat="1" ht="14.1" hidden="1" customHeight="1" x14ac:dyDescent="0.2">
      <c r="A593" s="301"/>
      <c r="B593" s="349" t="s">
        <v>446</v>
      </c>
      <c r="C593" s="101"/>
      <c r="D593" s="101"/>
      <c r="E593" s="101"/>
      <c r="F593" s="370" t="s">
        <v>447</v>
      </c>
      <c r="G593" s="149"/>
      <c r="H593" s="149"/>
      <c r="I593" s="329">
        <f t="shared" si="1031"/>
        <v>0</v>
      </c>
      <c r="J593" s="329">
        <f t="shared" si="1032"/>
        <v>0</v>
      </c>
      <c r="K593" s="274"/>
      <c r="L593" s="274"/>
      <c r="M593" s="274"/>
      <c r="N593" s="275">
        <f t="shared" si="1033"/>
        <v>0</v>
      </c>
      <c r="O593" s="274"/>
      <c r="P593" s="274"/>
      <c r="Q593" s="274"/>
      <c r="R593" s="274"/>
      <c r="S593" s="274">
        <f t="shared" si="1034"/>
        <v>0</v>
      </c>
      <c r="T593" s="274"/>
      <c r="U593" s="274"/>
      <c r="V593" s="274"/>
      <c r="W593" s="274"/>
      <c r="X593" s="274">
        <f t="shared" si="1035"/>
        <v>0</v>
      </c>
      <c r="Y593" s="274">
        <f t="shared" si="1036"/>
        <v>0</v>
      </c>
      <c r="Z593" s="274">
        <f t="shared" si="1037"/>
        <v>0</v>
      </c>
      <c r="AA593" s="274"/>
      <c r="AB593" s="306">
        <f t="shared" si="1038"/>
        <v>0</v>
      </c>
    </row>
    <row r="594" spans="1:28" s="90" customFormat="1" ht="14.1" hidden="1" customHeight="1" x14ac:dyDescent="0.2">
      <c r="A594" s="301"/>
      <c r="B594" s="349" t="s">
        <v>448</v>
      </c>
      <c r="C594" s="101"/>
      <c r="D594" s="101"/>
      <c r="E594" s="101"/>
      <c r="F594" s="370" t="s">
        <v>449</v>
      </c>
      <c r="G594" s="149"/>
      <c r="H594" s="149"/>
      <c r="I594" s="329">
        <f t="shared" si="1031"/>
        <v>0</v>
      </c>
      <c r="J594" s="329">
        <f t="shared" si="1032"/>
        <v>0</v>
      </c>
      <c r="K594" s="274"/>
      <c r="L594" s="274"/>
      <c r="M594" s="274"/>
      <c r="N594" s="275">
        <f t="shared" si="1033"/>
        <v>0</v>
      </c>
      <c r="O594" s="274"/>
      <c r="P594" s="274"/>
      <c r="Q594" s="274"/>
      <c r="R594" s="274"/>
      <c r="S594" s="274">
        <f t="shared" si="1034"/>
        <v>0</v>
      </c>
      <c r="T594" s="274"/>
      <c r="U594" s="274"/>
      <c r="V594" s="274"/>
      <c r="W594" s="274"/>
      <c r="X594" s="274">
        <f t="shared" si="1035"/>
        <v>0</v>
      </c>
      <c r="Y594" s="274">
        <f t="shared" si="1036"/>
        <v>0</v>
      </c>
      <c r="Z594" s="274">
        <f t="shared" si="1037"/>
        <v>0</v>
      </c>
      <c r="AA594" s="274"/>
      <c r="AB594" s="306">
        <f t="shared" si="1038"/>
        <v>0</v>
      </c>
    </row>
    <row r="595" spans="1:28" s="90" customFormat="1" ht="14.1" hidden="1" customHeight="1" x14ac:dyDescent="0.2">
      <c r="A595" s="301"/>
      <c r="B595" s="348" t="s">
        <v>450</v>
      </c>
      <c r="C595" s="101"/>
      <c r="D595" s="101"/>
      <c r="E595" s="101"/>
      <c r="F595" s="370"/>
      <c r="G595" s="149"/>
      <c r="H595" s="149"/>
      <c r="I595" s="149"/>
      <c r="J595" s="14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  <c r="AB595" s="583"/>
    </row>
    <row r="596" spans="1:28" s="90" customFormat="1" ht="14.1" hidden="1" customHeight="1" x14ac:dyDescent="0.2">
      <c r="A596" s="301"/>
      <c r="B596" s="349" t="s">
        <v>451</v>
      </c>
      <c r="C596" s="101"/>
      <c r="D596" s="101"/>
      <c r="E596" s="101"/>
      <c r="F596" s="370" t="s">
        <v>452</v>
      </c>
      <c r="G596" s="149"/>
      <c r="H596" s="149"/>
      <c r="I596" s="329">
        <f t="shared" ref="I596:I602" si="1039">G596+H596</f>
        <v>0</v>
      </c>
      <c r="J596" s="329">
        <f t="shared" ref="J596:J602" si="1040">I596</f>
        <v>0</v>
      </c>
      <c r="K596" s="274"/>
      <c r="L596" s="274"/>
      <c r="M596" s="274"/>
      <c r="N596" s="275">
        <f t="shared" ref="N596:N602" si="1041">J596+K596-L596+M596</f>
        <v>0</v>
      </c>
      <c r="O596" s="274"/>
      <c r="P596" s="274"/>
      <c r="Q596" s="274"/>
      <c r="R596" s="274"/>
      <c r="S596" s="274">
        <f t="shared" ref="S596:S602" si="1042">SUM(O596:R596)</f>
        <v>0</v>
      </c>
      <c r="T596" s="274"/>
      <c r="U596" s="274"/>
      <c r="V596" s="274"/>
      <c r="W596" s="274"/>
      <c r="X596" s="274">
        <f t="shared" ref="X596:X602" si="1043">SUM(T596:W596)</f>
        <v>0</v>
      </c>
      <c r="Y596" s="274">
        <f t="shared" ref="Y596:Y602" si="1044">I596-N596</f>
        <v>0</v>
      </c>
      <c r="Z596" s="274">
        <f t="shared" ref="Z596:Z602" si="1045">N596-S596</f>
        <v>0</v>
      </c>
      <c r="AA596" s="274"/>
      <c r="AB596" s="306">
        <f t="shared" ref="AB596:AB602" si="1046">+S596-X596-AA596</f>
        <v>0</v>
      </c>
    </row>
    <row r="597" spans="1:28" s="90" customFormat="1" ht="14.1" hidden="1" customHeight="1" x14ac:dyDescent="0.2">
      <c r="A597" s="301"/>
      <c r="B597" s="349" t="s">
        <v>453</v>
      </c>
      <c r="C597" s="101"/>
      <c r="D597" s="101"/>
      <c r="E597" s="101"/>
      <c r="F597" s="370" t="s">
        <v>454</v>
      </c>
      <c r="G597" s="149"/>
      <c r="H597" s="149"/>
      <c r="I597" s="329">
        <f t="shared" si="1039"/>
        <v>0</v>
      </c>
      <c r="J597" s="329">
        <f t="shared" si="1040"/>
        <v>0</v>
      </c>
      <c r="K597" s="274"/>
      <c r="L597" s="274"/>
      <c r="M597" s="274"/>
      <c r="N597" s="275">
        <f t="shared" si="1041"/>
        <v>0</v>
      </c>
      <c r="O597" s="274"/>
      <c r="P597" s="274"/>
      <c r="Q597" s="274"/>
      <c r="R597" s="274"/>
      <c r="S597" s="274">
        <f t="shared" si="1042"/>
        <v>0</v>
      </c>
      <c r="T597" s="274"/>
      <c r="U597" s="274"/>
      <c r="V597" s="274"/>
      <c r="W597" s="274"/>
      <c r="X597" s="274">
        <f t="shared" si="1043"/>
        <v>0</v>
      </c>
      <c r="Y597" s="274">
        <f t="shared" si="1044"/>
        <v>0</v>
      </c>
      <c r="Z597" s="274">
        <f t="shared" si="1045"/>
        <v>0</v>
      </c>
      <c r="AA597" s="274"/>
      <c r="AB597" s="306">
        <f t="shared" si="1046"/>
        <v>0</v>
      </c>
    </row>
    <row r="598" spans="1:28" s="90" customFormat="1" ht="14.1" hidden="1" customHeight="1" x14ac:dyDescent="0.2">
      <c r="A598" s="301"/>
      <c r="B598" s="349" t="s">
        <v>455</v>
      </c>
      <c r="C598" s="101"/>
      <c r="D598" s="101"/>
      <c r="E598" s="101"/>
      <c r="F598" s="370" t="s">
        <v>456</v>
      </c>
      <c r="G598" s="149"/>
      <c r="H598" s="149"/>
      <c r="I598" s="329">
        <f t="shared" si="1039"/>
        <v>0</v>
      </c>
      <c r="J598" s="329">
        <f t="shared" si="1040"/>
        <v>0</v>
      </c>
      <c r="K598" s="274"/>
      <c r="L598" s="274"/>
      <c r="M598" s="274"/>
      <c r="N598" s="275">
        <f t="shared" si="1041"/>
        <v>0</v>
      </c>
      <c r="O598" s="274"/>
      <c r="P598" s="274"/>
      <c r="Q598" s="274"/>
      <c r="R598" s="274"/>
      <c r="S598" s="274">
        <f t="shared" si="1042"/>
        <v>0</v>
      </c>
      <c r="T598" s="274"/>
      <c r="U598" s="274"/>
      <c r="V598" s="274"/>
      <c r="W598" s="274"/>
      <c r="X598" s="274">
        <f t="shared" si="1043"/>
        <v>0</v>
      </c>
      <c r="Y598" s="274">
        <f t="shared" si="1044"/>
        <v>0</v>
      </c>
      <c r="Z598" s="274">
        <f t="shared" si="1045"/>
        <v>0</v>
      </c>
      <c r="AA598" s="274"/>
      <c r="AB598" s="306">
        <f t="shared" si="1046"/>
        <v>0</v>
      </c>
    </row>
    <row r="599" spans="1:28" s="90" customFormat="1" ht="14.1" hidden="1" customHeight="1" x14ac:dyDescent="0.2">
      <c r="A599" s="301"/>
      <c r="B599" s="349" t="s">
        <v>457</v>
      </c>
      <c r="C599" s="101"/>
      <c r="D599" s="101"/>
      <c r="E599" s="101"/>
      <c r="F599" s="370" t="s">
        <v>458</v>
      </c>
      <c r="G599" s="149"/>
      <c r="H599" s="149"/>
      <c r="I599" s="329">
        <f t="shared" si="1039"/>
        <v>0</v>
      </c>
      <c r="J599" s="329">
        <f t="shared" si="1040"/>
        <v>0</v>
      </c>
      <c r="K599" s="274"/>
      <c r="L599" s="274"/>
      <c r="M599" s="274"/>
      <c r="N599" s="275">
        <f t="shared" si="1041"/>
        <v>0</v>
      </c>
      <c r="O599" s="274"/>
      <c r="P599" s="274"/>
      <c r="Q599" s="274"/>
      <c r="R599" s="274"/>
      <c r="S599" s="274">
        <f t="shared" si="1042"/>
        <v>0</v>
      </c>
      <c r="T599" s="274"/>
      <c r="U599" s="274"/>
      <c r="V599" s="274"/>
      <c r="W599" s="274"/>
      <c r="X599" s="274">
        <f t="shared" si="1043"/>
        <v>0</v>
      </c>
      <c r="Y599" s="274">
        <f t="shared" si="1044"/>
        <v>0</v>
      </c>
      <c r="Z599" s="274">
        <f t="shared" si="1045"/>
        <v>0</v>
      </c>
      <c r="AA599" s="274"/>
      <c r="AB599" s="306">
        <f t="shared" si="1046"/>
        <v>0</v>
      </c>
    </row>
    <row r="600" spans="1:28" s="90" customFormat="1" ht="14.1" hidden="1" customHeight="1" x14ac:dyDescent="0.2">
      <c r="A600" s="301"/>
      <c r="B600" s="349" t="s">
        <v>459</v>
      </c>
      <c r="C600" s="101"/>
      <c r="D600" s="101"/>
      <c r="E600" s="101"/>
      <c r="F600" s="370" t="s">
        <v>460</v>
      </c>
      <c r="G600" s="149"/>
      <c r="H600" s="149"/>
      <c r="I600" s="329">
        <f t="shared" si="1039"/>
        <v>0</v>
      </c>
      <c r="J600" s="329">
        <f t="shared" si="1040"/>
        <v>0</v>
      </c>
      <c r="K600" s="274"/>
      <c r="L600" s="274"/>
      <c r="M600" s="274"/>
      <c r="N600" s="275">
        <f t="shared" si="1041"/>
        <v>0</v>
      </c>
      <c r="O600" s="274"/>
      <c r="P600" s="274"/>
      <c r="Q600" s="274"/>
      <c r="R600" s="274"/>
      <c r="S600" s="274">
        <f t="shared" si="1042"/>
        <v>0</v>
      </c>
      <c r="T600" s="274"/>
      <c r="U600" s="274"/>
      <c r="V600" s="274"/>
      <c r="W600" s="274"/>
      <c r="X600" s="274">
        <f t="shared" si="1043"/>
        <v>0</v>
      </c>
      <c r="Y600" s="274">
        <f t="shared" si="1044"/>
        <v>0</v>
      </c>
      <c r="Z600" s="274">
        <f t="shared" si="1045"/>
        <v>0</v>
      </c>
      <c r="AA600" s="274"/>
      <c r="AB600" s="306">
        <f t="shared" si="1046"/>
        <v>0</v>
      </c>
    </row>
    <row r="601" spans="1:28" s="90" customFormat="1" ht="14.1" hidden="1" customHeight="1" x14ac:dyDescent="0.2">
      <c r="A601" s="301"/>
      <c r="B601" s="349" t="s">
        <v>461</v>
      </c>
      <c r="C601" s="101"/>
      <c r="D601" s="101"/>
      <c r="E601" s="101"/>
      <c r="F601" s="370" t="s">
        <v>462</v>
      </c>
      <c r="G601" s="149"/>
      <c r="H601" s="149"/>
      <c r="I601" s="329">
        <f t="shared" si="1039"/>
        <v>0</v>
      </c>
      <c r="J601" s="329">
        <f t="shared" si="1040"/>
        <v>0</v>
      </c>
      <c r="K601" s="274"/>
      <c r="L601" s="274"/>
      <c r="M601" s="274"/>
      <c r="N601" s="275">
        <f t="shared" si="1041"/>
        <v>0</v>
      </c>
      <c r="O601" s="274"/>
      <c r="P601" s="274"/>
      <c r="Q601" s="274"/>
      <c r="R601" s="274"/>
      <c r="S601" s="274">
        <f t="shared" si="1042"/>
        <v>0</v>
      </c>
      <c r="T601" s="274"/>
      <c r="U601" s="274"/>
      <c r="V601" s="274"/>
      <c r="W601" s="274"/>
      <c r="X601" s="274">
        <f t="shared" si="1043"/>
        <v>0</v>
      </c>
      <c r="Y601" s="274">
        <f t="shared" si="1044"/>
        <v>0</v>
      </c>
      <c r="Z601" s="274">
        <f t="shared" si="1045"/>
        <v>0</v>
      </c>
      <c r="AA601" s="274"/>
      <c r="AB601" s="306">
        <f t="shared" si="1046"/>
        <v>0</v>
      </c>
    </row>
    <row r="602" spans="1:28" s="90" customFormat="1" ht="14.1" hidden="1" customHeight="1" x14ac:dyDescent="0.2">
      <c r="A602" s="301"/>
      <c r="B602" s="349" t="s">
        <v>463</v>
      </c>
      <c r="C602" s="101"/>
      <c r="D602" s="101"/>
      <c r="E602" s="101"/>
      <c r="F602" s="370" t="s">
        <v>464</v>
      </c>
      <c r="G602" s="149"/>
      <c r="H602" s="149"/>
      <c r="I602" s="329">
        <f t="shared" si="1039"/>
        <v>0</v>
      </c>
      <c r="J602" s="329">
        <f t="shared" si="1040"/>
        <v>0</v>
      </c>
      <c r="K602" s="274"/>
      <c r="L602" s="274"/>
      <c r="M602" s="274"/>
      <c r="N602" s="275">
        <f t="shared" si="1041"/>
        <v>0</v>
      </c>
      <c r="O602" s="274"/>
      <c r="P602" s="274"/>
      <c r="Q602" s="274"/>
      <c r="R602" s="274"/>
      <c r="S602" s="274">
        <f t="shared" si="1042"/>
        <v>0</v>
      </c>
      <c r="T602" s="274"/>
      <c r="U602" s="274"/>
      <c r="V602" s="274"/>
      <c r="W602" s="274"/>
      <c r="X602" s="274">
        <f t="shared" si="1043"/>
        <v>0</v>
      </c>
      <c r="Y602" s="274">
        <f t="shared" si="1044"/>
        <v>0</v>
      </c>
      <c r="Z602" s="274">
        <f t="shared" si="1045"/>
        <v>0</v>
      </c>
      <c r="AA602" s="274"/>
      <c r="AB602" s="306">
        <f t="shared" si="1046"/>
        <v>0</v>
      </c>
    </row>
    <row r="603" spans="1:28" s="90" customFormat="1" ht="14.1" hidden="1" customHeight="1" x14ac:dyDescent="0.2">
      <c r="A603" s="301"/>
      <c r="B603" s="348" t="s">
        <v>465</v>
      </c>
      <c r="C603" s="101"/>
      <c r="D603" s="101"/>
      <c r="E603" s="101"/>
      <c r="F603" s="370"/>
      <c r="G603" s="149"/>
      <c r="H603" s="149"/>
      <c r="I603" s="149"/>
      <c r="J603" s="14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  <c r="AB603" s="583"/>
    </row>
    <row r="604" spans="1:28" s="90" customFormat="1" ht="14.1" hidden="1" customHeight="1" x14ac:dyDescent="0.2">
      <c r="A604" s="301"/>
      <c r="B604" s="349" t="s">
        <v>466</v>
      </c>
      <c r="C604" s="101"/>
      <c r="D604" s="101"/>
      <c r="E604" s="101"/>
      <c r="F604" s="370" t="s">
        <v>467</v>
      </c>
      <c r="G604" s="149"/>
      <c r="H604" s="149"/>
      <c r="I604" s="329">
        <f t="shared" ref="I604:I606" si="1047">G604+H604</f>
        <v>0</v>
      </c>
      <c r="J604" s="329">
        <f t="shared" ref="J604:J606" si="1048">I604</f>
        <v>0</v>
      </c>
      <c r="K604" s="274"/>
      <c r="L604" s="274"/>
      <c r="M604" s="274"/>
      <c r="N604" s="275">
        <f t="shared" ref="N604:N606" si="1049">J604+K604-L604+M604</f>
        <v>0</v>
      </c>
      <c r="O604" s="274"/>
      <c r="P604" s="274"/>
      <c r="Q604" s="274"/>
      <c r="R604" s="274"/>
      <c r="S604" s="274">
        <f t="shared" ref="S604:S606" si="1050">SUM(O604:R604)</f>
        <v>0</v>
      </c>
      <c r="T604" s="274"/>
      <c r="U604" s="274"/>
      <c r="V604" s="274"/>
      <c r="W604" s="274"/>
      <c r="X604" s="274">
        <f t="shared" ref="X604:X606" si="1051">SUM(T604:W604)</f>
        <v>0</v>
      </c>
      <c r="Y604" s="274">
        <f t="shared" ref="Y604:Y606" si="1052">I604-N604</f>
        <v>0</v>
      </c>
      <c r="Z604" s="274">
        <f t="shared" ref="Z604:Z606" si="1053">N604-S604</f>
        <v>0</v>
      </c>
      <c r="AA604" s="274"/>
      <c r="AB604" s="306">
        <f t="shared" ref="AB604:AB606" si="1054">+S604-X604-AA604</f>
        <v>0</v>
      </c>
    </row>
    <row r="605" spans="1:28" s="90" customFormat="1" ht="14.1" hidden="1" customHeight="1" x14ac:dyDescent="0.2">
      <c r="A605" s="301"/>
      <c r="B605" s="349" t="s">
        <v>468</v>
      </c>
      <c r="C605" s="101"/>
      <c r="D605" s="101"/>
      <c r="E605" s="101"/>
      <c r="F605" s="370" t="s">
        <v>469</v>
      </c>
      <c r="G605" s="149"/>
      <c r="H605" s="149"/>
      <c r="I605" s="329">
        <f t="shared" si="1047"/>
        <v>0</v>
      </c>
      <c r="J605" s="329">
        <f t="shared" si="1048"/>
        <v>0</v>
      </c>
      <c r="K605" s="274"/>
      <c r="L605" s="274"/>
      <c r="M605" s="274"/>
      <c r="N605" s="275">
        <f t="shared" si="1049"/>
        <v>0</v>
      </c>
      <c r="O605" s="274"/>
      <c r="P605" s="274"/>
      <c r="Q605" s="274"/>
      <c r="R605" s="274"/>
      <c r="S605" s="274">
        <f t="shared" si="1050"/>
        <v>0</v>
      </c>
      <c r="T605" s="274"/>
      <c r="U605" s="274"/>
      <c r="V605" s="274"/>
      <c r="W605" s="274"/>
      <c r="X605" s="274">
        <f t="shared" si="1051"/>
        <v>0</v>
      </c>
      <c r="Y605" s="274">
        <f t="shared" si="1052"/>
        <v>0</v>
      </c>
      <c r="Z605" s="274">
        <f t="shared" si="1053"/>
        <v>0</v>
      </c>
      <c r="AA605" s="274"/>
      <c r="AB605" s="306">
        <f t="shared" si="1054"/>
        <v>0</v>
      </c>
    </row>
    <row r="606" spans="1:28" s="90" customFormat="1" ht="14.1" hidden="1" customHeight="1" x14ac:dyDescent="0.2">
      <c r="A606" s="301"/>
      <c r="B606" s="349" t="s">
        <v>470</v>
      </c>
      <c r="C606" s="101"/>
      <c r="D606" s="101"/>
      <c r="E606" s="101"/>
      <c r="F606" s="370" t="s">
        <v>471</v>
      </c>
      <c r="G606" s="149"/>
      <c r="H606" s="149"/>
      <c r="I606" s="329">
        <f t="shared" si="1047"/>
        <v>0</v>
      </c>
      <c r="J606" s="329">
        <f t="shared" si="1048"/>
        <v>0</v>
      </c>
      <c r="K606" s="274"/>
      <c r="L606" s="274"/>
      <c r="M606" s="274"/>
      <c r="N606" s="275">
        <f t="shared" si="1049"/>
        <v>0</v>
      </c>
      <c r="O606" s="274"/>
      <c r="P606" s="274"/>
      <c r="Q606" s="274"/>
      <c r="R606" s="274"/>
      <c r="S606" s="274">
        <f t="shared" si="1050"/>
        <v>0</v>
      </c>
      <c r="T606" s="274"/>
      <c r="U606" s="274"/>
      <c r="V606" s="274"/>
      <c r="W606" s="274"/>
      <c r="X606" s="274">
        <f t="shared" si="1051"/>
        <v>0</v>
      </c>
      <c r="Y606" s="274">
        <f t="shared" si="1052"/>
        <v>0</v>
      </c>
      <c r="Z606" s="274">
        <f t="shared" si="1053"/>
        <v>0</v>
      </c>
      <c r="AA606" s="274"/>
      <c r="AB606" s="306">
        <f t="shared" si="1054"/>
        <v>0</v>
      </c>
    </row>
    <row r="607" spans="1:28" s="90" customFormat="1" ht="14.1" hidden="1" customHeight="1" x14ac:dyDescent="0.2">
      <c r="A607" s="301"/>
      <c r="B607" s="348" t="s">
        <v>472</v>
      </c>
      <c r="C607" s="101"/>
      <c r="D607" s="101"/>
      <c r="E607" s="101"/>
      <c r="F607" s="370"/>
      <c r="G607" s="149"/>
      <c r="H607" s="149"/>
      <c r="I607" s="149"/>
      <c r="J607" s="14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583"/>
    </row>
    <row r="608" spans="1:28" s="90" customFormat="1" ht="14.1" hidden="1" customHeight="1" x14ac:dyDescent="0.2">
      <c r="A608" s="301"/>
      <c r="B608" s="349" t="s">
        <v>473</v>
      </c>
      <c r="C608" s="101"/>
      <c r="D608" s="101"/>
      <c r="E608" s="101"/>
      <c r="F608" s="370" t="s">
        <v>474</v>
      </c>
      <c r="G608" s="149"/>
      <c r="H608" s="149"/>
      <c r="I608" s="329">
        <f t="shared" ref="I608:I609" si="1055">G608+H608</f>
        <v>0</v>
      </c>
      <c r="J608" s="329">
        <f t="shared" ref="J608:J609" si="1056">I608</f>
        <v>0</v>
      </c>
      <c r="K608" s="274"/>
      <c r="L608" s="274"/>
      <c r="M608" s="274"/>
      <c r="N608" s="275">
        <f t="shared" ref="N608:N609" si="1057">J608+K608-L608+M608</f>
        <v>0</v>
      </c>
      <c r="O608" s="274"/>
      <c r="P608" s="274"/>
      <c r="Q608" s="274"/>
      <c r="R608" s="274"/>
      <c r="S608" s="274">
        <f t="shared" ref="S608:S609" si="1058">SUM(O608:R608)</f>
        <v>0</v>
      </c>
      <c r="T608" s="274"/>
      <c r="U608" s="274"/>
      <c r="V608" s="274"/>
      <c r="W608" s="274"/>
      <c r="X608" s="274">
        <f t="shared" ref="X608:X609" si="1059">SUM(T608:W608)</f>
        <v>0</v>
      </c>
      <c r="Y608" s="274">
        <f t="shared" ref="Y608:Y609" si="1060">I608-N608</f>
        <v>0</v>
      </c>
      <c r="Z608" s="274">
        <f t="shared" ref="Z608:Z609" si="1061">N608-S608</f>
        <v>0</v>
      </c>
      <c r="AA608" s="274"/>
      <c r="AB608" s="306">
        <f t="shared" ref="AB608:AB609" si="1062">+S608-X608-AA608</f>
        <v>0</v>
      </c>
    </row>
    <row r="609" spans="1:28" s="90" customFormat="1" ht="14.1" hidden="1" customHeight="1" x14ac:dyDescent="0.2">
      <c r="A609" s="301"/>
      <c r="B609" s="349" t="s">
        <v>475</v>
      </c>
      <c r="C609" s="101"/>
      <c r="D609" s="101"/>
      <c r="E609" s="101"/>
      <c r="F609" s="370" t="s">
        <v>476</v>
      </c>
      <c r="G609" s="149"/>
      <c r="H609" s="149"/>
      <c r="I609" s="329">
        <f t="shared" si="1055"/>
        <v>0</v>
      </c>
      <c r="J609" s="329">
        <f t="shared" si="1056"/>
        <v>0</v>
      </c>
      <c r="K609" s="274"/>
      <c r="L609" s="274"/>
      <c r="M609" s="274"/>
      <c r="N609" s="275">
        <f t="shared" si="1057"/>
        <v>0</v>
      </c>
      <c r="O609" s="274"/>
      <c r="P609" s="274"/>
      <c r="Q609" s="274"/>
      <c r="R609" s="274"/>
      <c r="S609" s="274">
        <f t="shared" si="1058"/>
        <v>0</v>
      </c>
      <c r="T609" s="274"/>
      <c r="U609" s="274"/>
      <c r="V609" s="274"/>
      <c r="W609" s="274"/>
      <c r="X609" s="274">
        <f t="shared" si="1059"/>
        <v>0</v>
      </c>
      <c r="Y609" s="274">
        <f t="shared" si="1060"/>
        <v>0</v>
      </c>
      <c r="Z609" s="274">
        <f t="shared" si="1061"/>
        <v>0</v>
      </c>
      <c r="AA609" s="274"/>
      <c r="AB609" s="306">
        <f t="shared" si="1062"/>
        <v>0</v>
      </c>
    </row>
    <row r="610" spans="1:28" s="90" customFormat="1" ht="14.1" hidden="1" customHeight="1" x14ac:dyDescent="0.2">
      <c r="A610" s="301"/>
      <c r="B610" s="348" t="s">
        <v>477</v>
      </c>
      <c r="C610" s="101"/>
      <c r="D610" s="101"/>
      <c r="E610" s="101"/>
      <c r="F610" s="370"/>
      <c r="G610" s="149"/>
      <c r="H610" s="149"/>
      <c r="I610" s="149"/>
      <c r="J610" s="14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583"/>
    </row>
    <row r="611" spans="1:28" s="90" customFormat="1" ht="14.1" hidden="1" customHeight="1" x14ac:dyDescent="0.2">
      <c r="A611" s="301"/>
      <c r="B611" s="349" t="s">
        <v>478</v>
      </c>
      <c r="C611" s="101"/>
      <c r="D611" s="101"/>
      <c r="E611" s="101"/>
      <c r="F611" s="370" t="s">
        <v>479</v>
      </c>
      <c r="G611" s="149"/>
      <c r="H611" s="149"/>
      <c r="I611" s="329">
        <f t="shared" ref="I611" si="1063">G611+H611</f>
        <v>0</v>
      </c>
      <c r="J611" s="329">
        <f t="shared" ref="J611" si="1064">I611</f>
        <v>0</v>
      </c>
      <c r="K611" s="274"/>
      <c r="L611" s="274"/>
      <c r="M611" s="274"/>
      <c r="N611" s="275">
        <f t="shared" ref="N611" si="1065">J611+K611-L611+M611</f>
        <v>0</v>
      </c>
      <c r="O611" s="274"/>
      <c r="P611" s="274"/>
      <c r="Q611" s="274"/>
      <c r="R611" s="274"/>
      <c r="S611" s="274">
        <f t="shared" ref="S611" si="1066">SUM(O611:R611)</f>
        <v>0</v>
      </c>
      <c r="T611" s="274"/>
      <c r="U611" s="274"/>
      <c r="V611" s="274"/>
      <c r="W611" s="274"/>
      <c r="X611" s="274">
        <f t="shared" ref="X611" si="1067">SUM(T611:W611)</f>
        <v>0</v>
      </c>
      <c r="Y611" s="274">
        <f t="shared" ref="Y611" si="1068">I611-N611</f>
        <v>0</v>
      </c>
      <c r="Z611" s="274">
        <f t="shared" ref="Z611" si="1069">N611-S611</f>
        <v>0</v>
      </c>
      <c r="AA611" s="274"/>
      <c r="AB611" s="306">
        <f t="shared" ref="AB611" si="1070">+S611-X611-AA611</f>
        <v>0</v>
      </c>
    </row>
    <row r="612" spans="1:28" s="90" customFormat="1" ht="14.1" hidden="1" customHeight="1" x14ac:dyDescent="0.2">
      <c r="A612" s="301"/>
      <c r="B612" s="348" t="s">
        <v>480</v>
      </c>
      <c r="C612" s="101"/>
      <c r="D612" s="101"/>
      <c r="E612" s="101"/>
      <c r="F612" s="370"/>
      <c r="G612" s="149"/>
      <c r="H612" s="149"/>
      <c r="I612" s="149"/>
      <c r="J612" s="14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583"/>
    </row>
    <row r="613" spans="1:28" s="90" customFormat="1" ht="14.1" hidden="1" customHeight="1" x14ac:dyDescent="0.2">
      <c r="A613" s="301"/>
      <c r="B613" s="349" t="s">
        <v>481</v>
      </c>
      <c r="C613" s="101"/>
      <c r="D613" s="101"/>
      <c r="E613" s="101"/>
      <c r="F613" s="370" t="s">
        <v>482</v>
      </c>
      <c r="G613" s="149"/>
      <c r="H613" s="149"/>
      <c r="I613" s="329">
        <f t="shared" ref="I613" si="1071">G613+H613</f>
        <v>0</v>
      </c>
      <c r="J613" s="329">
        <f t="shared" ref="J613" si="1072">I613</f>
        <v>0</v>
      </c>
      <c r="K613" s="274"/>
      <c r="L613" s="274"/>
      <c r="M613" s="274"/>
      <c r="N613" s="275">
        <f t="shared" ref="N613" si="1073">J613+K613-L613+M613</f>
        <v>0</v>
      </c>
      <c r="O613" s="274"/>
      <c r="P613" s="274"/>
      <c r="Q613" s="274"/>
      <c r="R613" s="274"/>
      <c r="S613" s="274">
        <f t="shared" ref="S613" si="1074">SUM(O613:R613)</f>
        <v>0</v>
      </c>
      <c r="T613" s="274"/>
      <c r="U613" s="274"/>
      <c r="V613" s="274"/>
      <c r="W613" s="274"/>
      <c r="X613" s="274">
        <f t="shared" ref="X613" si="1075">SUM(T613:W613)</f>
        <v>0</v>
      </c>
      <c r="Y613" s="274">
        <f t="shared" ref="Y613" si="1076">I613-N613</f>
        <v>0</v>
      </c>
      <c r="Z613" s="274">
        <f t="shared" ref="Z613" si="1077">N613-S613</f>
        <v>0</v>
      </c>
      <c r="AA613" s="274"/>
      <c r="AB613" s="306">
        <f t="shared" ref="AB613" si="1078">+S613-X613-AA613</f>
        <v>0</v>
      </c>
    </row>
    <row r="614" spans="1:28" ht="14.1" customHeight="1" x14ac:dyDescent="0.2">
      <c r="A614" s="303"/>
      <c r="B614" s="69"/>
      <c r="C614" s="69"/>
      <c r="D614" s="69"/>
      <c r="E614" s="69"/>
      <c r="F614" s="258"/>
      <c r="G614" s="148"/>
      <c r="H614" s="148"/>
      <c r="I614" s="148"/>
      <c r="J614" s="148"/>
      <c r="K614" s="152"/>
      <c r="L614" s="152"/>
      <c r="M614" s="152"/>
      <c r="N614" s="152"/>
      <c r="O614" s="152"/>
      <c r="P614" s="152"/>
      <c r="Q614" s="152"/>
      <c r="R614" s="340"/>
      <c r="S614" s="340"/>
      <c r="T614" s="340"/>
      <c r="U614" s="340"/>
      <c r="V614" s="340"/>
      <c r="W614" s="340"/>
      <c r="X614" s="340"/>
      <c r="Y614" s="340"/>
      <c r="Z614" s="340"/>
      <c r="AA614" s="340"/>
      <c r="AB614" s="300"/>
    </row>
    <row r="615" spans="1:28" ht="14.1" customHeight="1" x14ac:dyDescent="0.2">
      <c r="A615" s="279" t="s">
        <v>682</v>
      </c>
      <c r="B615" s="102"/>
      <c r="C615" s="103"/>
      <c r="D615" s="104"/>
      <c r="E615" s="103"/>
      <c r="F615" s="373"/>
      <c r="G615" s="363">
        <f t="shared" ref="G615" si="1079">G617+G627</f>
        <v>1659000</v>
      </c>
      <c r="H615" s="363">
        <f t="shared" ref="H615:AB615" si="1080">H617+H627</f>
        <v>0</v>
      </c>
      <c r="I615" s="363">
        <f t="shared" si="1080"/>
        <v>1659000</v>
      </c>
      <c r="J615" s="363">
        <f t="shared" si="1080"/>
        <v>1659000</v>
      </c>
      <c r="K615" s="363">
        <f t="shared" si="1080"/>
        <v>0</v>
      </c>
      <c r="L615" s="363">
        <f t="shared" si="1080"/>
        <v>0</v>
      </c>
      <c r="M615" s="363">
        <f t="shared" si="1080"/>
        <v>367000</v>
      </c>
      <c r="N615" s="363">
        <f t="shared" si="1080"/>
        <v>2026000</v>
      </c>
      <c r="O615" s="363">
        <f t="shared" si="1080"/>
        <v>537358.32000000007</v>
      </c>
      <c r="P615" s="363">
        <f t="shared" si="1080"/>
        <v>404773.9</v>
      </c>
      <c r="Q615" s="363">
        <f t="shared" si="1080"/>
        <v>455706.95999999996</v>
      </c>
      <c r="R615" s="363">
        <f t="shared" si="1080"/>
        <v>298388.15000000002</v>
      </c>
      <c r="S615" s="363">
        <f t="shared" si="1080"/>
        <v>1696227.33</v>
      </c>
      <c r="T615" s="363">
        <f t="shared" si="1080"/>
        <v>402512.64000000001</v>
      </c>
      <c r="U615" s="363">
        <f t="shared" si="1080"/>
        <v>539439.35999999999</v>
      </c>
      <c r="V615" s="363">
        <f t="shared" si="1080"/>
        <v>455887.18</v>
      </c>
      <c r="W615" s="363">
        <f t="shared" si="1080"/>
        <v>298387.15000000002</v>
      </c>
      <c r="X615" s="363">
        <f t="shared" si="1080"/>
        <v>1696226.3299999998</v>
      </c>
      <c r="Y615" s="363">
        <f t="shared" si="1080"/>
        <v>-367000</v>
      </c>
      <c r="Z615" s="363">
        <f t="shared" si="1080"/>
        <v>329772.67000000004</v>
      </c>
      <c r="AA615" s="740">
        <f t="shared" ref="AA615" si="1081">AA617+AA627</f>
        <v>1</v>
      </c>
      <c r="AB615" s="734">
        <f t="shared" si="1080"/>
        <v>1.1641532182693481E-10</v>
      </c>
    </row>
    <row r="616" spans="1:28" s="90" customFormat="1" ht="14.1" customHeight="1" x14ac:dyDescent="0.2">
      <c r="A616" s="313"/>
      <c r="B616" s="286" t="s">
        <v>266</v>
      </c>
      <c r="D616" s="352"/>
      <c r="F616" s="353" t="s">
        <v>483</v>
      </c>
      <c r="G616" s="321"/>
      <c r="H616" s="321"/>
      <c r="I616" s="321"/>
      <c r="J616" s="321"/>
      <c r="K616" s="332"/>
      <c r="L616" s="332"/>
      <c r="M616" s="332"/>
      <c r="N616" s="332"/>
      <c r="O616" s="332"/>
      <c r="P616" s="332"/>
      <c r="Q616" s="332"/>
      <c r="R616" s="332"/>
      <c r="S616" s="332"/>
      <c r="T616" s="332"/>
      <c r="U616" s="332"/>
      <c r="V616" s="332"/>
      <c r="W616" s="332"/>
      <c r="X616" s="332"/>
      <c r="Y616" s="332"/>
      <c r="Z616" s="332"/>
      <c r="AA616" s="332"/>
      <c r="AB616" s="302"/>
    </row>
    <row r="617" spans="1:28" s="87" customFormat="1" ht="14.1" customHeight="1" x14ac:dyDescent="0.2">
      <c r="A617" s="313"/>
      <c r="B617" s="286"/>
      <c r="C617" s="287"/>
      <c r="D617" s="352" t="s">
        <v>266</v>
      </c>
      <c r="E617" s="287"/>
      <c r="F617" s="258" t="s">
        <v>484</v>
      </c>
      <c r="G617" s="324">
        <f t="shared" ref="G617" si="1082">SUM(G618:G626)</f>
        <v>1659000</v>
      </c>
      <c r="H617" s="324">
        <f t="shared" ref="H617:AB617" si="1083">SUM(H618:H626)</f>
        <v>0</v>
      </c>
      <c r="I617" s="324">
        <f t="shared" si="1083"/>
        <v>1659000</v>
      </c>
      <c r="J617" s="324">
        <f t="shared" si="1083"/>
        <v>1659000</v>
      </c>
      <c r="K617" s="334">
        <f t="shared" si="1083"/>
        <v>0</v>
      </c>
      <c r="L617" s="334">
        <f t="shared" si="1083"/>
        <v>0</v>
      </c>
      <c r="M617" s="334">
        <f t="shared" si="1083"/>
        <v>119000</v>
      </c>
      <c r="N617" s="334">
        <f t="shared" si="1083"/>
        <v>1778000</v>
      </c>
      <c r="O617" s="334">
        <f t="shared" si="1083"/>
        <v>537358.32000000007</v>
      </c>
      <c r="P617" s="334">
        <f t="shared" si="1083"/>
        <v>404773.9</v>
      </c>
      <c r="Q617" s="334">
        <f t="shared" si="1083"/>
        <v>404706.95999999996</v>
      </c>
      <c r="R617" s="334">
        <f t="shared" si="1083"/>
        <v>269994.68</v>
      </c>
      <c r="S617" s="334">
        <f t="shared" si="1083"/>
        <v>1616833.86</v>
      </c>
      <c r="T617" s="334">
        <f t="shared" si="1083"/>
        <v>402512.64000000001</v>
      </c>
      <c r="U617" s="334">
        <f t="shared" si="1083"/>
        <v>539439.35999999999</v>
      </c>
      <c r="V617" s="334">
        <f t="shared" si="1083"/>
        <v>404887.18</v>
      </c>
      <c r="W617" s="334">
        <f t="shared" si="1083"/>
        <v>269993.68000000005</v>
      </c>
      <c r="X617" s="334">
        <f t="shared" si="1083"/>
        <v>1616832.8599999999</v>
      </c>
      <c r="Y617" s="334">
        <f t="shared" si="1083"/>
        <v>-119000</v>
      </c>
      <c r="Z617" s="334">
        <f t="shared" si="1083"/>
        <v>161166.14000000001</v>
      </c>
      <c r="AA617" s="334">
        <f t="shared" ref="AA617" si="1084">SUM(AA618:AA626)</f>
        <v>1</v>
      </c>
      <c r="AB617" s="308">
        <f t="shared" si="1083"/>
        <v>1.1641532182693481E-10</v>
      </c>
    </row>
    <row r="618" spans="1:28" ht="14.1" customHeight="1" x14ac:dyDescent="0.2">
      <c r="A618" s="140"/>
      <c r="B618" s="94"/>
      <c r="C618" s="69" t="s">
        <v>101</v>
      </c>
      <c r="D618" s="109" t="s">
        <v>102</v>
      </c>
      <c r="E618" s="109"/>
      <c r="G618" s="148">
        <v>658000</v>
      </c>
      <c r="H618" s="148"/>
      <c r="I618" s="329">
        <f t="shared" ref="I618" si="1085">G618+H618</f>
        <v>658000</v>
      </c>
      <c r="J618" s="329">
        <f t="shared" ref="J618" si="1086">I618</f>
        <v>658000</v>
      </c>
      <c r="K618" s="148"/>
      <c r="L618" s="148"/>
      <c r="M618" s="148">
        <v>119000</v>
      </c>
      <c r="N618" s="275">
        <f t="shared" ref="N618" si="1087">J618+K618-L618+M618</f>
        <v>777000</v>
      </c>
      <c r="O618" s="148">
        <v>117657.12</v>
      </c>
      <c r="P618" s="148">
        <f>29414.28+29414.28+29414.28</f>
        <v>88242.84</v>
      </c>
      <c r="Q618" s="148">
        <f>29414.28+29414.28+29414.28</f>
        <v>88242.84</v>
      </c>
      <c r="R618" s="148">
        <f>58866.8+262824.26</f>
        <v>321691.06</v>
      </c>
      <c r="S618" s="274">
        <f t="shared" ref="S618" si="1088">SUM(O618:R618)</f>
        <v>615833.86</v>
      </c>
      <c r="T618" s="148">
        <v>88242.84</v>
      </c>
      <c r="U618" s="148">
        <f>29414.28+29414.28+29414.28+29414.28</f>
        <v>117657.12</v>
      </c>
      <c r="V618" s="148">
        <f>29414.28+29414.28+29414.28</f>
        <v>88242.84</v>
      </c>
      <c r="W618" s="148">
        <f>29414.28+37.24+29414.28+262824.26</f>
        <v>321690.06</v>
      </c>
      <c r="X618" s="274">
        <f t="shared" ref="X618" si="1089">SUM(T618:W618)</f>
        <v>615832.86</v>
      </c>
      <c r="Y618" s="274">
        <f t="shared" ref="Y618" si="1090">I618-N618</f>
        <v>-119000</v>
      </c>
      <c r="Z618" s="274">
        <f t="shared" ref="Z618" si="1091">N618-S618</f>
        <v>161166.14000000001</v>
      </c>
      <c r="AA618" s="152">
        <f>'far 1'!AA74+'far 1'!AA75</f>
        <v>1</v>
      </c>
      <c r="AB618" s="306">
        <f>+S618-X618-AA618</f>
        <v>0</v>
      </c>
    </row>
    <row r="619" spans="1:28" ht="14.1" customHeight="1" x14ac:dyDescent="0.2">
      <c r="A619" s="140"/>
      <c r="B619" s="78"/>
      <c r="C619" s="69" t="s">
        <v>112</v>
      </c>
      <c r="D619" s="109" t="s">
        <v>532</v>
      </c>
      <c r="E619" s="109"/>
      <c r="G619" s="148"/>
      <c r="H619" s="148"/>
      <c r="I619" s="148"/>
      <c r="J619" s="148"/>
      <c r="K619" s="148"/>
      <c r="L619" s="148"/>
      <c r="M619" s="148"/>
      <c r="N619" s="152"/>
      <c r="O619" s="148"/>
      <c r="P619" s="148"/>
      <c r="Q619" s="148"/>
      <c r="R619" s="148"/>
      <c r="S619" s="340"/>
      <c r="T619" s="148"/>
      <c r="U619" s="148"/>
      <c r="V619" s="148"/>
      <c r="W619" s="148"/>
      <c r="X619" s="340"/>
      <c r="Y619" s="340"/>
      <c r="Z619" s="340"/>
      <c r="AA619" s="152"/>
      <c r="AB619" s="300"/>
    </row>
    <row r="620" spans="1:28" ht="14.1" customHeight="1" x14ac:dyDescent="0.2">
      <c r="A620" s="140"/>
      <c r="B620" s="78"/>
      <c r="C620" s="69"/>
      <c r="D620" s="109" t="s">
        <v>114</v>
      </c>
      <c r="E620" s="109" t="s">
        <v>115</v>
      </c>
      <c r="G620" s="148"/>
      <c r="H620" s="148"/>
      <c r="I620" s="329">
        <f t="shared" ref="I620:I622" si="1092">G620+H620</f>
        <v>0</v>
      </c>
      <c r="J620" s="329">
        <f t="shared" ref="J620:J622" si="1093">I620</f>
        <v>0</v>
      </c>
      <c r="K620" s="148"/>
      <c r="L620" s="148"/>
      <c r="M620" s="148"/>
      <c r="N620" s="275">
        <f t="shared" ref="N620:N622" si="1094">J620+K620-L620+M620</f>
        <v>0</v>
      </c>
      <c r="O620" s="148"/>
      <c r="P620" s="148"/>
      <c r="Q620" s="148"/>
      <c r="R620" s="148"/>
      <c r="S620" s="274">
        <f t="shared" ref="S620:S622" si="1095">SUM(O620:R620)</f>
        <v>0</v>
      </c>
      <c r="T620" s="148"/>
      <c r="U620" s="148"/>
      <c r="V620" s="148"/>
      <c r="W620" s="148"/>
      <c r="X620" s="274">
        <f t="shared" ref="X620:X622" si="1096">SUM(T620:W620)</f>
        <v>0</v>
      </c>
      <c r="Y620" s="274">
        <f t="shared" ref="Y620:Y622" si="1097">I620-N620</f>
        <v>0</v>
      </c>
      <c r="Z620" s="274">
        <f t="shared" ref="Z620:Z622" si="1098">N620-S620</f>
        <v>0</v>
      </c>
      <c r="AA620" s="152">
        <f>'far 1'!AA77</f>
        <v>0</v>
      </c>
      <c r="AB620" s="306">
        <f t="shared" ref="AB620:AB622" si="1099">+S620-X620-AA620</f>
        <v>0</v>
      </c>
    </row>
    <row r="621" spans="1:28" ht="14.1" customHeight="1" x14ac:dyDescent="0.2">
      <c r="A621" s="140"/>
      <c r="B621" s="78"/>
      <c r="C621" s="69"/>
      <c r="D621" s="109" t="s">
        <v>116</v>
      </c>
      <c r="E621" s="109" t="s">
        <v>252</v>
      </c>
      <c r="G621" s="148"/>
      <c r="H621" s="148"/>
      <c r="I621" s="329">
        <f t="shared" si="1092"/>
        <v>0</v>
      </c>
      <c r="J621" s="329">
        <f t="shared" si="1093"/>
        <v>0</v>
      </c>
      <c r="K621" s="148"/>
      <c r="L621" s="148"/>
      <c r="M621" s="148"/>
      <c r="N621" s="275">
        <f t="shared" si="1094"/>
        <v>0</v>
      </c>
      <c r="O621" s="148"/>
      <c r="P621" s="148"/>
      <c r="Q621" s="148"/>
      <c r="R621" s="148"/>
      <c r="S621" s="274">
        <f t="shared" si="1095"/>
        <v>0</v>
      </c>
      <c r="T621" s="148"/>
      <c r="U621" s="148"/>
      <c r="V621" s="148"/>
      <c r="W621" s="148"/>
      <c r="X621" s="274">
        <f t="shared" si="1096"/>
        <v>0</v>
      </c>
      <c r="Y621" s="274">
        <f t="shared" si="1097"/>
        <v>0</v>
      </c>
      <c r="Z621" s="274">
        <f t="shared" si="1098"/>
        <v>0</v>
      </c>
      <c r="AA621" s="152">
        <f>'far 1'!AA78</f>
        <v>0</v>
      </c>
      <c r="AB621" s="306">
        <f t="shared" si="1099"/>
        <v>0</v>
      </c>
    </row>
    <row r="622" spans="1:28" ht="14.1" customHeight="1" x14ac:dyDescent="0.2">
      <c r="A622" s="140"/>
      <c r="B622" s="78"/>
      <c r="C622" s="69"/>
      <c r="D622" s="109" t="s">
        <v>117</v>
      </c>
      <c r="E622" s="109" t="s">
        <v>118</v>
      </c>
      <c r="G622" s="148"/>
      <c r="H622" s="148"/>
      <c r="I622" s="329">
        <f t="shared" si="1092"/>
        <v>0</v>
      </c>
      <c r="J622" s="329">
        <f t="shared" si="1093"/>
        <v>0</v>
      </c>
      <c r="K622" s="148"/>
      <c r="L622" s="148"/>
      <c r="M622" s="148"/>
      <c r="N622" s="275">
        <f t="shared" si="1094"/>
        <v>0</v>
      </c>
      <c r="O622" s="148"/>
      <c r="P622" s="148"/>
      <c r="Q622" s="148"/>
      <c r="R622" s="148"/>
      <c r="S622" s="274">
        <f t="shared" si="1095"/>
        <v>0</v>
      </c>
      <c r="T622" s="148"/>
      <c r="U622" s="148"/>
      <c r="V622" s="148"/>
      <c r="W622" s="148"/>
      <c r="X622" s="274">
        <f t="shared" si="1096"/>
        <v>0</v>
      </c>
      <c r="Y622" s="274">
        <f t="shared" si="1097"/>
        <v>0</v>
      </c>
      <c r="Z622" s="274">
        <f t="shared" si="1098"/>
        <v>0</v>
      </c>
      <c r="AA622" s="152">
        <f>'far 1'!AA79</f>
        <v>0</v>
      </c>
      <c r="AB622" s="306">
        <f t="shared" si="1099"/>
        <v>0</v>
      </c>
    </row>
    <row r="623" spans="1:28" ht="14.1" customHeight="1" x14ac:dyDescent="0.2">
      <c r="A623" s="140"/>
      <c r="B623" s="78"/>
      <c r="C623" s="69" t="s">
        <v>119</v>
      </c>
      <c r="D623" s="109" t="s">
        <v>120</v>
      </c>
      <c r="E623" s="109"/>
      <c r="G623" s="148"/>
      <c r="H623" s="148"/>
      <c r="I623" s="148"/>
      <c r="J623" s="148"/>
      <c r="K623" s="148"/>
      <c r="L623" s="148"/>
      <c r="M623" s="148"/>
      <c r="N623" s="152"/>
      <c r="O623" s="148"/>
      <c r="P623" s="148"/>
      <c r="Q623" s="148"/>
      <c r="R623" s="148"/>
      <c r="S623" s="340"/>
      <c r="T623" s="148"/>
      <c r="U623" s="148"/>
      <c r="V623" s="148"/>
      <c r="W623" s="148"/>
      <c r="X623" s="340"/>
      <c r="Y623" s="340"/>
      <c r="Z623" s="340"/>
      <c r="AA623" s="152"/>
      <c r="AB623" s="300"/>
    </row>
    <row r="624" spans="1:28" ht="14.1" customHeight="1" x14ac:dyDescent="0.2">
      <c r="A624" s="140"/>
      <c r="B624" s="78"/>
      <c r="C624" s="69"/>
      <c r="D624" s="109" t="s">
        <v>121</v>
      </c>
      <c r="E624" s="109" t="s">
        <v>122</v>
      </c>
      <c r="G624" s="148"/>
      <c r="H624" s="148"/>
      <c r="I624" s="329">
        <f t="shared" ref="I624:I626" si="1100">G624+H624</f>
        <v>0</v>
      </c>
      <c r="J624" s="329">
        <f t="shared" ref="J624:J626" si="1101">I624</f>
        <v>0</v>
      </c>
      <c r="K624" s="148"/>
      <c r="L624" s="148"/>
      <c r="M624" s="148"/>
      <c r="N624" s="275">
        <f t="shared" ref="N624:N626" si="1102">J624+K624-L624+M624</f>
        <v>0</v>
      </c>
      <c r="O624" s="148"/>
      <c r="P624" s="148"/>
      <c r="Q624" s="148"/>
      <c r="R624" s="148"/>
      <c r="S624" s="274">
        <f t="shared" ref="S624:S626" si="1103">SUM(O624:R624)</f>
        <v>0</v>
      </c>
      <c r="T624" s="148"/>
      <c r="U624" s="148"/>
      <c r="V624" s="148"/>
      <c r="W624" s="148"/>
      <c r="X624" s="274">
        <f t="shared" ref="X624:X626" si="1104">SUM(T624:W624)</f>
        <v>0</v>
      </c>
      <c r="Y624" s="274">
        <f t="shared" ref="Y624:Y626" si="1105">I624-N624</f>
        <v>0</v>
      </c>
      <c r="Z624" s="274">
        <f t="shared" ref="Z624:Z626" si="1106">N624-S624</f>
        <v>0</v>
      </c>
      <c r="AA624" s="152">
        <f>'far 1'!AA81</f>
        <v>0</v>
      </c>
      <c r="AB624" s="306">
        <f t="shared" ref="AB624:AB626" si="1107">+S624-X624-AA624</f>
        <v>0</v>
      </c>
    </row>
    <row r="625" spans="1:28" ht="14.1" customHeight="1" x14ac:dyDescent="0.2">
      <c r="A625" s="140"/>
      <c r="B625" s="78"/>
      <c r="C625" s="69"/>
      <c r="D625" s="109" t="s">
        <v>151</v>
      </c>
      <c r="E625" s="109" t="s">
        <v>152</v>
      </c>
      <c r="G625" s="148">
        <v>160000</v>
      </c>
      <c r="H625" s="148"/>
      <c r="I625" s="329">
        <f t="shared" si="1100"/>
        <v>160000</v>
      </c>
      <c r="J625" s="329">
        <f t="shared" si="1101"/>
        <v>160000</v>
      </c>
      <c r="K625" s="148"/>
      <c r="L625" s="148"/>
      <c r="M625" s="148"/>
      <c r="N625" s="275">
        <f t="shared" si="1102"/>
        <v>160000</v>
      </c>
      <c r="O625" s="148">
        <v>117933.36</v>
      </c>
      <c r="P625" s="148">
        <f>29989.44+29989.44+29989.44</f>
        <v>89968.319999999992</v>
      </c>
      <c r="Q625" s="148">
        <f>29989.44+29989.44+29989.44</f>
        <v>89968.319999999992</v>
      </c>
      <c r="R625" s="148">
        <f>59998.8-197868.8</f>
        <v>-137870</v>
      </c>
      <c r="S625" s="274">
        <f t="shared" si="1103"/>
        <v>160000</v>
      </c>
      <c r="T625" s="148">
        <v>87943.92</v>
      </c>
      <c r="U625" s="148">
        <f>29989.44+29989.44+29989.44+29989.44</f>
        <v>119957.75999999999</v>
      </c>
      <c r="V625" s="148">
        <f>29989.44+29989.44+29989.44</f>
        <v>89968.319999999992</v>
      </c>
      <c r="W625" s="148">
        <f>29989.44+30009.36-197868.8</f>
        <v>-137870</v>
      </c>
      <c r="X625" s="274">
        <f t="shared" si="1104"/>
        <v>160000</v>
      </c>
      <c r="Y625" s="274">
        <f t="shared" si="1105"/>
        <v>0</v>
      </c>
      <c r="Z625" s="274">
        <f t="shared" si="1106"/>
        <v>0</v>
      </c>
      <c r="AA625" s="152">
        <f>'far 1'!AA82</f>
        <v>0</v>
      </c>
      <c r="AB625" s="306">
        <f t="shared" si="1107"/>
        <v>0</v>
      </c>
    </row>
    <row r="626" spans="1:28" ht="14.1" customHeight="1" x14ac:dyDescent="0.2">
      <c r="A626" s="140"/>
      <c r="B626" s="78"/>
      <c r="C626" s="69"/>
      <c r="D626" s="109" t="s">
        <v>193</v>
      </c>
      <c r="E626" s="109" t="s">
        <v>194</v>
      </c>
      <c r="G626" s="148">
        <v>841000</v>
      </c>
      <c r="H626" s="148"/>
      <c r="I626" s="329">
        <f t="shared" si="1100"/>
        <v>841000</v>
      </c>
      <c r="J626" s="329">
        <f t="shared" si="1101"/>
        <v>841000</v>
      </c>
      <c r="K626" s="148"/>
      <c r="L626" s="148"/>
      <c r="M626" s="148"/>
      <c r="N626" s="275">
        <f t="shared" si="1102"/>
        <v>841000</v>
      </c>
      <c r="O626" s="148">
        <v>301767.84000000003</v>
      </c>
      <c r="P626" s="148">
        <f>75441.96+75441.96+180.22+75498.6</f>
        <v>226562.74000000002</v>
      </c>
      <c r="Q626" s="148">
        <f>75498.6+75498.6+75498.6</f>
        <v>226495.80000000002</v>
      </c>
      <c r="R626" s="148">
        <f>151129.08-64955.46</f>
        <v>86173.62</v>
      </c>
      <c r="S626" s="274">
        <f t="shared" si="1103"/>
        <v>841000.00000000012</v>
      </c>
      <c r="T626" s="148">
        <v>226325.88</v>
      </c>
      <c r="U626" s="148">
        <f>75441.96+75441.96+75441.96+75498.6</f>
        <v>301824.48</v>
      </c>
      <c r="V626" s="148">
        <f>180.22+75498.6+75498.6+75498.6</f>
        <v>226676.02000000002</v>
      </c>
      <c r="W626" s="148">
        <f>75498.6+75630.48-64955.46</f>
        <v>86173.620000000024</v>
      </c>
      <c r="X626" s="274">
        <f t="shared" si="1104"/>
        <v>841000</v>
      </c>
      <c r="Y626" s="274">
        <f t="shared" si="1105"/>
        <v>0</v>
      </c>
      <c r="Z626" s="274">
        <f t="shared" si="1106"/>
        <v>0</v>
      </c>
      <c r="AA626" s="152">
        <f>'far 1'!AA83</f>
        <v>0</v>
      </c>
      <c r="AB626" s="306">
        <f t="shared" si="1107"/>
        <v>1.1641532182693481E-10</v>
      </c>
    </row>
    <row r="627" spans="1:28" s="87" customFormat="1" ht="14.1" customHeight="1" x14ac:dyDescent="0.2">
      <c r="A627" s="314"/>
      <c r="B627" s="101" t="s">
        <v>145</v>
      </c>
      <c r="C627" s="73"/>
      <c r="D627" s="288"/>
      <c r="E627" s="288"/>
      <c r="F627" s="252" t="s">
        <v>280</v>
      </c>
      <c r="G627" s="362">
        <f t="shared" ref="G627" si="1108">SUM(G630:G701)</f>
        <v>0</v>
      </c>
      <c r="H627" s="362">
        <f t="shared" ref="H627:AB627" si="1109">SUM(H630:H701)</f>
        <v>0</v>
      </c>
      <c r="I627" s="362">
        <f t="shared" si="1109"/>
        <v>0</v>
      </c>
      <c r="J627" s="362">
        <f t="shared" si="1109"/>
        <v>0</v>
      </c>
      <c r="K627" s="362">
        <f t="shared" si="1109"/>
        <v>0</v>
      </c>
      <c r="L627" s="362">
        <f t="shared" si="1109"/>
        <v>0</v>
      </c>
      <c r="M627" s="362">
        <f t="shared" si="1109"/>
        <v>248000</v>
      </c>
      <c r="N627" s="362">
        <f t="shared" si="1109"/>
        <v>248000</v>
      </c>
      <c r="O627" s="362">
        <f t="shared" si="1109"/>
        <v>0</v>
      </c>
      <c r="P627" s="362">
        <f t="shared" si="1109"/>
        <v>0</v>
      </c>
      <c r="Q627" s="362">
        <f t="shared" si="1109"/>
        <v>51000</v>
      </c>
      <c r="R627" s="362">
        <f t="shared" si="1109"/>
        <v>28393.47</v>
      </c>
      <c r="S627" s="362">
        <f t="shared" si="1109"/>
        <v>79393.47</v>
      </c>
      <c r="T627" s="362">
        <f t="shared" si="1109"/>
        <v>0</v>
      </c>
      <c r="U627" s="362">
        <f t="shared" si="1109"/>
        <v>0</v>
      </c>
      <c r="V627" s="362">
        <f t="shared" si="1109"/>
        <v>51000</v>
      </c>
      <c r="W627" s="362">
        <f t="shared" si="1109"/>
        <v>28393.47</v>
      </c>
      <c r="X627" s="362">
        <f t="shared" si="1109"/>
        <v>79393.47</v>
      </c>
      <c r="Y627" s="362">
        <f t="shared" si="1109"/>
        <v>-248000</v>
      </c>
      <c r="Z627" s="362">
        <f t="shared" si="1109"/>
        <v>168606.53</v>
      </c>
      <c r="AA627" s="726">
        <f t="shared" ref="AA627" si="1110">SUM(AA630:AA701)</f>
        <v>0</v>
      </c>
      <c r="AB627" s="721">
        <f t="shared" si="1109"/>
        <v>0</v>
      </c>
    </row>
    <row r="628" spans="1:28" s="90" customFormat="1" ht="14.1" customHeight="1" x14ac:dyDescent="0.2">
      <c r="A628" s="301"/>
      <c r="B628" s="347" t="s">
        <v>316</v>
      </c>
      <c r="C628" s="101"/>
      <c r="D628" s="101"/>
      <c r="E628" s="101"/>
      <c r="F628" s="370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  <c r="Y628" s="149"/>
      <c r="Z628" s="149"/>
      <c r="AA628" s="159"/>
      <c r="AB628" s="583"/>
    </row>
    <row r="629" spans="1:28" s="90" customFormat="1" ht="14.1" customHeight="1" x14ac:dyDescent="0.2">
      <c r="A629" s="301"/>
      <c r="B629" s="348" t="s">
        <v>317</v>
      </c>
      <c r="C629" s="101"/>
      <c r="D629" s="101"/>
      <c r="E629" s="101"/>
      <c r="F629" s="370"/>
      <c r="G629" s="321"/>
      <c r="H629" s="321"/>
      <c r="I629" s="321"/>
      <c r="J629" s="321"/>
      <c r="K629" s="332"/>
      <c r="L629" s="332"/>
      <c r="M629" s="332"/>
      <c r="N629" s="332"/>
      <c r="O629" s="332"/>
      <c r="P629" s="332"/>
      <c r="Q629" s="332"/>
      <c r="R629" s="332"/>
      <c r="S629" s="332"/>
      <c r="T629" s="332"/>
      <c r="U629" s="332"/>
      <c r="V629" s="332"/>
      <c r="W629" s="332"/>
      <c r="X629" s="332"/>
      <c r="Y629" s="332"/>
      <c r="Z629" s="332"/>
      <c r="AA629" s="332"/>
      <c r="AB629" s="302"/>
    </row>
    <row r="630" spans="1:28" s="90" customFormat="1" ht="14.1" customHeight="1" x14ac:dyDescent="0.2">
      <c r="A630" s="301"/>
      <c r="B630" s="350" t="s">
        <v>318</v>
      </c>
      <c r="C630" s="101"/>
      <c r="D630" s="101"/>
      <c r="E630" s="101"/>
      <c r="F630" s="370" t="s">
        <v>319</v>
      </c>
      <c r="G630" s="321"/>
      <c r="H630" s="321"/>
      <c r="I630" s="329">
        <f t="shared" ref="I630:I631" si="1111">G630+H630</f>
        <v>0</v>
      </c>
      <c r="J630" s="329">
        <f t="shared" ref="J630:J631" si="1112">I630</f>
        <v>0</v>
      </c>
      <c r="K630" s="274"/>
      <c r="L630" s="274"/>
      <c r="M630" s="274">
        <v>120000</v>
      </c>
      <c r="N630" s="275">
        <f t="shared" ref="N630:N631" si="1113">J630+K630-L630+M630</f>
        <v>120000</v>
      </c>
      <c r="O630" s="274"/>
      <c r="P630" s="274"/>
      <c r="Q630" s="274"/>
      <c r="R630" s="274">
        <v>25393.47</v>
      </c>
      <c r="S630" s="274">
        <f t="shared" ref="S630:S631" si="1114">SUM(O630:R630)</f>
        <v>25393.47</v>
      </c>
      <c r="T630" s="274"/>
      <c r="U630" s="274"/>
      <c r="V630" s="274"/>
      <c r="W630" s="274">
        <v>25393.47</v>
      </c>
      <c r="X630" s="274">
        <f t="shared" ref="X630:X631" si="1115">SUM(T630:W630)</f>
        <v>25393.47</v>
      </c>
      <c r="Y630" s="274">
        <f t="shared" ref="Y630:Y631" si="1116">I630-N630</f>
        <v>-120000</v>
      </c>
      <c r="Z630" s="274">
        <f t="shared" ref="Z630:Z631" si="1117">N630-S630</f>
        <v>94606.53</v>
      </c>
      <c r="AA630" s="274"/>
      <c r="AB630" s="306">
        <f t="shared" ref="AB630:AB631" si="1118">+S630-X630-AA630</f>
        <v>0</v>
      </c>
    </row>
    <row r="631" spans="1:28" s="90" customFormat="1" ht="14.1" hidden="1" customHeight="1" x14ac:dyDescent="0.2">
      <c r="A631" s="301"/>
      <c r="B631" s="350" t="s">
        <v>320</v>
      </c>
      <c r="C631" s="101"/>
      <c r="D631" s="101"/>
      <c r="E631" s="101"/>
      <c r="F631" s="370" t="s">
        <v>321</v>
      </c>
      <c r="G631" s="321"/>
      <c r="H631" s="321"/>
      <c r="I631" s="329">
        <f t="shared" si="1111"/>
        <v>0</v>
      </c>
      <c r="J631" s="329">
        <f t="shared" si="1112"/>
        <v>0</v>
      </c>
      <c r="K631" s="274"/>
      <c r="L631" s="274"/>
      <c r="M631" s="274"/>
      <c r="N631" s="275">
        <f t="shared" si="1113"/>
        <v>0</v>
      </c>
      <c r="O631" s="274"/>
      <c r="P631" s="274"/>
      <c r="Q631" s="274"/>
      <c r="R631" s="274"/>
      <c r="S631" s="274">
        <f t="shared" si="1114"/>
        <v>0</v>
      </c>
      <c r="T631" s="274"/>
      <c r="U631" s="274"/>
      <c r="V631" s="274"/>
      <c r="W631" s="274"/>
      <c r="X631" s="274">
        <f t="shared" si="1115"/>
        <v>0</v>
      </c>
      <c r="Y631" s="274">
        <f t="shared" si="1116"/>
        <v>0</v>
      </c>
      <c r="Z631" s="274">
        <f t="shared" si="1117"/>
        <v>0</v>
      </c>
      <c r="AA631" s="274"/>
      <c r="AB631" s="306">
        <f t="shared" si="1118"/>
        <v>0</v>
      </c>
    </row>
    <row r="632" spans="1:28" s="90" customFormat="1" ht="14.1" hidden="1" customHeight="1" x14ac:dyDescent="0.2">
      <c r="A632" s="301"/>
      <c r="B632" s="351" t="s">
        <v>322</v>
      </c>
      <c r="C632" s="101"/>
      <c r="D632" s="101"/>
      <c r="E632" s="101"/>
      <c r="F632" s="370"/>
      <c r="G632" s="321"/>
      <c r="H632" s="321"/>
      <c r="I632" s="321"/>
      <c r="J632" s="321"/>
      <c r="K632" s="332"/>
      <c r="L632" s="332"/>
      <c r="M632" s="332"/>
      <c r="N632" s="332"/>
      <c r="O632" s="332"/>
      <c r="P632" s="332"/>
      <c r="Q632" s="332"/>
      <c r="R632" s="332"/>
      <c r="S632" s="332"/>
      <c r="T632" s="332"/>
      <c r="U632" s="332"/>
      <c r="V632" s="332"/>
      <c r="W632" s="332"/>
      <c r="X632" s="332"/>
      <c r="Y632" s="332"/>
      <c r="Z632" s="332"/>
      <c r="AA632" s="332"/>
      <c r="AB632" s="302"/>
    </row>
    <row r="633" spans="1:28" s="90" customFormat="1" ht="14.1" hidden="1" customHeight="1" x14ac:dyDescent="0.2">
      <c r="A633" s="301"/>
      <c r="B633" s="350" t="s">
        <v>323</v>
      </c>
      <c r="C633" s="101"/>
      <c r="D633" s="101"/>
      <c r="E633" s="101"/>
      <c r="F633" s="370" t="s">
        <v>324</v>
      </c>
      <c r="G633" s="321"/>
      <c r="H633" s="321"/>
      <c r="I633" s="329">
        <f t="shared" ref="I633:I635" si="1119">G633+H633</f>
        <v>0</v>
      </c>
      <c r="J633" s="329">
        <f t="shared" ref="J633:J635" si="1120">I633</f>
        <v>0</v>
      </c>
      <c r="K633" s="274"/>
      <c r="L633" s="274"/>
      <c r="M633" s="274"/>
      <c r="N633" s="275">
        <f t="shared" ref="N633:N635" si="1121">J633+K633-L633+M633</f>
        <v>0</v>
      </c>
      <c r="O633" s="274"/>
      <c r="P633" s="274"/>
      <c r="Q633" s="274"/>
      <c r="R633" s="274"/>
      <c r="S633" s="274">
        <f t="shared" ref="S633:S635" si="1122">SUM(O633:R633)</f>
        <v>0</v>
      </c>
      <c r="T633" s="274"/>
      <c r="U633" s="274"/>
      <c r="V633" s="274"/>
      <c r="W633" s="274"/>
      <c r="X633" s="274">
        <f t="shared" ref="X633:X635" si="1123">SUM(T633:W633)</f>
        <v>0</v>
      </c>
      <c r="Y633" s="274">
        <f t="shared" ref="Y633:Y635" si="1124">I633-N633</f>
        <v>0</v>
      </c>
      <c r="Z633" s="274">
        <f t="shared" ref="Z633:Z635" si="1125">N633-S633</f>
        <v>0</v>
      </c>
      <c r="AA633" s="274"/>
      <c r="AB633" s="306">
        <f t="shared" ref="AB633:AB635" si="1126">+S633-X633-AA633</f>
        <v>0</v>
      </c>
    </row>
    <row r="634" spans="1:28" s="90" customFormat="1" ht="14.1" hidden="1" customHeight="1" x14ac:dyDescent="0.2">
      <c r="A634" s="301"/>
      <c r="B634" s="350" t="s">
        <v>720</v>
      </c>
      <c r="C634" s="718"/>
      <c r="D634" s="718"/>
      <c r="E634" s="718"/>
      <c r="F634" s="370" t="s">
        <v>721</v>
      </c>
      <c r="G634" s="321"/>
      <c r="H634" s="321"/>
      <c r="I634" s="329">
        <f t="shared" ref="I634" si="1127">G634+H634</f>
        <v>0</v>
      </c>
      <c r="J634" s="329">
        <f t="shared" ref="J634" si="1128">I634</f>
        <v>0</v>
      </c>
      <c r="K634" s="274"/>
      <c r="L634" s="274"/>
      <c r="M634" s="274"/>
      <c r="N634" s="275">
        <f t="shared" si="1121"/>
        <v>0</v>
      </c>
      <c r="O634" s="274"/>
      <c r="P634" s="274"/>
      <c r="Q634" s="274"/>
      <c r="R634" s="274"/>
      <c r="S634" s="274">
        <f t="shared" ref="S634" si="1129">SUM(O634:R634)</f>
        <v>0</v>
      </c>
      <c r="T634" s="274"/>
      <c r="U634" s="274"/>
      <c r="V634" s="274"/>
      <c r="W634" s="274"/>
      <c r="X634" s="274">
        <f t="shared" ref="X634" si="1130">SUM(T634:W634)</f>
        <v>0</v>
      </c>
      <c r="Y634" s="274">
        <f t="shared" ref="Y634" si="1131">I634-N634</f>
        <v>0</v>
      </c>
      <c r="Z634" s="274">
        <f t="shared" ref="Z634" si="1132">N634-S634</f>
        <v>0</v>
      </c>
      <c r="AA634" s="274"/>
      <c r="AB634" s="306">
        <f t="shared" ref="AB634" si="1133">+S634-X634-AA634</f>
        <v>0</v>
      </c>
    </row>
    <row r="635" spans="1:28" s="90" customFormat="1" ht="14.1" hidden="1" customHeight="1" x14ac:dyDescent="0.2">
      <c r="A635" s="301"/>
      <c r="B635" s="350" t="s">
        <v>325</v>
      </c>
      <c r="C635" s="101"/>
      <c r="D635" s="101"/>
      <c r="E635" s="101"/>
      <c r="F635" s="370" t="s">
        <v>326</v>
      </c>
      <c r="G635" s="321"/>
      <c r="H635" s="321"/>
      <c r="I635" s="329">
        <f t="shared" si="1119"/>
        <v>0</v>
      </c>
      <c r="J635" s="329">
        <f t="shared" si="1120"/>
        <v>0</v>
      </c>
      <c r="K635" s="274"/>
      <c r="L635" s="274"/>
      <c r="M635" s="274"/>
      <c r="N635" s="275">
        <f t="shared" si="1121"/>
        <v>0</v>
      </c>
      <c r="O635" s="274"/>
      <c r="P635" s="274"/>
      <c r="Q635" s="274"/>
      <c r="R635" s="274"/>
      <c r="S635" s="274">
        <f t="shared" si="1122"/>
        <v>0</v>
      </c>
      <c r="T635" s="274"/>
      <c r="U635" s="274"/>
      <c r="V635" s="274"/>
      <c r="W635" s="274"/>
      <c r="X635" s="274">
        <f t="shared" si="1123"/>
        <v>0</v>
      </c>
      <c r="Y635" s="274">
        <f t="shared" si="1124"/>
        <v>0</v>
      </c>
      <c r="Z635" s="274">
        <f t="shared" si="1125"/>
        <v>0</v>
      </c>
      <c r="AA635" s="274"/>
      <c r="AB635" s="306">
        <f t="shared" si="1126"/>
        <v>0</v>
      </c>
    </row>
    <row r="636" spans="1:28" s="90" customFormat="1" ht="14.1" customHeight="1" x14ac:dyDescent="0.2">
      <c r="A636" s="301"/>
      <c r="B636" s="351" t="s">
        <v>327</v>
      </c>
      <c r="C636" s="101"/>
      <c r="D636" s="101"/>
      <c r="E636" s="101"/>
      <c r="F636" s="370"/>
      <c r="G636" s="321"/>
      <c r="H636" s="321"/>
      <c r="I636" s="321"/>
      <c r="J636" s="321"/>
      <c r="K636" s="332"/>
      <c r="L636" s="332"/>
      <c r="M636" s="332"/>
      <c r="N636" s="332"/>
      <c r="O636" s="332"/>
      <c r="P636" s="332"/>
      <c r="Q636" s="332"/>
      <c r="R636" s="332"/>
      <c r="S636" s="332"/>
      <c r="T636" s="332"/>
      <c r="U636" s="332"/>
      <c r="V636" s="332"/>
      <c r="W636" s="332"/>
      <c r="X636" s="332"/>
      <c r="Y636" s="332"/>
      <c r="Z636" s="332"/>
      <c r="AA636" s="332"/>
      <c r="AB636" s="302"/>
    </row>
    <row r="637" spans="1:28" s="90" customFormat="1" ht="14.1" customHeight="1" x14ac:dyDescent="0.2">
      <c r="A637" s="301"/>
      <c r="B637" s="350" t="s">
        <v>328</v>
      </c>
      <c r="C637" s="101"/>
      <c r="D637" s="101"/>
      <c r="E637" s="101"/>
      <c r="F637" s="370" t="s">
        <v>743</v>
      </c>
      <c r="G637" s="321"/>
      <c r="H637" s="321"/>
      <c r="I637" s="329">
        <f t="shared" ref="I637:I642" si="1134">G637+H637</f>
        <v>0</v>
      </c>
      <c r="J637" s="329">
        <f t="shared" ref="J637:J642" si="1135">I637</f>
        <v>0</v>
      </c>
      <c r="K637" s="274"/>
      <c r="L637" s="274"/>
      <c r="M637" s="274">
        <v>10000</v>
      </c>
      <c r="N637" s="275">
        <f t="shared" ref="N637:N642" si="1136">J637+K637-L637+M637</f>
        <v>10000</v>
      </c>
      <c r="O637" s="274"/>
      <c r="P637" s="274"/>
      <c r="Q637" s="274">
        <v>10000</v>
      </c>
      <c r="R637" s="274"/>
      <c r="S637" s="274">
        <f t="shared" ref="S637:S642" si="1137">SUM(O637:R637)</f>
        <v>10000</v>
      </c>
      <c r="T637" s="274"/>
      <c r="U637" s="274"/>
      <c r="V637" s="274">
        <v>10000</v>
      </c>
      <c r="W637" s="274"/>
      <c r="X637" s="274">
        <f t="shared" ref="X637:X642" si="1138">SUM(T637:W637)</f>
        <v>10000</v>
      </c>
      <c r="Y637" s="274">
        <f t="shared" ref="Y637:Y642" si="1139">I637-N637</f>
        <v>-10000</v>
      </c>
      <c r="Z637" s="274">
        <f t="shared" ref="Z637:Z642" si="1140">N637-S637</f>
        <v>0</v>
      </c>
      <c r="AA637" s="274"/>
      <c r="AB637" s="306">
        <f t="shared" ref="AB637:AB642" si="1141">+S637-X637-AA637</f>
        <v>0</v>
      </c>
    </row>
    <row r="638" spans="1:28" s="90" customFormat="1" ht="14.1" hidden="1" customHeight="1" x14ac:dyDescent="0.2">
      <c r="A638" s="301"/>
      <c r="B638" s="350" t="s">
        <v>330</v>
      </c>
      <c r="C638" s="101"/>
      <c r="D638" s="101"/>
      <c r="E638" s="101"/>
      <c r="F638" s="370" t="s">
        <v>331</v>
      </c>
      <c r="G638" s="321"/>
      <c r="H638" s="321"/>
      <c r="I638" s="329">
        <f t="shared" si="1134"/>
        <v>0</v>
      </c>
      <c r="J638" s="329">
        <f t="shared" si="1135"/>
        <v>0</v>
      </c>
      <c r="K638" s="274"/>
      <c r="L638" s="274"/>
      <c r="M638" s="274"/>
      <c r="N638" s="275">
        <f t="shared" si="1136"/>
        <v>0</v>
      </c>
      <c r="O638" s="274"/>
      <c r="P638" s="274"/>
      <c r="Q638" s="274"/>
      <c r="R638" s="274"/>
      <c r="S638" s="274">
        <f t="shared" si="1137"/>
        <v>0</v>
      </c>
      <c r="T638" s="274"/>
      <c r="U638" s="274"/>
      <c r="V638" s="274"/>
      <c r="W638" s="274"/>
      <c r="X638" s="274">
        <f t="shared" si="1138"/>
        <v>0</v>
      </c>
      <c r="Y638" s="274">
        <f t="shared" si="1139"/>
        <v>0</v>
      </c>
      <c r="Z638" s="274">
        <f t="shared" si="1140"/>
        <v>0</v>
      </c>
      <c r="AA638" s="274"/>
      <c r="AB638" s="306">
        <f t="shared" si="1141"/>
        <v>0</v>
      </c>
    </row>
    <row r="639" spans="1:28" s="90" customFormat="1" ht="14.1" hidden="1" customHeight="1" x14ac:dyDescent="0.2">
      <c r="A639" s="301"/>
      <c r="B639" s="350" t="s">
        <v>332</v>
      </c>
      <c r="C639" s="101"/>
      <c r="D639" s="101"/>
      <c r="E639" s="101"/>
      <c r="F639" s="370" t="s">
        <v>333</v>
      </c>
      <c r="G639" s="321"/>
      <c r="H639" s="321"/>
      <c r="I639" s="329">
        <f t="shared" si="1134"/>
        <v>0</v>
      </c>
      <c r="J639" s="329">
        <f t="shared" si="1135"/>
        <v>0</v>
      </c>
      <c r="K639" s="274"/>
      <c r="L639" s="274"/>
      <c r="M639" s="274"/>
      <c r="N639" s="275">
        <f t="shared" si="1136"/>
        <v>0</v>
      </c>
      <c r="O639" s="274"/>
      <c r="P639" s="274"/>
      <c r="Q639" s="274"/>
      <c r="R639" s="274"/>
      <c r="S639" s="274">
        <f t="shared" si="1137"/>
        <v>0</v>
      </c>
      <c r="T639" s="274"/>
      <c r="U639" s="274"/>
      <c r="V639" s="274"/>
      <c r="W639" s="274"/>
      <c r="X639" s="274">
        <f t="shared" si="1138"/>
        <v>0</v>
      </c>
      <c r="Y639" s="274">
        <f t="shared" si="1139"/>
        <v>0</v>
      </c>
      <c r="Z639" s="274">
        <f t="shared" si="1140"/>
        <v>0</v>
      </c>
      <c r="AA639" s="274"/>
      <c r="AB639" s="306">
        <f t="shared" si="1141"/>
        <v>0</v>
      </c>
    </row>
    <row r="640" spans="1:28" s="90" customFormat="1" ht="14.1" hidden="1" customHeight="1" x14ac:dyDescent="0.2">
      <c r="A640" s="301"/>
      <c r="B640" s="350" t="s">
        <v>334</v>
      </c>
      <c r="C640" s="101"/>
      <c r="D640" s="101"/>
      <c r="E640" s="101"/>
      <c r="F640" s="370" t="s">
        <v>335</v>
      </c>
      <c r="G640" s="321"/>
      <c r="H640" s="321"/>
      <c r="I640" s="329">
        <f t="shared" si="1134"/>
        <v>0</v>
      </c>
      <c r="J640" s="329">
        <f t="shared" si="1135"/>
        <v>0</v>
      </c>
      <c r="K640" s="274"/>
      <c r="L640" s="274"/>
      <c r="M640" s="274"/>
      <c r="N640" s="275">
        <f t="shared" si="1136"/>
        <v>0</v>
      </c>
      <c r="O640" s="274"/>
      <c r="P640" s="274"/>
      <c r="Q640" s="274"/>
      <c r="R640" s="274"/>
      <c r="S640" s="274">
        <f t="shared" si="1137"/>
        <v>0</v>
      </c>
      <c r="T640" s="274"/>
      <c r="U640" s="274"/>
      <c r="V640" s="274"/>
      <c r="W640" s="274"/>
      <c r="X640" s="274">
        <f t="shared" si="1138"/>
        <v>0</v>
      </c>
      <c r="Y640" s="274">
        <f t="shared" si="1139"/>
        <v>0</v>
      </c>
      <c r="Z640" s="274">
        <f t="shared" si="1140"/>
        <v>0</v>
      </c>
      <c r="AA640" s="274"/>
      <c r="AB640" s="306">
        <f t="shared" si="1141"/>
        <v>0</v>
      </c>
    </row>
    <row r="641" spans="1:28" s="90" customFormat="1" ht="14.1" customHeight="1" x14ac:dyDescent="0.2">
      <c r="A641" s="301"/>
      <c r="B641" s="350" t="s">
        <v>336</v>
      </c>
      <c r="C641" s="101"/>
      <c r="D641" s="101"/>
      <c r="E641" s="101"/>
      <c r="F641" s="370" t="s">
        <v>337</v>
      </c>
      <c r="G641" s="321"/>
      <c r="H641" s="321"/>
      <c r="I641" s="329">
        <f t="shared" si="1134"/>
        <v>0</v>
      </c>
      <c r="J641" s="329">
        <f t="shared" si="1135"/>
        <v>0</v>
      </c>
      <c r="K641" s="274"/>
      <c r="L641" s="274"/>
      <c r="M641" s="274">
        <v>20000</v>
      </c>
      <c r="N641" s="275">
        <f t="shared" si="1136"/>
        <v>20000</v>
      </c>
      <c r="O641" s="274"/>
      <c r="P641" s="274"/>
      <c r="Q641" s="274">
        <v>20000</v>
      </c>
      <c r="R641" s="274"/>
      <c r="S641" s="274">
        <f t="shared" si="1137"/>
        <v>20000</v>
      </c>
      <c r="T641" s="274"/>
      <c r="U641" s="274"/>
      <c r="V641" s="274">
        <v>20000</v>
      </c>
      <c r="W641" s="274"/>
      <c r="X641" s="274">
        <f t="shared" si="1138"/>
        <v>20000</v>
      </c>
      <c r="Y641" s="274">
        <f t="shared" si="1139"/>
        <v>-20000</v>
      </c>
      <c r="Z641" s="274">
        <f t="shared" si="1140"/>
        <v>0</v>
      </c>
      <c r="AA641" s="274"/>
      <c r="AB641" s="306">
        <f t="shared" si="1141"/>
        <v>0</v>
      </c>
    </row>
    <row r="642" spans="1:28" s="90" customFormat="1" ht="14.1" customHeight="1" x14ac:dyDescent="0.2">
      <c r="A642" s="301"/>
      <c r="B642" s="350" t="s">
        <v>338</v>
      </c>
      <c r="C642" s="101"/>
      <c r="D642" s="101"/>
      <c r="E642" s="101"/>
      <c r="F642" s="370" t="s">
        <v>339</v>
      </c>
      <c r="G642" s="321"/>
      <c r="H642" s="321"/>
      <c r="I642" s="329">
        <f t="shared" si="1134"/>
        <v>0</v>
      </c>
      <c r="J642" s="329">
        <f t="shared" si="1135"/>
        <v>0</v>
      </c>
      <c r="K642" s="274"/>
      <c r="L642" s="274"/>
      <c r="M642" s="274"/>
      <c r="N642" s="275">
        <f t="shared" si="1136"/>
        <v>0</v>
      </c>
      <c r="O642" s="274"/>
      <c r="P642" s="274"/>
      <c r="Q642" s="274"/>
      <c r="R642" s="274"/>
      <c r="S642" s="274">
        <f t="shared" si="1137"/>
        <v>0</v>
      </c>
      <c r="T642" s="274"/>
      <c r="U642" s="274"/>
      <c r="V642" s="274"/>
      <c r="W642" s="274"/>
      <c r="X642" s="274">
        <f t="shared" si="1138"/>
        <v>0</v>
      </c>
      <c r="Y642" s="274">
        <f t="shared" si="1139"/>
        <v>0</v>
      </c>
      <c r="Z642" s="274">
        <f t="shared" si="1140"/>
        <v>0</v>
      </c>
      <c r="AA642" s="274"/>
      <c r="AB642" s="306">
        <f t="shared" si="1141"/>
        <v>0</v>
      </c>
    </row>
    <row r="643" spans="1:28" s="90" customFormat="1" ht="14.1" hidden="1" customHeight="1" x14ac:dyDescent="0.2">
      <c r="A643" s="301"/>
      <c r="B643" s="351" t="s">
        <v>340</v>
      </c>
      <c r="C643" s="101"/>
      <c r="D643" s="101"/>
      <c r="E643" s="101"/>
      <c r="F643" s="370"/>
      <c r="G643" s="321"/>
      <c r="H643" s="321"/>
      <c r="I643" s="321"/>
      <c r="J643" s="321"/>
      <c r="K643" s="332"/>
      <c r="L643" s="332"/>
      <c r="M643" s="332"/>
      <c r="N643" s="332"/>
      <c r="O643" s="332"/>
      <c r="P643" s="332"/>
      <c r="Q643" s="332"/>
      <c r="R643" s="332"/>
      <c r="S643" s="332"/>
      <c r="T643" s="332"/>
      <c r="U643" s="332"/>
      <c r="V643" s="332"/>
      <c r="W643" s="332"/>
      <c r="X643" s="332"/>
      <c r="Y643" s="332"/>
      <c r="Z643" s="332"/>
      <c r="AA643" s="332"/>
      <c r="AB643" s="302"/>
    </row>
    <row r="644" spans="1:28" s="90" customFormat="1" ht="14.1" hidden="1" customHeight="1" x14ac:dyDescent="0.2">
      <c r="A644" s="301"/>
      <c r="B644" s="350" t="s">
        <v>341</v>
      </c>
      <c r="C644" s="101"/>
      <c r="D644" s="101"/>
      <c r="E644" s="101"/>
      <c r="F644" s="370" t="s">
        <v>342</v>
      </c>
      <c r="G644" s="321"/>
      <c r="H644" s="321"/>
      <c r="I644" s="329">
        <f t="shared" ref="I644:I645" si="1142">G644+H644</f>
        <v>0</v>
      </c>
      <c r="J644" s="329">
        <f t="shared" ref="J644:J645" si="1143">I644</f>
        <v>0</v>
      </c>
      <c r="K644" s="274"/>
      <c r="L644" s="274"/>
      <c r="M644" s="274"/>
      <c r="N644" s="275">
        <f t="shared" ref="N644:N645" si="1144">J644+K644-L644+M644</f>
        <v>0</v>
      </c>
      <c r="O644" s="274"/>
      <c r="P644" s="274"/>
      <c r="Q644" s="274"/>
      <c r="R644" s="274"/>
      <c r="S644" s="274">
        <f t="shared" ref="S644:S645" si="1145">SUM(O644:R644)</f>
        <v>0</v>
      </c>
      <c r="T644" s="274"/>
      <c r="U644" s="274"/>
      <c r="V644" s="274"/>
      <c r="W644" s="274"/>
      <c r="X644" s="274">
        <f t="shared" ref="X644:X645" si="1146">SUM(T644:W644)</f>
        <v>0</v>
      </c>
      <c r="Y644" s="274">
        <f t="shared" ref="Y644:Y645" si="1147">I644-N644</f>
        <v>0</v>
      </c>
      <c r="Z644" s="274">
        <f t="shared" ref="Z644:Z645" si="1148">N644-S644</f>
        <v>0</v>
      </c>
      <c r="AA644" s="274"/>
      <c r="AB644" s="306">
        <f t="shared" ref="AB644:AB645" si="1149">+S644-X644-AA644</f>
        <v>0</v>
      </c>
    </row>
    <row r="645" spans="1:28" s="90" customFormat="1" ht="14.1" hidden="1" customHeight="1" x14ac:dyDescent="0.2">
      <c r="A645" s="301"/>
      <c r="B645" s="350" t="s">
        <v>343</v>
      </c>
      <c r="C645" s="101"/>
      <c r="D645" s="101"/>
      <c r="E645" s="101"/>
      <c r="F645" s="370" t="s">
        <v>344</v>
      </c>
      <c r="G645" s="321"/>
      <c r="H645" s="321"/>
      <c r="I645" s="329">
        <f t="shared" si="1142"/>
        <v>0</v>
      </c>
      <c r="J645" s="329">
        <f t="shared" si="1143"/>
        <v>0</v>
      </c>
      <c r="K645" s="274"/>
      <c r="L645" s="274"/>
      <c r="M645" s="274"/>
      <c r="N645" s="275">
        <f t="shared" si="1144"/>
        <v>0</v>
      </c>
      <c r="O645" s="274"/>
      <c r="P645" s="274"/>
      <c r="Q645" s="274"/>
      <c r="R645" s="274"/>
      <c r="S645" s="274">
        <f t="shared" si="1145"/>
        <v>0</v>
      </c>
      <c r="T645" s="274"/>
      <c r="U645" s="274"/>
      <c r="V645" s="274"/>
      <c r="W645" s="274"/>
      <c r="X645" s="274">
        <f t="shared" si="1146"/>
        <v>0</v>
      </c>
      <c r="Y645" s="274">
        <f t="shared" si="1147"/>
        <v>0</v>
      </c>
      <c r="Z645" s="274">
        <f t="shared" si="1148"/>
        <v>0</v>
      </c>
      <c r="AA645" s="274"/>
      <c r="AB645" s="306">
        <f t="shared" si="1149"/>
        <v>0</v>
      </c>
    </row>
    <row r="646" spans="1:28" s="90" customFormat="1" ht="14.1" customHeight="1" x14ac:dyDescent="0.2">
      <c r="A646" s="301"/>
      <c r="B646" s="351" t="s">
        <v>345</v>
      </c>
      <c r="C646" s="101"/>
      <c r="D646" s="101"/>
      <c r="E646" s="101"/>
      <c r="F646" s="370"/>
      <c r="G646" s="321"/>
      <c r="H646" s="321"/>
      <c r="I646" s="321"/>
      <c r="J646" s="321"/>
      <c r="K646" s="332"/>
      <c r="L646" s="332"/>
      <c r="M646" s="332"/>
      <c r="N646" s="332"/>
      <c r="O646" s="332"/>
      <c r="P646" s="332"/>
      <c r="Q646" s="332"/>
      <c r="R646" s="332"/>
      <c r="S646" s="332"/>
      <c r="T646" s="332"/>
      <c r="U646" s="332"/>
      <c r="V646" s="332"/>
      <c r="W646" s="332"/>
      <c r="X646" s="332"/>
      <c r="Y646" s="332"/>
      <c r="Z646" s="332"/>
      <c r="AA646" s="332"/>
      <c r="AB646" s="302"/>
    </row>
    <row r="647" spans="1:28" s="90" customFormat="1" ht="14.1" hidden="1" customHeight="1" x14ac:dyDescent="0.2">
      <c r="A647" s="301"/>
      <c r="B647" s="350" t="s">
        <v>346</v>
      </c>
      <c r="C647" s="101"/>
      <c r="D647" s="101"/>
      <c r="E647" s="101"/>
      <c r="F647" s="370" t="s">
        <v>347</v>
      </c>
      <c r="G647" s="321"/>
      <c r="H647" s="321"/>
      <c r="I647" s="329">
        <f t="shared" ref="I647:I651" si="1150">G647+H647</f>
        <v>0</v>
      </c>
      <c r="J647" s="329">
        <f t="shared" ref="J647:J651" si="1151">I647</f>
        <v>0</v>
      </c>
      <c r="K647" s="274"/>
      <c r="L647" s="274"/>
      <c r="M647" s="274"/>
      <c r="N647" s="275">
        <f t="shared" ref="N647:N651" si="1152">J647+K647-L647+M647</f>
        <v>0</v>
      </c>
      <c r="O647" s="274"/>
      <c r="P647" s="274"/>
      <c r="Q647" s="274"/>
      <c r="R647" s="274"/>
      <c r="S647" s="274">
        <f t="shared" ref="S647:S651" si="1153">SUM(O647:R647)</f>
        <v>0</v>
      </c>
      <c r="T647" s="274"/>
      <c r="U647" s="274"/>
      <c r="V647" s="274"/>
      <c r="W647" s="274"/>
      <c r="X647" s="274">
        <f t="shared" ref="X647:X651" si="1154">SUM(T647:W647)</f>
        <v>0</v>
      </c>
      <c r="Y647" s="274">
        <f t="shared" ref="Y647:Y651" si="1155">I647-N647</f>
        <v>0</v>
      </c>
      <c r="Z647" s="274">
        <f t="shared" ref="Z647:Z651" si="1156">N647-S647</f>
        <v>0</v>
      </c>
      <c r="AA647" s="274"/>
      <c r="AB647" s="306">
        <f t="shared" ref="AB647:AB651" si="1157">+S647-X647-AA647</f>
        <v>0</v>
      </c>
    </row>
    <row r="648" spans="1:28" s="90" customFormat="1" ht="14.1" customHeight="1" x14ac:dyDescent="0.2">
      <c r="A648" s="301"/>
      <c r="B648" s="350" t="s">
        <v>348</v>
      </c>
      <c r="C648" s="101"/>
      <c r="D648" s="101"/>
      <c r="E648" s="101"/>
      <c r="F648" s="370" t="s">
        <v>349</v>
      </c>
      <c r="G648" s="321"/>
      <c r="H648" s="321"/>
      <c r="I648" s="329">
        <f t="shared" si="1150"/>
        <v>0</v>
      </c>
      <c r="J648" s="329">
        <f t="shared" si="1151"/>
        <v>0</v>
      </c>
      <c r="K648" s="274"/>
      <c r="L648" s="274"/>
      <c r="M648" s="274">
        <v>4000</v>
      </c>
      <c r="N648" s="275">
        <f t="shared" si="1152"/>
        <v>4000</v>
      </c>
      <c r="O648" s="274"/>
      <c r="P648" s="274"/>
      <c r="Q648" s="274">
        <v>1000</v>
      </c>
      <c r="R648" s="274">
        <v>3000</v>
      </c>
      <c r="S648" s="274">
        <f t="shared" si="1153"/>
        <v>4000</v>
      </c>
      <c r="T648" s="274"/>
      <c r="U648" s="274"/>
      <c r="V648" s="274">
        <v>1000</v>
      </c>
      <c r="W648" s="274">
        <v>3000</v>
      </c>
      <c r="X648" s="274">
        <f t="shared" si="1154"/>
        <v>4000</v>
      </c>
      <c r="Y648" s="274">
        <f t="shared" si="1155"/>
        <v>-4000</v>
      </c>
      <c r="Z648" s="274">
        <f t="shared" si="1156"/>
        <v>0</v>
      </c>
      <c r="AA648" s="274"/>
      <c r="AB648" s="306">
        <f t="shared" si="1157"/>
        <v>0</v>
      </c>
    </row>
    <row r="649" spans="1:28" s="90" customFormat="1" ht="14.1" hidden="1" customHeight="1" x14ac:dyDescent="0.2">
      <c r="A649" s="301"/>
      <c r="B649" s="350" t="s">
        <v>350</v>
      </c>
      <c r="C649" s="101"/>
      <c r="D649" s="101"/>
      <c r="E649" s="101"/>
      <c r="F649" s="370" t="s">
        <v>351</v>
      </c>
      <c r="G649" s="321"/>
      <c r="H649" s="321"/>
      <c r="I649" s="329">
        <f t="shared" si="1150"/>
        <v>0</v>
      </c>
      <c r="J649" s="329">
        <f t="shared" si="1151"/>
        <v>0</v>
      </c>
      <c r="K649" s="274"/>
      <c r="L649" s="274"/>
      <c r="M649" s="274"/>
      <c r="N649" s="275">
        <f t="shared" si="1152"/>
        <v>0</v>
      </c>
      <c r="O649" s="274"/>
      <c r="P649" s="274"/>
      <c r="Q649" s="274"/>
      <c r="R649" s="274"/>
      <c r="S649" s="274">
        <f t="shared" si="1153"/>
        <v>0</v>
      </c>
      <c r="T649" s="274"/>
      <c r="U649" s="274"/>
      <c r="V649" s="274"/>
      <c r="W649" s="274"/>
      <c r="X649" s="274">
        <f t="shared" si="1154"/>
        <v>0</v>
      </c>
      <c r="Y649" s="274">
        <f t="shared" si="1155"/>
        <v>0</v>
      </c>
      <c r="Z649" s="274">
        <f t="shared" si="1156"/>
        <v>0</v>
      </c>
      <c r="AA649" s="274"/>
      <c r="AB649" s="306">
        <f t="shared" si="1157"/>
        <v>0</v>
      </c>
    </row>
    <row r="650" spans="1:28" s="90" customFormat="1" ht="14.1" hidden="1" customHeight="1" x14ac:dyDescent="0.2">
      <c r="A650" s="301"/>
      <c r="B650" s="350" t="s">
        <v>352</v>
      </c>
      <c r="C650" s="101"/>
      <c r="D650" s="101"/>
      <c r="E650" s="101"/>
      <c r="F650" s="370" t="s">
        <v>353</v>
      </c>
      <c r="G650" s="321"/>
      <c r="H650" s="321"/>
      <c r="I650" s="329">
        <f t="shared" si="1150"/>
        <v>0</v>
      </c>
      <c r="J650" s="329">
        <f t="shared" si="1151"/>
        <v>0</v>
      </c>
      <c r="K650" s="274"/>
      <c r="L650" s="274"/>
      <c r="M650" s="274"/>
      <c r="N650" s="275">
        <f t="shared" si="1152"/>
        <v>0</v>
      </c>
      <c r="O650" s="274"/>
      <c r="P650" s="274"/>
      <c r="Q650" s="274"/>
      <c r="R650" s="274"/>
      <c r="S650" s="274">
        <f t="shared" si="1153"/>
        <v>0</v>
      </c>
      <c r="T650" s="274"/>
      <c r="U650" s="274"/>
      <c r="V650" s="274"/>
      <c r="W650" s="274"/>
      <c r="X650" s="274">
        <f t="shared" si="1154"/>
        <v>0</v>
      </c>
      <c r="Y650" s="274">
        <f t="shared" si="1155"/>
        <v>0</v>
      </c>
      <c r="Z650" s="274">
        <f t="shared" si="1156"/>
        <v>0</v>
      </c>
      <c r="AA650" s="274"/>
      <c r="AB650" s="306">
        <f t="shared" si="1157"/>
        <v>0</v>
      </c>
    </row>
    <row r="651" spans="1:28" s="90" customFormat="1" ht="14.1" hidden="1" customHeight="1" x14ac:dyDescent="0.2">
      <c r="A651" s="301"/>
      <c r="B651" s="350" t="s">
        <v>354</v>
      </c>
      <c r="C651" s="101"/>
      <c r="D651" s="101"/>
      <c r="E651" s="101"/>
      <c r="F651" s="370" t="s">
        <v>355</v>
      </c>
      <c r="G651" s="321"/>
      <c r="H651" s="321"/>
      <c r="I651" s="329">
        <f t="shared" si="1150"/>
        <v>0</v>
      </c>
      <c r="J651" s="329">
        <f t="shared" si="1151"/>
        <v>0</v>
      </c>
      <c r="K651" s="274"/>
      <c r="L651" s="274"/>
      <c r="M651" s="274"/>
      <c r="N651" s="275">
        <f t="shared" si="1152"/>
        <v>0</v>
      </c>
      <c r="O651" s="274"/>
      <c r="P651" s="274"/>
      <c r="Q651" s="274"/>
      <c r="R651" s="274"/>
      <c r="S651" s="274">
        <f t="shared" si="1153"/>
        <v>0</v>
      </c>
      <c r="T651" s="274"/>
      <c r="U651" s="274"/>
      <c r="V651" s="274"/>
      <c r="W651" s="274"/>
      <c r="X651" s="274">
        <f t="shared" si="1154"/>
        <v>0</v>
      </c>
      <c r="Y651" s="274">
        <f t="shared" si="1155"/>
        <v>0</v>
      </c>
      <c r="Z651" s="274">
        <f t="shared" si="1156"/>
        <v>0</v>
      </c>
      <c r="AA651" s="274"/>
      <c r="AB651" s="306">
        <f t="shared" si="1157"/>
        <v>0</v>
      </c>
    </row>
    <row r="652" spans="1:28" s="90" customFormat="1" ht="14.1" hidden="1" customHeight="1" x14ac:dyDescent="0.2">
      <c r="A652" s="301"/>
      <c r="B652" s="351" t="s">
        <v>356</v>
      </c>
      <c r="C652" s="101"/>
      <c r="D652" s="101"/>
      <c r="E652" s="101"/>
      <c r="F652" s="370"/>
      <c r="G652" s="321"/>
      <c r="H652" s="321"/>
      <c r="I652" s="321"/>
      <c r="J652" s="321"/>
      <c r="K652" s="332"/>
      <c r="L652" s="332"/>
      <c r="M652" s="332"/>
      <c r="N652" s="332"/>
      <c r="O652" s="332"/>
      <c r="P652" s="332"/>
      <c r="Q652" s="332"/>
      <c r="R652" s="332"/>
      <c r="S652" s="332"/>
      <c r="T652" s="332"/>
      <c r="U652" s="332"/>
      <c r="V652" s="332"/>
      <c r="W652" s="332"/>
      <c r="X652" s="332"/>
      <c r="Y652" s="332"/>
      <c r="Z652" s="332"/>
      <c r="AA652" s="332"/>
      <c r="AB652" s="302"/>
    </row>
    <row r="653" spans="1:28" s="90" customFormat="1" ht="14.1" hidden="1" customHeight="1" x14ac:dyDescent="0.2">
      <c r="A653" s="301"/>
      <c r="B653" s="350" t="s">
        <v>357</v>
      </c>
      <c r="C653" s="101"/>
      <c r="D653" s="101"/>
      <c r="E653" s="101"/>
      <c r="F653" s="370" t="s">
        <v>358</v>
      </c>
      <c r="G653" s="321"/>
      <c r="H653" s="321"/>
      <c r="I653" s="329">
        <f t="shared" ref="I653" si="1158">G653+H653</f>
        <v>0</v>
      </c>
      <c r="J653" s="329">
        <f t="shared" ref="J653" si="1159">I653</f>
        <v>0</v>
      </c>
      <c r="K653" s="274"/>
      <c r="L653" s="274"/>
      <c r="M653" s="274"/>
      <c r="N653" s="275">
        <f t="shared" ref="N653" si="1160">J653+K653-L653+M653</f>
        <v>0</v>
      </c>
      <c r="O653" s="274"/>
      <c r="P653" s="274"/>
      <c r="Q653" s="274"/>
      <c r="R653" s="274"/>
      <c r="S653" s="274">
        <f t="shared" ref="S653" si="1161">SUM(O653:R653)</f>
        <v>0</v>
      </c>
      <c r="T653" s="274"/>
      <c r="U653" s="274"/>
      <c r="V653" s="274"/>
      <c r="W653" s="274"/>
      <c r="X653" s="274">
        <f t="shared" ref="X653" si="1162">SUM(T653:W653)</f>
        <v>0</v>
      </c>
      <c r="Y653" s="274">
        <f t="shared" ref="Y653" si="1163">I653-N653</f>
        <v>0</v>
      </c>
      <c r="Z653" s="274">
        <f t="shared" ref="Z653" si="1164">N653-S653</f>
        <v>0</v>
      </c>
      <c r="AA653" s="274"/>
      <c r="AB653" s="306">
        <f t="shared" ref="AB653" si="1165">+S653-X653-AA653</f>
        <v>0</v>
      </c>
    </row>
    <row r="654" spans="1:28" s="90" customFormat="1" ht="14.1" hidden="1" customHeight="1" x14ac:dyDescent="0.2">
      <c r="A654" s="301"/>
      <c r="B654" s="351" t="s">
        <v>359</v>
      </c>
      <c r="C654" s="101"/>
      <c r="D654" s="101"/>
      <c r="E654" s="101"/>
      <c r="F654" s="370"/>
      <c r="G654" s="321"/>
      <c r="H654" s="321"/>
      <c r="I654" s="321"/>
      <c r="J654" s="321"/>
      <c r="K654" s="332"/>
      <c r="L654" s="332"/>
      <c r="M654" s="332"/>
      <c r="N654" s="332"/>
      <c r="O654" s="332"/>
      <c r="P654" s="332"/>
      <c r="Q654" s="332"/>
      <c r="R654" s="332"/>
      <c r="S654" s="332"/>
      <c r="T654" s="332"/>
      <c r="U654" s="332"/>
      <c r="V654" s="332"/>
      <c r="W654" s="332"/>
      <c r="X654" s="332"/>
      <c r="Y654" s="332"/>
      <c r="Z654" s="332"/>
      <c r="AA654" s="332"/>
      <c r="AB654" s="302"/>
    </row>
    <row r="655" spans="1:28" s="90" customFormat="1" ht="14.1" hidden="1" customHeight="1" x14ac:dyDescent="0.2">
      <c r="A655" s="301"/>
      <c r="B655" s="350" t="s">
        <v>360</v>
      </c>
      <c r="C655" s="101"/>
      <c r="D655" s="101"/>
      <c r="E655" s="101"/>
      <c r="F655" s="370" t="s">
        <v>361</v>
      </c>
      <c r="G655" s="321"/>
      <c r="H655" s="321"/>
      <c r="I655" s="329">
        <f t="shared" ref="I655:I658" si="1166">G655+H655</f>
        <v>0</v>
      </c>
      <c r="J655" s="329">
        <f t="shared" ref="J655:J658" si="1167">I655</f>
        <v>0</v>
      </c>
      <c r="K655" s="274"/>
      <c r="L655" s="274"/>
      <c r="M655" s="274"/>
      <c r="N655" s="275">
        <f t="shared" ref="N655:N658" si="1168">J655+K655-L655+M655</f>
        <v>0</v>
      </c>
      <c r="O655" s="274"/>
      <c r="P655" s="274"/>
      <c r="Q655" s="274"/>
      <c r="R655" s="274"/>
      <c r="S655" s="274">
        <f t="shared" ref="S655:S658" si="1169">SUM(O655:R655)</f>
        <v>0</v>
      </c>
      <c r="T655" s="274"/>
      <c r="U655" s="274"/>
      <c r="V655" s="274"/>
      <c r="W655" s="274"/>
      <c r="X655" s="274">
        <f t="shared" ref="X655:X658" si="1170">SUM(T655:W655)</f>
        <v>0</v>
      </c>
      <c r="Y655" s="274">
        <f t="shared" ref="Y655:Y658" si="1171">I655-N655</f>
        <v>0</v>
      </c>
      <c r="Z655" s="274">
        <f t="shared" ref="Z655:Z658" si="1172">N655-S655</f>
        <v>0</v>
      </c>
      <c r="AA655" s="274"/>
      <c r="AB655" s="306">
        <f t="shared" ref="AB655:AB658" si="1173">+S655-X655-AA655</f>
        <v>0</v>
      </c>
    </row>
    <row r="656" spans="1:28" s="90" customFormat="1" ht="14.1" hidden="1" customHeight="1" x14ac:dyDescent="0.2">
      <c r="A656" s="301"/>
      <c r="B656" s="350" t="s">
        <v>362</v>
      </c>
      <c r="C656" s="101"/>
      <c r="D656" s="101"/>
      <c r="E656" s="101"/>
      <c r="F656" s="370" t="s">
        <v>363</v>
      </c>
      <c r="G656" s="321"/>
      <c r="H656" s="321"/>
      <c r="I656" s="329">
        <f t="shared" si="1166"/>
        <v>0</v>
      </c>
      <c r="J656" s="329">
        <f t="shared" si="1167"/>
        <v>0</v>
      </c>
      <c r="K656" s="274"/>
      <c r="L656" s="274"/>
      <c r="M656" s="274"/>
      <c r="N656" s="275">
        <f t="shared" si="1168"/>
        <v>0</v>
      </c>
      <c r="O656" s="274"/>
      <c r="P656" s="274"/>
      <c r="Q656" s="274"/>
      <c r="R656" s="274"/>
      <c r="S656" s="274">
        <f t="shared" si="1169"/>
        <v>0</v>
      </c>
      <c r="T656" s="274"/>
      <c r="U656" s="274"/>
      <c r="V656" s="274"/>
      <c r="W656" s="274"/>
      <c r="X656" s="274">
        <f t="shared" si="1170"/>
        <v>0</v>
      </c>
      <c r="Y656" s="274">
        <f t="shared" si="1171"/>
        <v>0</v>
      </c>
      <c r="Z656" s="274">
        <f t="shared" si="1172"/>
        <v>0</v>
      </c>
      <c r="AA656" s="274"/>
      <c r="AB656" s="306">
        <f t="shared" si="1173"/>
        <v>0</v>
      </c>
    </row>
    <row r="657" spans="1:28" s="90" customFormat="1" ht="14.1" hidden="1" customHeight="1" x14ac:dyDescent="0.2">
      <c r="A657" s="301"/>
      <c r="B657" s="350" t="s">
        <v>722</v>
      </c>
      <c r="C657" s="718"/>
      <c r="D657" s="718"/>
      <c r="E657" s="718"/>
      <c r="F657" s="370" t="s">
        <v>723</v>
      </c>
      <c r="G657" s="321"/>
      <c r="H657" s="321"/>
      <c r="I657" s="329">
        <f t="shared" si="1166"/>
        <v>0</v>
      </c>
      <c r="J657" s="329">
        <f t="shared" si="1167"/>
        <v>0</v>
      </c>
      <c r="K657" s="274"/>
      <c r="L657" s="274"/>
      <c r="M657" s="274"/>
      <c r="N657" s="275">
        <f t="shared" si="1168"/>
        <v>0</v>
      </c>
      <c r="O657" s="274"/>
      <c r="P657" s="274"/>
      <c r="Q657" s="274"/>
      <c r="R657" s="274"/>
      <c r="S657" s="274">
        <f t="shared" si="1169"/>
        <v>0</v>
      </c>
      <c r="T657" s="274"/>
      <c r="U657" s="274"/>
      <c r="V657" s="274"/>
      <c r="W657" s="274"/>
      <c r="X657" s="274">
        <f t="shared" si="1170"/>
        <v>0</v>
      </c>
      <c r="Y657" s="274">
        <f t="shared" si="1171"/>
        <v>0</v>
      </c>
      <c r="Z657" s="274">
        <f t="shared" si="1172"/>
        <v>0</v>
      </c>
      <c r="AA657" s="274"/>
      <c r="AB657" s="306">
        <f t="shared" si="1173"/>
        <v>0</v>
      </c>
    </row>
    <row r="658" spans="1:28" s="90" customFormat="1" ht="14.1" hidden="1" customHeight="1" x14ac:dyDescent="0.2">
      <c r="A658" s="301"/>
      <c r="B658" s="350" t="s">
        <v>364</v>
      </c>
      <c r="C658" s="101"/>
      <c r="D658" s="101"/>
      <c r="E658" s="101"/>
      <c r="F658" s="370" t="s">
        <v>365</v>
      </c>
      <c r="G658" s="321"/>
      <c r="H658" s="321"/>
      <c r="I658" s="329">
        <f t="shared" si="1166"/>
        <v>0</v>
      </c>
      <c r="J658" s="329">
        <f t="shared" si="1167"/>
        <v>0</v>
      </c>
      <c r="K658" s="274"/>
      <c r="L658" s="274"/>
      <c r="M658" s="274"/>
      <c r="N658" s="275">
        <f t="shared" si="1168"/>
        <v>0</v>
      </c>
      <c r="O658" s="274"/>
      <c r="P658" s="274"/>
      <c r="Q658" s="274"/>
      <c r="R658" s="274"/>
      <c r="S658" s="274">
        <f t="shared" si="1169"/>
        <v>0</v>
      </c>
      <c r="T658" s="274"/>
      <c r="U658" s="274"/>
      <c r="V658" s="274"/>
      <c r="W658" s="274"/>
      <c r="X658" s="274">
        <f t="shared" si="1170"/>
        <v>0</v>
      </c>
      <c r="Y658" s="274">
        <f t="shared" si="1171"/>
        <v>0</v>
      </c>
      <c r="Z658" s="274">
        <f t="shared" si="1172"/>
        <v>0</v>
      </c>
      <c r="AA658" s="274"/>
      <c r="AB658" s="306">
        <f t="shared" si="1173"/>
        <v>0</v>
      </c>
    </row>
    <row r="659" spans="1:28" s="90" customFormat="1" ht="14.1" customHeight="1" x14ac:dyDescent="0.2">
      <c r="A659" s="301"/>
      <c r="B659" s="351" t="s">
        <v>366</v>
      </c>
      <c r="C659" s="101"/>
      <c r="D659" s="101"/>
      <c r="E659" s="101"/>
      <c r="F659" s="370"/>
      <c r="G659" s="321"/>
      <c r="H659" s="321"/>
      <c r="I659" s="321"/>
      <c r="J659" s="321"/>
      <c r="K659" s="332"/>
      <c r="L659" s="332"/>
      <c r="M659" s="332"/>
      <c r="N659" s="332"/>
      <c r="O659" s="332"/>
      <c r="P659" s="332"/>
      <c r="Q659" s="332"/>
      <c r="R659" s="332"/>
      <c r="S659" s="332"/>
      <c r="T659" s="332"/>
      <c r="U659" s="332"/>
      <c r="V659" s="332"/>
      <c r="W659" s="332"/>
      <c r="X659" s="332"/>
      <c r="Y659" s="332"/>
      <c r="Z659" s="332"/>
      <c r="AA659" s="332"/>
      <c r="AB659" s="302"/>
    </row>
    <row r="660" spans="1:28" s="90" customFormat="1" ht="14.1" hidden="1" customHeight="1" x14ac:dyDescent="0.2">
      <c r="A660" s="301"/>
      <c r="B660" s="350" t="s">
        <v>366</v>
      </c>
      <c r="C660" s="101"/>
      <c r="D660" s="101"/>
      <c r="E660" s="101"/>
      <c r="F660" s="370" t="s">
        <v>367</v>
      </c>
      <c r="G660" s="321"/>
      <c r="H660" s="321"/>
      <c r="I660" s="329">
        <f t="shared" ref="I660:I664" si="1174">G660+H660</f>
        <v>0</v>
      </c>
      <c r="J660" s="329">
        <f t="shared" ref="J660:J664" si="1175">I660</f>
        <v>0</v>
      </c>
      <c r="K660" s="274"/>
      <c r="L660" s="274"/>
      <c r="M660" s="274"/>
      <c r="N660" s="275">
        <f t="shared" ref="N660:N664" si="1176">J660+K660-L660+M660</f>
        <v>0</v>
      </c>
      <c r="O660" s="274"/>
      <c r="P660" s="274"/>
      <c r="Q660" s="274"/>
      <c r="R660" s="274"/>
      <c r="S660" s="274">
        <f t="shared" ref="S660:S664" si="1177">SUM(O660:R660)</f>
        <v>0</v>
      </c>
      <c r="T660" s="274"/>
      <c r="U660" s="274"/>
      <c r="V660" s="274"/>
      <c r="W660" s="274"/>
      <c r="X660" s="274">
        <f t="shared" ref="X660:X664" si="1178">SUM(T660:W660)</f>
        <v>0</v>
      </c>
      <c r="Y660" s="274">
        <f t="shared" ref="Y660:Y664" si="1179">I660-N660</f>
        <v>0</v>
      </c>
      <c r="Z660" s="274">
        <f t="shared" ref="Z660:Z664" si="1180">N660-S660</f>
        <v>0</v>
      </c>
      <c r="AA660" s="274"/>
      <c r="AB660" s="306">
        <f t="shared" ref="AB660:AB664" si="1181">+S660-X660-AA660</f>
        <v>0</v>
      </c>
    </row>
    <row r="661" spans="1:28" s="90" customFormat="1" ht="14.1" hidden="1" customHeight="1" x14ac:dyDescent="0.2">
      <c r="A661" s="301"/>
      <c r="B661" s="350" t="s">
        <v>724</v>
      </c>
      <c r="C661" s="718"/>
      <c r="D661" s="718"/>
      <c r="E661" s="718"/>
      <c r="F661" s="370" t="s">
        <v>725</v>
      </c>
      <c r="G661" s="321"/>
      <c r="H661" s="321"/>
      <c r="I661" s="329">
        <f t="shared" ref="I661" si="1182">G661+H661</f>
        <v>0</v>
      </c>
      <c r="J661" s="329">
        <f t="shared" ref="J661" si="1183">I661</f>
        <v>0</v>
      </c>
      <c r="K661" s="274"/>
      <c r="L661" s="274"/>
      <c r="M661" s="274"/>
      <c r="N661" s="275">
        <f t="shared" si="1176"/>
        <v>0</v>
      </c>
      <c r="O661" s="274"/>
      <c r="P661" s="274"/>
      <c r="Q661" s="274"/>
      <c r="R661" s="274"/>
      <c r="S661" s="274">
        <f t="shared" ref="S661" si="1184">SUM(O661:R661)</f>
        <v>0</v>
      </c>
      <c r="T661" s="274"/>
      <c r="U661" s="274"/>
      <c r="V661" s="274"/>
      <c r="W661" s="274"/>
      <c r="X661" s="274">
        <f t="shared" ref="X661" si="1185">SUM(T661:W661)</f>
        <v>0</v>
      </c>
      <c r="Y661" s="274">
        <f t="shared" ref="Y661" si="1186">I661-N661</f>
        <v>0</v>
      </c>
      <c r="Z661" s="274">
        <f t="shared" ref="Z661" si="1187">N661-S661</f>
        <v>0</v>
      </c>
      <c r="AA661" s="274"/>
      <c r="AB661" s="306">
        <f t="shared" ref="AB661" si="1188">+S661-X661-AA661</f>
        <v>0</v>
      </c>
    </row>
    <row r="662" spans="1:28" s="90" customFormat="1" ht="14.1" hidden="1" customHeight="1" x14ac:dyDescent="0.2">
      <c r="A662" s="301"/>
      <c r="B662" s="350" t="s">
        <v>368</v>
      </c>
      <c r="C662" s="101"/>
      <c r="D662" s="101"/>
      <c r="E662" s="101"/>
      <c r="F662" s="370" t="s">
        <v>369</v>
      </c>
      <c r="G662" s="321"/>
      <c r="H662" s="321"/>
      <c r="I662" s="329">
        <f t="shared" si="1174"/>
        <v>0</v>
      </c>
      <c r="J662" s="329">
        <f t="shared" si="1175"/>
        <v>0</v>
      </c>
      <c r="K662" s="274"/>
      <c r="L662" s="274"/>
      <c r="M662" s="274"/>
      <c r="N662" s="275">
        <f t="shared" si="1176"/>
        <v>0</v>
      </c>
      <c r="O662" s="274"/>
      <c r="P662" s="274"/>
      <c r="Q662" s="274"/>
      <c r="R662" s="274"/>
      <c r="S662" s="274">
        <f t="shared" si="1177"/>
        <v>0</v>
      </c>
      <c r="T662" s="274"/>
      <c r="U662" s="274"/>
      <c r="V662" s="274"/>
      <c r="W662" s="274"/>
      <c r="X662" s="274">
        <f t="shared" si="1178"/>
        <v>0</v>
      </c>
      <c r="Y662" s="274">
        <f t="shared" si="1179"/>
        <v>0</v>
      </c>
      <c r="Z662" s="274">
        <f t="shared" si="1180"/>
        <v>0</v>
      </c>
      <c r="AA662" s="274"/>
      <c r="AB662" s="306">
        <f t="shared" si="1181"/>
        <v>0</v>
      </c>
    </row>
    <row r="663" spans="1:28" s="90" customFormat="1" ht="14.1" hidden="1" customHeight="1" x14ac:dyDescent="0.2">
      <c r="A663" s="301"/>
      <c r="B663" s="350" t="s">
        <v>370</v>
      </c>
      <c r="C663" s="101"/>
      <c r="D663" s="101"/>
      <c r="E663" s="101"/>
      <c r="F663" s="370" t="s">
        <v>371</v>
      </c>
      <c r="G663" s="321"/>
      <c r="H663" s="321"/>
      <c r="I663" s="329">
        <f t="shared" si="1174"/>
        <v>0</v>
      </c>
      <c r="J663" s="329">
        <f t="shared" si="1175"/>
        <v>0</v>
      </c>
      <c r="K663" s="274"/>
      <c r="L663" s="274"/>
      <c r="M663" s="274"/>
      <c r="N663" s="275">
        <f t="shared" si="1176"/>
        <v>0</v>
      </c>
      <c r="O663" s="274"/>
      <c r="P663" s="274"/>
      <c r="Q663" s="274"/>
      <c r="R663" s="274"/>
      <c r="S663" s="274">
        <f t="shared" si="1177"/>
        <v>0</v>
      </c>
      <c r="T663" s="274"/>
      <c r="U663" s="274"/>
      <c r="V663" s="274"/>
      <c r="W663" s="274"/>
      <c r="X663" s="274">
        <f t="shared" si="1178"/>
        <v>0</v>
      </c>
      <c r="Y663" s="274">
        <f t="shared" si="1179"/>
        <v>0</v>
      </c>
      <c r="Z663" s="274">
        <f t="shared" si="1180"/>
        <v>0</v>
      </c>
      <c r="AA663" s="274"/>
      <c r="AB663" s="306">
        <f t="shared" si="1181"/>
        <v>0</v>
      </c>
    </row>
    <row r="664" spans="1:28" s="90" customFormat="1" ht="14.1" customHeight="1" x14ac:dyDescent="0.2">
      <c r="A664" s="301"/>
      <c r="B664" s="350" t="s">
        <v>372</v>
      </c>
      <c r="C664" s="101"/>
      <c r="D664" s="101"/>
      <c r="E664" s="101"/>
      <c r="F664" s="370" t="s">
        <v>373</v>
      </c>
      <c r="G664" s="321"/>
      <c r="H664" s="321"/>
      <c r="I664" s="329">
        <f t="shared" si="1174"/>
        <v>0</v>
      </c>
      <c r="J664" s="329">
        <f t="shared" si="1175"/>
        <v>0</v>
      </c>
      <c r="K664" s="274"/>
      <c r="L664" s="274"/>
      <c r="M664" s="274">
        <v>10000</v>
      </c>
      <c r="N664" s="275">
        <f t="shared" si="1176"/>
        <v>10000</v>
      </c>
      <c r="O664" s="274"/>
      <c r="P664" s="274"/>
      <c r="Q664" s="274"/>
      <c r="R664" s="274"/>
      <c r="S664" s="274">
        <f t="shared" si="1177"/>
        <v>0</v>
      </c>
      <c r="T664" s="274"/>
      <c r="U664" s="274"/>
      <c r="V664" s="274"/>
      <c r="W664" s="274"/>
      <c r="X664" s="274">
        <f t="shared" si="1178"/>
        <v>0</v>
      </c>
      <c r="Y664" s="274">
        <f t="shared" si="1179"/>
        <v>-10000</v>
      </c>
      <c r="Z664" s="274">
        <f t="shared" si="1180"/>
        <v>10000</v>
      </c>
      <c r="AA664" s="274"/>
      <c r="AB664" s="306">
        <f t="shared" si="1181"/>
        <v>0</v>
      </c>
    </row>
    <row r="665" spans="1:28" s="90" customFormat="1" ht="14.1" customHeight="1" x14ac:dyDescent="0.2">
      <c r="A665" s="301"/>
      <c r="B665" s="351" t="s">
        <v>374</v>
      </c>
      <c r="C665" s="101"/>
      <c r="D665" s="101"/>
      <c r="E665" s="101"/>
      <c r="F665" s="370"/>
      <c r="G665" s="321"/>
      <c r="H665" s="321"/>
      <c r="I665" s="321"/>
      <c r="J665" s="321"/>
      <c r="K665" s="332"/>
      <c r="L665" s="332"/>
      <c r="M665" s="332"/>
      <c r="N665" s="332"/>
      <c r="O665" s="332"/>
      <c r="P665" s="332"/>
      <c r="Q665" s="332"/>
      <c r="R665" s="332"/>
      <c r="S665" s="332"/>
      <c r="T665" s="332"/>
      <c r="U665" s="332"/>
      <c r="V665" s="332"/>
      <c r="W665" s="332"/>
      <c r="X665" s="332"/>
      <c r="Y665" s="332"/>
      <c r="Z665" s="332"/>
      <c r="AA665" s="332"/>
      <c r="AB665" s="302"/>
    </row>
    <row r="666" spans="1:28" s="90" customFormat="1" ht="14.1" hidden="1" customHeight="1" x14ac:dyDescent="0.2">
      <c r="A666" s="301"/>
      <c r="B666" s="350" t="s">
        <v>375</v>
      </c>
      <c r="C666" s="101"/>
      <c r="D666" s="101"/>
      <c r="E666" s="101"/>
      <c r="F666" s="370" t="s">
        <v>376</v>
      </c>
      <c r="G666" s="321"/>
      <c r="H666" s="321"/>
      <c r="I666" s="329">
        <f t="shared" ref="I666:I683" si="1189">G666+H666</f>
        <v>0</v>
      </c>
      <c r="J666" s="329">
        <f t="shared" ref="J666:J683" si="1190">I666</f>
        <v>0</v>
      </c>
      <c r="K666" s="274"/>
      <c r="L666" s="274"/>
      <c r="M666" s="274"/>
      <c r="N666" s="275">
        <f t="shared" ref="N666:N683" si="1191">J666+K666-L666+M666</f>
        <v>0</v>
      </c>
      <c r="O666" s="274"/>
      <c r="P666" s="274"/>
      <c r="Q666" s="274"/>
      <c r="R666" s="274"/>
      <c r="S666" s="274">
        <f t="shared" ref="S666:S683" si="1192">SUM(O666:R666)</f>
        <v>0</v>
      </c>
      <c r="T666" s="274"/>
      <c r="U666" s="274"/>
      <c r="V666" s="274"/>
      <c r="W666" s="274"/>
      <c r="X666" s="274">
        <f t="shared" ref="X666:X683" si="1193">SUM(T666:W666)</f>
        <v>0</v>
      </c>
      <c r="Y666" s="274">
        <f t="shared" ref="Y666:Y683" si="1194">I666-N666</f>
        <v>0</v>
      </c>
      <c r="Z666" s="274">
        <f t="shared" ref="Z666:Z683" si="1195">N666-S666</f>
        <v>0</v>
      </c>
      <c r="AA666" s="274"/>
      <c r="AB666" s="306">
        <f t="shared" ref="AB666:AB683" si="1196">+S666-X666-AA666</f>
        <v>0</v>
      </c>
    </row>
    <row r="667" spans="1:28" s="90" customFormat="1" ht="14.1" hidden="1" customHeight="1" x14ac:dyDescent="0.2">
      <c r="A667" s="301"/>
      <c r="B667" s="350" t="s">
        <v>377</v>
      </c>
      <c r="C667" s="101"/>
      <c r="D667" s="101"/>
      <c r="E667" s="101"/>
      <c r="F667" s="370" t="s">
        <v>378</v>
      </c>
      <c r="G667" s="321"/>
      <c r="H667" s="321"/>
      <c r="I667" s="329">
        <f t="shared" si="1189"/>
        <v>0</v>
      </c>
      <c r="J667" s="329">
        <f t="shared" si="1190"/>
        <v>0</v>
      </c>
      <c r="K667" s="274"/>
      <c r="L667" s="274"/>
      <c r="M667" s="274"/>
      <c r="N667" s="275">
        <f t="shared" si="1191"/>
        <v>0</v>
      </c>
      <c r="O667" s="274"/>
      <c r="P667" s="274"/>
      <c r="Q667" s="274"/>
      <c r="R667" s="274"/>
      <c r="S667" s="274">
        <f t="shared" si="1192"/>
        <v>0</v>
      </c>
      <c r="T667" s="274"/>
      <c r="U667" s="274"/>
      <c r="V667" s="274"/>
      <c r="W667" s="274"/>
      <c r="X667" s="274">
        <f t="shared" si="1193"/>
        <v>0</v>
      </c>
      <c r="Y667" s="274">
        <f t="shared" si="1194"/>
        <v>0</v>
      </c>
      <c r="Z667" s="274">
        <f t="shared" si="1195"/>
        <v>0</v>
      </c>
      <c r="AA667" s="274"/>
      <c r="AB667" s="306">
        <f t="shared" si="1196"/>
        <v>0</v>
      </c>
    </row>
    <row r="668" spans="1:28" s="90" customFormat="1" ht="14.1" hidden="1" customHeight="1" x14ac:dyDescent="0.2">
      <c r="A668" s="301"/>
      <c r="B668" s="350" t="s">
        <v>379</v>
      </c>
      <c r="C668" s="101"/>
      <c r="D668" s="101"/>
      <c r="E668" s="101"/>
      <c r="F668" s="370" t="s">
        <v>380</v>
      </c>
      <c r="G668" s="321"/>
      <c r="H668" s="321"/>
      <c r="I668" s="329">
        <f t="shared" si="1189"/>
        <v>0</v>
      </c>
      <c r="J668" s="329">
        <f t="shared" si="1190"/>
        <v>0</v>
      </c>
      <c r="K668" s="274"/>
      <c r="L668" s="274"/>
      <c r="M668" s="274"/>
      <c r="N668" s="275">
        <f t="shared" si="1191"/>
        <v>0</v>
      </c>
      <c r="O668" s="274"/>
      <c r="P668" s="274"/>
      <c r="Q668" s="274"/>
      <c r="R668" s="274"/>
      <c r="S668" s="274">
        <f t="shared" si="1192"/>
        <v>0</v>
      </c>
      <c r="T668" s="274"/>
      <c r="U668" s="274"/>
      <c r="V668" s="274"/>
      <c r="W668" s="274"/>
      <c r="X668" s="274">
        <f t="shared" si="1193"/>
        <v>0</v>
      </c>
      <c r="Y668" s="274">
        <f t="shared" si="1194"/>
        <v>0</v>
      </c>
      <c r="Z668" s="274">
        <f t="shared" si="1195"/>
        <v>0</v>
      </c>
      <c r="AA668" s="274"/>
      <c r="AB668" s="306">
        <f t="shared" si="1196"/>
        <v>0</v>
      </c>
    </row>
    <row r="669" spans="1:28" s="90" customFormat="1" ht="14.1" hidden="1" customHeight="1" x14ac:dyDescent="0.2">
      <c r="A669" s="301"/>
      <c r="B669" s="350" t="s">
        <v>381</v>
      </c>
      <c r="C669" s="101"/>
      <c r="D669" s="101"/>
      <c r="E669" s="101"/>
      <c r="F669" s="370" t="s">
        <v>382</v>
      </c>
      <c r="G669" s="321"/>
      <c r="H669" s="321"/>
      <c r="I669" s="329">
        <f t="shared" si="1189"/>
        <v>0</v>
      </c>
      <c r="J669" s="329">
        <f t="shared" si="1190"/>
        <v>0</v>
      </c>
      <c r="K669" s="274"/>
      <c r="L669" s="274"/>
      <c r="M669" s="274"/>
      <c r="N669" s="275">
        <f t="shared" si="1191"/>
        <v>0</v>
      </c>
      <c r="O669" s="274"/>
      <c r="P669" s="274"/>
      <c r="Q669" s="274"/>
      <c r="R669" s="274"/>
      <c r="S669" s="274">
        <f t="shared" si="1192"/>
        <v>0</v>
      </c>
      <c r="T669" s="274"/>
      <c r="U669" s="274"/>
      <c r="V669" s="274"/>
      <c r="W669" s="274"/>
      <c r="X669" s="274">
        <f t="shared" si="1193"/>
        <v>0</v>
      </c>
      <c r="Y669" s="274">
        <f t="shared" si="1194"/>
        <v>0</v>
      </c>
      <c r="Z669" s="274">
        <f t="shared" si="1195"/>
        <v>0</v>
      </c>
      <c r="AA669" s="274"/>
      <c r="AB669" s="306">
        <f t="shared" si="1196"/>
        <v>0</v>
      </c>
    </row>
    <row r="670" spans="1:28" s="90" customFormat="1" ht="14.1" hidden="1" customHeight="1" x14ac:dyDescent="0.2">
      <c r="A670" s="301"/>
      <c r="B670" s="350" t="s">
        <v>383</v>
      </c>
      <c r="C670" s="101"/>
      <c r="D670" s="101"/>
      <c r="E670" s="101"/>
      <c r="F670" s="370" t="s">
        <v>384</v>
      </c>
      <c r="G670" s="321"/>
      <c r="H670" s="321"/>
      <c r="I670" s="329">
        <f t="shared" si="1189"/>
        <v>0</v>
      </c>
      <c r="J670" s="329">
        <f t="shared" si="1190"/>
        <v>0</v>
      </c>
      <c r="K670" s="274"/>
      <c r="L670" s="274"/>
      <c r="M670" s="274"/>
      <c r="N670" s="275">
        <f t="shared" si="1191"/>
        <v>0</v>
      </c>
      <c r="O670" s="274"/>
      <c r="P670" s="274"/>
      <c r="Q670" s="274"/>
      <c r="R670" s="274"/>
      <c r="S670" s="274">
        <f t="shared" si="1192"/>
        <v>0</v>
      </c>
      <c r="T670" s="274"/>
      <c r="U670" s="274"/>
      <c r="V670" s="274"/>
      <c r="W670" s="274"/>
      <c r="X670" s="274">
        <f t="shared" si="1193"/>
        <v>0</v>
      </c>
      <c r="Y670" s="274">
        <f t="shared" si="1194"/>
        <v>0</v>
      </c>
      <c r="Z670" s="274">
        <f t="shared" si="1195"/>
        <v>0</v>
      </c>
      <c r="AA670" s="274"/>
      <c r="AB670" s="306">
        <f t="shared" si="1196"/>
        <v>0</v>
      </c>
    </row>
    <row r="671" spans="1:28" s="90" customFormat="1" ht="14.1" hidden="1" customHeight="1" x14ac:dyDescent="0.2">
      <c r="A671" s="301"/>
      <c r="B671" s="350" t="s">
        <v>385</v>
      </c>
      <c r="C671" s="101"/>
      <c r="D671" s="101"/>
      <c r="E671" s="101"/>
      <c r="F671" s="370" t="s">
        <v>386</v>
      </c>
      <c r="G671" s="321"/>
      <c r="H671" s="321"/>
      <c r="I671" s="329">
        <f t="shared" si="1189"/>
        <v>0</v>
      </c>
      <c r="J671" s="329">
        <f t="shared" si="1190"/>
        <v>0</v>
      </c>
      <c r="K671" s="274"/>
      <c r="L671" s="274"/>
      <c r="M671" s="274"/>
      <c r="N671" s="275">
        <f t="shared" si="1191"/>
        <v>0</v>
      </c>
      <c r="O671" s="274"/>
      <c r="P671" s="274"/>
      <c r="Q671" s="274"/>
      <c r="R671" s="274"/>
      <c r="S671" s="274">
        <f t="shared" si="1192"/>
        <v>0</v>
      </c>
      <c r="T671" s="274"/>
      <c r="U671" s="274"/>
      <c r="V671" s="274"/>
      <c r="W671" s="274"/>
      <c r="X671" s="274">
        <f t="shared" si="1193"/>
        <v>0</v>
      </c>
      <c r="Y671" s="274">
        <f t="shared" si="1194"/>
        <v>0</v>
      </c>
      <c r="Z671" s="274">
        <f t="shared" si="1195"/>
        <v>0</v>
      </c>
      <c r="AA671" s="274"/>
      <c r="AB671" s="306">
        <f t="shared" si="1196"/>
        <v>0</v>
      </c>
    </row>
    <row r="672" spans="1:28" s="90" customFormat="1" ht="14.1" hidden="1" customHeight="1" x14ac:dyDescent="0.2">
      <c r="A672" s="301"/>
      <c r="B672" s="350" t="s">
        <v>726</v>
      </c>
      <c r="C672" s="718"/>
      <c r="D672" s="718"/>
      <c r="E672" s="718"/>
      <c r="F672" s="370" t="s">
        <v>387</v>
      </c>
      <c r="G672" s="321"/>
      <c r="H672" s="321"/>
      <c r="I672" s="329">
        <f t="shared" si="1189"/>
        <v>0</v>
      </c>
      <c r="J672" s="329">
        <f t="shared" si="1190"/>
        <v>0</v>
      </c>
      <c r="K672" s="274"/>
      <c r="L672" s="274"/>
      <c r="M672" s="274"/>
      <c r="N672" s="275">
        <f t="shared" si="1191"/>
        <v>0</v>
      </c>
      <c r="O672" s="274"/>
      <c r="P672" s="274"/>
      <c r="Q672" s="274"/>
      <c r="R672" s="274"/>
      <c r="S672" s="274">
        <f t="shared" si="1192"/>
        <v>0</v>
      </c>
      <c r="T672" s="274"/>
      <c r="U672" s="274"/>
      <c r="V672" s="274"/>
      <c r="W672" s="274"/>
      <c r="X672" s="274">
        <f t="shared" si="1193"/>
        <v>0</v>
      </c>
      <c r="Y672" s="274">
        <f t="shared" si="1194"/>
        <v>0</v>
      </c>
      <c r="Z672" s="274">
        <f t="shared" si="1195"/>
        <v>0</v>
      </c>
      <c r="AA672" s="274"/>
      <c r="AB672" s="306">
        <f t="shared" si="1196"/>
        <v>0</v>
      </c>
    </row>
    <row r="673" spans="1:28" s="90" customFormat="1" ht="14.1" hidden="1" customHeight="1" x14ac:dyDescent="0.2">
      <c r="A673" s="301"/>
      <c r="B673" s="350" t="s">
        <v>388</v>
      </c>
      <c r="C673" s="101"/>
      <c r="D673" s="101"/>
      <c r="E673" s="101"/>
      <c r="F673" s="370" t="s">
        <v>389</v>
      </c>
      <c r="G673" s="321"/>
      <c r="H673" s="321"/>
      <c r="I673" s="329">
        <f t="shared" si="1189"/>
        <v>0</v>
      </c>
      <c r="J673" s="329">
        <f t="shared" si="1190"/>
        <v>0</v>
      </c>
      <c r="K673" s="274"/>
      <c r="L673" s="274"/>
      <c r="M673" s="274"/>
      <c r="N673" s="275">
        <f t="shared" si="1191"/>
        <v>0</v>
      </c>
      <c r="O673" s="274"/>
      <c r="P673" s="274"/>
      <c r="Q673" s="274"/>
      <c r="R673" s="274"/>
      <c r="S673" s="274">
        <f t="shared" si="1192"/>
        <v>0</v>
      </c>
      <c r="T673" s="274"/>
      <c r="U673" s="274"/>
      <c r="V673" s="274"/>
      <c r="W673" s="274"/>
      <c r="X673" s="274">
        <f t="shared" si="1193"/>
        <v>0</v>
      </c>
      <c r="Y673" s="274">
        <f t="shared" si="1194"/>
        <v>0</v>
      </c>
      <c r="Z673" s="274">
        <f t="shared" si="1195"/>
        <v>0</v>
      </c>
      <c r="AA673" s="274"/>
      <c r="AB673" s="306">
        <f t="shared" si="1196"/>
        <v>0</v>
      </c>
    </row>
    <row r="674" spans="1:28" s="90" customFormat="1" ht="14.1" hidden="1" customHeight="1" x14ac:dyDescent="0.2">
      <c r="A674" s="301"/>
      <c r="B674" s="350" t="s">
        <v>390</v>
      </c>
      <c r="C674" s="101"/>
      <c r="D674" s="101"/>
      <c r="E674" s="101"/>
      <c r="F674" s="370" t="s">
        <v>391</v>
      </c>
      <c r="G674" s="321"/>
      <c r="H674" s="321"/>
      <c r="I674" s="329">
        <f t="shared" si="1189"/>
        <v>0</v>
      </c>
      <c r="J674" s="329">
        <f t="shared" si="1190"/>
        <v>0</v>
      </c>
      <c r="K674" s="274"/>
      <c r="L674" s="274"/>
      <c r="M674" s="274"/>
      <c r="N674" s="275">
        <f t="shared" si="1191"/>
        <v>0</v>
      </c>
      <c r="O674" s="274"/>
      <c r="P674" s="274"/>
      <c r="Q674" s="274"/>
      <c r="R674" s="274"/>
      <c r="S674" s="274">
        <f t="shared" si="1192"/>
        <v>0</v>
      </c>
      <c r="T674" s="274"/>
      <c r="U674" s="274"/>
      <c r="V674" s="274"/>
      <c r="W674" s="274"/>
      <c r="X674" s="274">
        <f t="shared" si="1193"/>
        <v>0</v>
      </c>
      <c r="Y674" s="274">
        <f t="shared" si="1194"/>
        <v>0</v>
      </c>
      <c r="Z674" s="274">
        <f t="shared" si="1195"/>
        <v>0</v>
      </c>
      <c r="AA674" s="274"/>
      <c r="AB674" s="306">
        <f t="shared" si="1196"/>
        <v>0</v>
      </c>
    </row>
    <row r="675" spans="1:28" s="90" customFormat="1" ht="14.1" hidden="1" customHeight="1" x14ac:dyDescent="0.2">
      <c r="A675" s="301"/>
      <c r="B675" s="350" t="s">
        <v>392</v>
      </c>
      <c r="C675" s="101"/>
      <c r="D675" s="101"/>
      <c r="E675" s="101"/>
      <c r="F675" s="370" t="s">
        <v>393</v>
      </c>
      <c r="G675" s="321"/>
      <c r="H675" s="321"/>
      <c r="I675" s="329">
        <f t="shared" si="1189"/>
        <v>0</v>
      </c>
      <c r="J675" s="329">
        <f t="shared" si="1190"/>
        <v>0</v>
      </c>
      <c r="K675" s="274"/>
      <c r="L675" s="274"/>
      <c r="M675" s="274"/>
      <c r="N675" s="275">
        <f t="shared" si="1191"/>
        <v>0</v>
      </c>
      <c r="O675" s="274"/>
      <c r="P675" s="274"/>
      <c r="Q675" s="274"/>
      <c r="R675" s="274"/>
      <c r="S675" s="274">
        <f t="shared" si="1192"/>
        <v>0</v>
      </c>
      <c r="T675" s="274"/>
      <c r="U675" s="274"/>
      <c r="V675" s="274"/>
      <c r="W675" s="274"/>
      <c r="X675" s="274">
        <f t="shared" si="1193"/>
        <v>0</v>
      </c>
      <c r="Y675" s="274">
        <f t="shared" si="1194"/>
        <v>0</v>
      </c>
      <c r="Z675" s="274">
        <f t="shared" si="1195"/>
        <v>0</v>
      </c>
      <c r="AA675" s="274"/>
      <c r="AB675" s="306">
        <f t="shared" si="1196"/>
        <v>0</v>
      </c>
    </row>
    <row r="676" spans="1:28" s="90" customFormat="1" ht="14.1" hidden="1" customHeight="1" x14ac:dyDescent="0.2">
      <c r="A676" s="301"/>
      <c r="B676" s="350" t="s">
        <v>394</v>
      </c>
      <c r="C676" s="101"/>
      <c r="D676" s="101"/>
      <c r="E676" s="101"/>
      <c r="F676" s="370" t="s">
        <v>395</v>
      </c>
      <c r="G676" s="321"/>
      <c r="H676" s="321"/>
      <c r="I676" s="329">
        <f t="shared" si="1189"/>
        <v>0</v>
      </c>
      <c r="J676" s="329">
        <f t="shared" si="1190"/>
        <v>0</v>
      </c>
      <c r="K676" s="274"/>
      <c r="L676" s="274"/>
      <c r="M676" s="274"/>
      <c r="N676" s="275">
        <f t="shared" si="1191"/>
        <v>0</v>
      </c>
      <c r="O676" s="274"/>
      <c r="P676" s="274"/>
      <c r="Q676" s="274"/>
      <c r="R676" s="274"/>
      <c r="S676" s="274">
        <f t="shared" si="1192"/>
        <v>0</v>
      </c>
      <c r="T676" s="274"/>
      <c r="U676" s="274"/>
      <c r="V676" s="274"/>
      <c r="W676" s="274"/>
      <c r="X676" s="274">
        <f t="shared" si="1193"/>
        <v>0</v>
      </c>
      <c r="Y676" s="274">
        <f t="shared" si="1194"/>
        <v>0</v>
      </c>
      <c r="Z676" s="274">
        <f t="shared" si="1195"/>
        <v>0</v>
      </c>
      <c r="AA676" s="274"/>
      <c r="AB676" s="306">
        <f t="shared" si="1196"/>
        <v>0</v>
      </c>
    </row>
    <row r="677" spans="1:28" s="90" customFormat="1" ht="14.1" hidden="1" customHeight="1" x14ac:dyDescent="0.2">
      <c r="A677" s="301"/>
      <c r="B677" s="350" t="s">
        <v>396</v>
      </c>
      <c r="C677" s="101"/>
      <c r="D677" s="101"/>
      <c r="E677" s="101"/>
      <c r="F677" s="370" t="s">
        <v>397</v>
      </c>
      <c r="G677" s="321"/>
      <c r="H677" s="321"/>
      <c r="I677" s="329">
        <f t="shared" si="1189"/>
        <v>0</v>
      </c>
      <c r="J677" s="329">
        <f t="shared" si="1190"/>
        <v>0</v>
      </c>
      <c r="K677" s="274"/>
      <c r="L677" s="274"/>
      <c r="M677" s="274"/>
      <c r="N677" s="275">
        <f t="shared" si="1191"/>
        <v>0</v>
      </c>
      <c r="O677" s="274"/>
      <c r="P677" s="274"/>
      <c r="Q677" s="274"/>
      <c r="R677" s="274"/>
      <c r="S677" s="274">
        <f t="shared" si="1192"/>
        <v>0</v>
      </c>
      <c r="T677" s="274"/>
      <c r="U677" s="274"/>
      <c r="V677" s="274"/>
      <c r="W677" s="274"/>
      <c r="X677" s="274">
        <f t="shared" si="1193"/>
        <v>0</v>
      </c>
      <c r="Y677" s="274">
        <f t="shared" si="1194"/>
        <v>0</v>
      </c>
      <c r="Z677" s="274">
        <f t="shared" si="1195"/>
        <v>0</v>
      </c>
      <c r="AA677" s="274"/>
      <c r="AB677" s="306">
        <f t="shared" si="1196"/>
        <v>0</v>
      </c>
    </row>
    <row r="678" spans="1:28" s="90" customFormat="1" ht="14.1" customHeight="1" x14ac:dyDescent="0.2">
      <c r="A678" s="301"/>
      <c r="B678" s="350" t="s">
        <v>398</v>
      </c>
      <c r="C678" s="101"/>
      <c r="D678" s="101"/>
      <c r="E678" s="101"/>
      <c r="F678" s="370" t="s">
        <v>399</v>
      </c>
      <c r="G678" s="321"/>
      <c r="H678" s="321"/>
      <c r="I678" s="329">
        <f t="shared" si="1189"/>
        <v>0</v>
      </c>
      <c r="J678" s="329">
        <f t="shared" si="1190"/>
        <v>0</v>
      </c>
      <c r="K678" s="274"/>
      <c r="L678" s="274"/>
      <c r="M678" s="274">
        <v>24000</v>
      </c>
      <c r="N678" s="275">
        <f t="shared" si="1191"/>
        <v>24000</v>
      </c>
      <c r="O678" s="274"/>
      <c r="P678" s="274"/>
      <c r="Q678" s="274"/>
      <c r="R678" s="274"/>
      <c r="S678" s="274">
        <f t="shared" si="1192"/>
        <v>0</v>
      </c>
      <c r="T678" s="274"/>
      <c r="U678" s="274"/>
      <c r="V678" s="274"/>
      <c r="W678" s="274"/>
      <c r="X678" s="274">
        <f t="shared" si="1193"/>
        <v>0</v>
      </c>
      <c r="Y678" s="274">
        <f t="shared" si="1194"/>
        <v>-24000</v>
      </c>
      <c r="Z678" s="274">
        <f t="shared" si="1195"/>
        <v>24000</v>
      </c>
      <c r="AA678" s="274"/>
      <c r="AB678" s="306">
        <f t="shared" si="1196"/>
        <v>0</v>
      </c>
    </row>
    <row r="679" spans="1:28" s="90" customFormat="1" ht="14.1" hidden="1" customHeight="1" x14ac:dyDescent="0.2">
      <c r="A679" s="301"/>
      <c r="B679" s="350" t="s">
        <v>400</v>
      </c>
      <c r="C679" s="101"/>
      <c r="D679" s="101"/>
      <c r="E679" s="101"/>
      <c r="F679" s="370" t="s">
        <v>401</v>
      </c>
      <c r="G679" s="321"/>
      <c r="H679" s="321"/>
      <c r="I679" s="329">
        <f t="shared" si="1189"/>
        <v>0</v>
      </c>
      <c r="J679" s="329">
        <f t="shared" si="1190"/>
        <v>0</v>
      </c>
      <c r="K679" s="274"/>
      <c r="L679" s="274"/>
      <c r="M679" s="274"/>
      <c r="N679" s="275">
        <f t="shared" si="1191"/>
        <v>0</v>
      </c>
      <c r="O679" s="274"/>
      <c r="P679" s="274"/>
      <c r="Q679" s="274"/>
      <c r="R679" s="274"/>
      <c r="S679" s="274">
        <f t="shared" si="1192"/>
        <v>0</v>
      </c>
      <c r="T679" s="274"/>
      <c r="U679" s="274"/>
      <c r="V679" s="274"/>
      <c r="W679" s="274"/>
      <c r="X679" s="274">
        <f t="shared" si="1193"/>
        <v>0</v>
      </c>
      <c r="Y679" s="274">
        <f t="shared" si="1194"/>
        <v>0</v>
      </c>
      <c r="Z679" s="274">
        <f t="shared" si="1195"/>
        <v>0</v>
      </c>
      <c r="AA679" s="274"/>
      <c r="AB679" s="306">
        <f t="shared" si="1196"/>
        <v>0</v>
      </c>
    </row>
    <row r="680" spans="1:28" s="90" customFormat="1" ht="14.1" hidden="1" customHeight="1" x14ac:dyDescent="0.2">
      <c r="A680" s="301"/>
      <c r="B680" s="350" t="s">
        <v>402</v>
      </c>
      <c r="C680" s="101"/>
      <c r="D680" s="101"/>
      <c r="E680" s="101"/>
      <c r="F680" s="370" t="s">
        <v>403</v>
      </c>
      <c r="G680" s="321"/>
      <c r="H680" s="321"/>
      <c r="I680" s="329">
        <f t="shared" si="1189"/>
        <v>0</v>
      </c>
      <c r="J680" s="329">
        <f t="shared" si="1190"/>
        <v>0</v>
      </c>
      <c r="K680" s="274"/>
      <c r="L680" s="274"/>
      <c r="M680" s="274"/>
      <c r="N680" s="275">
        <f t="shared" si="1191"/>
        <v>0</v>
      </c>
      <c r="O680" s="274"/>
      <c r="P680" s="274"/>
      <c r="Q680" s="274"/>
      <c r="R680" s="274"/>
      <c r="S680" s="274">
        <f t="shared" si="1192"/>
        <v>0</v>
      </c>
      <c r="T680" s="274"/>
      <c r="U680" s="274"/>
      <c r="V680" s="274"/>
      <c r="W680" s="274"/>
      <c r="X680" s="274">
        <f t="shared" si="1193"/>
        <v>0</v>
      </c>
      <c r="Y680" s="274">
        <f t="shared" si="1194"/>
        <v>0</v>
      </c>
      <c r="Z680" s="274">
        <f t="shared" si="1195"/>
        <v>0</v>
      </c>
      <c r="AA680" s="274"/>
      <c r="AB680" s="306">
        <f t="shared" si="1196"/>
        <v>0</v>
      </c>
    </row>
    <row r="681" spans="1:28" s="90" customFormat="1" ht="14.1" hidden="1" customHeight="1" x14ac:dyDescent="0.2">
      <c r="A681" s="301"/>
      <c r="B681" s="350" t="s">
        <v>404</v>
      </c>
      <c r="C681" s="101"/>
      <c r="D681" s="101"/>
      <c r="E681" s="101"/>
      <c r="F681" s="370" t="s">
        <v>405</v>
      </c>
      <c r="G681" s="321"/>
      <c r="H681" s="321"/>
      <c r="I681" s="329">
        <f t="shared" si="1189"/>
        <v>0</v>
      </c>
      <c r="J681" s="329">
        <f t="shared" si="1190"/>
        <v>0</v>
      </c>
      <c r="K681" s="274"/>
      <c r="L681" s="274"/>
      <c r="M681" s="274"/>
      <c r="N681" s="275">
        <f t="shared" si="1191"/>
        <v>0</v>
      </c>
      <c r="O681" s="274"/>
      <c r="P681" s="274"/>
      <c r="Q681" s="274"/>
      <c r="R681" s="274"/>
      <c r="S681" s="274">
        <f t="shared" si="1192"/>
        <v>0</v>
      </c>
      <c r="T681" s="274"/>
      <c r="U681" s="274"/>
      <c r="V681" s="274"/>
      <c r="W681" s="274"/>
      <c r="X681" s="274">
        <f t="shared" si="1193"/>
        <v>0</v>
      </c>
      <c r="Y681" s="274">
        <f t="shared" si="1194"/>
        <v>0</v>
      </c>
      <c r="Z681" s="274">
        <f t="shared" si="1195"/>
        <v>0</v>
      </c>
      <c r="AA681" s="274"/>
      <c r="AB681" s="306">
        <f t="shared" si="1196"/>
        <v>0</v>
      </c>
    </row>
    <row r="682" spans="1:28" s="90" customFormat="1" ht="14.1" hidden="1" customHeight="1" x14ac:dyDescent="0.2">
      <c r="A682" s="301"/>
      <c r="B682" s="350" t="s">
        <v>727</v>
      </c>
      <c r="C682" s="718"/>
      <c r="D682" s="718"/>
      <c r="E682" s="718"/>
      <c r="F682" s="370" t="s">
        <v>728</v>
      </c>
      <c r="G682" s="321"/>
      <c r="H682" s="321"/>
      <c r="I682" s="329">
        <f t="shared" ref="I682" si="1197">G682+H682</f>
        <v>0</v>
      </c>
      <c r="J682" s="329">
        <f t="shared" ref="J682" si="1198">I682</f>
        <v>0</v>
      </c>
      <c r="K682" s="274"/>
      <c r="L682" s="274"/>
      <c r="M682" s="274"/>
      <c r="N682" s="275">
        <f t="shared" si="1191"/>
        <v>0</v>
      </c>
      <c r="O682" s="274"/>
      <c r="P682" s="274"/>
      <c r="Q682" s="274"/>
      <c r="R682" s="274"/>
      <c r="S682" s="274">
        <f t="shared" ref="S682" si="1199">SUM(O682:R682)</f>
        <v>0</v>
      </c>
      <c r="T682" s="274"/>
      <c r="U682" s="274"/>
      <c r="V682" s="274"/>
      <c r="W682" s="274"/>
      <c r="X682" s="274">
        <f t="shared" ref="X682" si="1200">SUM(T682:W682)</f>
        <v>0</v>
      </c>
      <c r="Y682" s="274">
        <f t="shared" ref="Y682" si="1201">I682-N682</f>
        <v>0</v>
      </c>
      <c r="Z682" s="274">
        <f t="shared" ref="Z682" si="1202">N682-S682</f>
        <v>0</v>
      </c>
      <c r="AA682" s="274"/>
      <c r="AB682" s="306">
        <f t="shared" ref="AB682" si="1203">+S682-X682-AA682</f>
        <v>0</v>
      </c>
    </row>
    <row r="683" spans="1:28" s="90" customFormat="1" ht="14.1" hidden="1" customHeight="1" x14ac:dyDescent="0.2">
      <c r="A683" s="301"/>
      <c r="B683" s="350" t="s">
        <v>406</v>
      </c>
      <c r="C683" s="101"/>
      <c r="D683" s="101"/>
      <c r="E683" s="101"/>
      <c r="F683" s="370" t="s">
        <v>407</v>
      </c>
      <c r="G683" s="321"/>
      <c r="H683" s="321"/>
      <c r="I683" s="329">
        <f t="shared" si="1189"/>
        <v>0</v>
      </c>
      <c r="J683" s="329">
        <f t="shared" si="1190"/>
        <v>0</v>
      </c>
      <c r="K683" s="274"/>
      <c r="L683" s="274"/>
      <c r="M683" s="274"/>
      <c r="N683" s="275">
        <f t="shared" si="1191"/>
        <v>0</v>
      </c>
      <c r="O683" s="274"/>
      <c r="P683" s="274"/>
      <c r="Q683" s="274"/>
      <c r="R683" s="274"/>
      <c r="S683" s="274">
        <f t="shared" si="1192"/>
        <v>0</v>
      </c>
      <c r="T683" s="274"/>
      <c r="U683" s="274"/>
      <c r="V683" s="274"/>
      <c r="W683" s="274"/>
      <c r="X683" s="274">
        <f t="shared" si="1193"/>
        <v>0</v>
      </c>
      <c r="Y683" s="274">
        <f t="shared" si="1194"/>
        <v>0</v>
      </c>
      <c r="Z683" s="274">
        <f t="shared" si="1195"/>
        <v>0</v>
      </c>
      <c r="AA683" s="274"/>
      <c r="AB683" s="306">
        <f t="shared" si="1196"/>
        <v>0</v>
      </c>
    </row>
    <row r="684" spans="1:28" s="90" customFormat="1" ht="14.1" customHeight="1" x14ac:dyDescent="0.2">
      <c r="A684" s="301"/>
      <c r="B684" s="351" t="s">
        <v>408</v>
      </c>
      <c r="C684" s="101"/>
      <c r="D684" s="101"/>
      <c r="E684" s="101"/>
      <c r="F684" s="370"/>
      <c r="G684" s="321"/>
      <c r="H684" s="321"/>
      <c r="I684" s="321"/>
      <c r="J684" s="321"/>
      <c r="K684" s="332"/>
      <c r="L684" s="332"/>
      <c r="M684" s="332"/>
      <c r="N684" s="332"/>
      <c r="O684" s="332"/>
      <c r="P684" s="332"/>
      <c r="Q684" s="332"/>
      <c r="R684" s="332"/>
      <c r="S684" s="332"/>
      <c r="T684" s="332"/>
      <c r="U684" s="332"/>
      <c r="V684" s="332"/>
      <c r="W684" s="332"/>
      <c r="X684" s="332"/>
      <c r="Y684" s="332"/>
      <c r="Z684" s="332"/>
      <c r="AA684" s="332"/>
      <c r="AB684" s="302"/>
    </row>
    <row r="685" spans="1:28" s="90" customFormat="1" ht="14.1" hidden="1" customHeight="1" x14ac:dyDescent="0.2">
      <c r="A685" s="301"/>
      <c r="B685" s="350" t="s">
        <v>409</v>
      </c>
      <c r="C685" s="101"/>
      <c r="D685" s="101"/>
      <c r="E685" s="101"/>
      <c r="F685" s="370" t="s">
        <v>410</v>
      </c>
      <c r="G685" s="321"/>
      <c r="H685" s="321"/>
      <c r="I685" s="329">
        <f t="shared" ref="I685:I687" si="1204">G685+H685</f>
        <v>0</v>
      </c>
      <c r="J685" s="329">
        <f t="shared" ref="J685:J687" si="1205">I685</f>
        <v>0</v>
      </c>
      <c r="K685" s="274"/>
      <c r="L685" s="274"/>
      <c r="M685" s="274"/>
      <c r="N685" s="275">
        <f t="shared" ref="N685:N687" si="1206">J685+K685-L685+M685</f>
        <v>0</v>
      </c>
      <c r="O685" s="274"/>
      <c r="P685" s="274"/>
      <c r="Q685" s="274"/>
      <c r="R685" s="274"/>
      <c r="S685" s="274">
        <f t="shared" ref="S685:S687" si="1207">SUM(O685:R685)</f>
        <v>0</v>
      </c>
      <c r="T685" s="274"/>
      <c r="U685" s="274"/>
      <c r="V685" s="274"/>
      <c r="W685" s="274"/>
      <c r="X685" s="274">
        <f t="shared" ref="X685:X687" si="1208">SUM(T685:W685)</f>
        <v>0</v>
      </c>
      <c r="Y685" s="274">
        <f t="shared" ref="Y685:Y687" si="1209">I685-N685</f>
        <v>0</v>
      </c>
      <c r="Z685" s="274">
        <f t="shared" ref="Z685:Z687" si="1210">N685-S685</f>
        <v>0</v>
      </c>
      <c r="AA685" s="274"/>
      <c r="AB685" s="306">
        <f t="shared" ref="AB685:AB687" si="1211">+S685-X685-AA685</f>
        <v>0</v>
      </c>
    </row>
    <row r="686" spans="1:28" s="90" customFormat="1" ht="14.1" hidden="1" customHeight="1" x14ac:dyDescent="0.2">
      <c r="A686" s="301"/>
      <c r="B686" s="350" t="s">
        <v>411</v>
      </c>
      <c r="C686" s="101"/>
      <c r="D686" s="101"/>
      <c r="E686" s="101"/>
      <c r="F686" s="370" t="s">
        <v>412</v>
      </c>
      <c r="G686" s="321"/>
      <c r="H686" s="321"/>
      <c r="I686" s="329">
        <f t="shared" si="1204"/>
        <v>0</v>
      </c>
      <c r="J686" s="329">
        <f t="shared" si="1205"/>
        <v>0</v>
      </c>
      <c r="K686" s="274"/>
      <c r="L686" s="274"/>
      <c r="M686" s="274"/>
      <c r="N686" s="275">
        <f t="shared" si="1206"/>
        <v>0</v>
      </c>
      <c r="O686" s="274"/>
      <c r="P686" s="274"/>
      <c r="Q686" s="274"/>
      <c r="R686" s="274"/>
      <c r="S686" s="274">
        <f t="shared" si="1207"/>
        <v>0</v>
      </c>
      <c r="T686" s="274"/>
      <c r="U686" s="274"/>
      <c r="V686" s="274"/>
      <c r="W686" s="274"/>
      <c r="X686" s="274">
        <f t="shared" si="1208"/>
        <v>0</v>
      </c>
      <c r="Y686" s="274">
        <f t="shared" si="1209"/>
        <v>0</v>
      </c>
      <c r="Z686" s="274">
        <f t="shared" si="1210"/>
        <v>0</v>
      </c>
      <c r="AA686" s="274"/>
      <c r="AB686" s="306">
        <f t="shared" si="1211"/>
        <v>0</v>
      </c>
    </row>
    <row r="687" spans="1:28" s="90" customFormat="1" ht="14.1" hidden="1" customHeight="1" x14ac:dyDescent="0.2">
      <c r="A687" s="301"/>
      <c r="B687" s="350" t="s">
        <v>413</v>
      </c>
      <c r="C687" s="101"/>
      <c r="D687" s="101"/>
      <c r="E687" s="101"/>
      <c r="F687" s="370" t="s">
        <v>414</v>
      </c>
      <c r="G687" s="321"/>
      <c r="H687" s="321"/>
      <c r="I687" s="329">
        <f t="shared" si="1204"/>
        <v>0</v>
      </c>
      <c r="J687" s="329">
        <f t="shared" si="1205"/>
        <v>0</v>
      </c>
      <c r="K687" s="274"/>
      <c r="L687" s="274"/>
      <c r="M687" s="274"/>
      <c r="N687" s="275">
        <f t="shared" si="1206"/>
        <v>0</v>
      </c>
      <c r="O687" s="274"/>
      <c r="P687" s="274"/>
      <c r="Q687" s="274"/>
      <c r="R687" s="274"/>
      <c r="S687" s="274">
        <f t="shared" si="1207"/>
        <v>0</v>
      </c>
      <c r="T687" s="274"/>
      <c r="U687" s="274"/>
      <c r="V687" s="274"/>
      <c r="W687" s="274"/>
      <c r="X687" s="274">
        <f t="shared" si="1208"/>
        <v>0</v>
      </c>
      <c r="Y687" s="274">
        <f t="shared" si="1209"/>
        <v>0</v>
      </c>
      <c r="Z687" s="274">
        <f t="shared" si="1210"/>
        <v>0</v>
      </c>
      <c r="AA687" s="274"/>
      <c r="AB687" s="306">
        <f t="shared" si="1211"/>
        <v>0</v>
      </c>
    </row>
    <row r="688" spans="1:28" s="90" customFormat="1" ht="14.1" customHeight="1" x14ac:dyDescent="0.2">
      <c r="A688" s="301"/>
      <c r="B688" s="351" t="s">
        <v>415</v>
      </c>
      <c r="C688" s="101"/>
      <c r="D688" s="101"/>
      <c r="E688" s="101"/>
      <c r="F688" s="370"/>
      <c r="G688" s="321"/>
      <c r="H688" s="321"/>
      <c r="I688" s="321"/>
      <c r="J688" s="321"/>
      <c r="K688" s="332"/>
      <c r="L688" s="332"/>
      <c r="M688" s="332"/>
      <c r="N688" s="332"/>
      <c r="O688" s="332"/>
      <c r="P688" s="332"/>
      <c r="Q688" s="332"/>
      <c r="R688" s="332"/>
      <c r="S688" s="332"/>
      <c r="T688" s="332"/>
      <c r="U688" s="332"/>
      <c r="V688" s="332"/>
      <c r="W688" s="332"/>
      <c r="X688" s="332"/>
      <c r="Y688" s="332"/>
      <c r="Z688" s="332"/>
      <c r="AA688" s="332"/>
      <c r="AB688" s="302"/>
    </row>
    <row r="689" spans="1:91" s="90" customFormat="1" ht="14.1" customHeight="1" x14ac:dyDescent="0.2">
      <c r="A689" s="301"/>
      <c r="B689" s="350" t="s">
        <v>416</v>
      </c>
      <c r="C689" s="101"/>
      <c r="D689" s="101"/>
      <c r="E689" s="101"/>
      <c r="F689" s="370" t="s">
        <v>417</v>
      </c>
      <c r="G689" s="321"/>
      <c r="H689" s="321"/>
      <c r="I689" s="329">
        <f t="shared" ref="I689:I701" si="1212">G689+H689</f>
        <v>0</v>
      </c>
      <c r="J689" s="329">
        <f t="shared" ref="J689:J701" si="1213">I689</f>
        <v>0</v>
      </c>
      <c r="K689" s="274"/>
      <c r="L689" s="274"/>
      <c r="M689" s="274">
        <v>30000</v>
      </c>
      <c r="N689" s="275">
        <f t="shared" ref="N689:N701" si="1214">J689+K689-L689+M689</f>
        <v>30000</v>
      </c>
      <c r="O689" s="274"/>
      <c r="P689" s="274"/>
      <c r="Q689" s="274"/>
      <c r="R689" s="274"/>
      <c r="S689" s="274">
        <f t="shared" ref="S689:S701" si="1215">SUM(O689:R689)</f>
        <v>0</v>
      </c>
      <c r="T689" s="274"/>
      <c r="U689" s="274"/>
      <c r="V689" s="274"/>
      <c r="W689" s="274"/>
      <c r="X689" s="274">
        <f t="shared" ref="X689:X701" si="1216">SUM(T689:W689)</f>
        <v>0</v>
      </c>
      <c r="Y689" s="274">
        <f t="shared" ref="Y689:Y701" si="1217">I689-N689</f>
        <v>-30000</v>
      </c>
      <c r="Z689" s="274">
        <f t="shared" ref="Z689:Z701" si="1218">N689-S689</f>
        <v>30000</v>
      </c>
      <c r="AA689" s="274"/>
      <c r="AB689" s="306">
        <f t="shared" ref="AB689:AB701" si="1219">+S689-X689-AA689</f>
        <v>0</v>
      </c>
    </row>
    <row r="690" spans="1:91" s="90" customFormat="1" ht="14.1" hidden="1" customHeight="1" x14ac:dyDescent="0.2">
      <c r="A690" s="301"/>
      <c r="B690" s="350" t="s">
        <v>418</v>
      </c>
      <c r="C690" s="101"/>
      <c r="D690" s="101"/>
      <c r="E690" s="101"/>
      <c r="F690" s="370" t="s">
        <v>419</v>
      </c>
      <c r="G690" s="321"/>
      <c r="H690" s="321"/>
      <c r="I690" s="329">
        <f t="shared" si="1212"/>
        <v>0</v>
      </c>
      <c r="J690" s="329">
        <f t="shared" si="1213"/>
        <v>0</v>
      </c>
      <c r="K690" s="274"/>
      <c r="L690" s="274"/>
      <c r="M690" s="274"/>
      <c r="N690" s="275">
        <f t="shared" si="1214"/>
        <v>0</v>
      </c>
      <c r="O690" s="274"/>
      <c r="P690" s="274"/>
      <c r="Q690" s="274"/>
      <c r="R690" s="274"/>
      <c r="S690" s="274">
        <f t="shared" si="1215"/>
        <v>0</v>
      </c>
      <c r="T690" s="274"/>
      <c r="U690" s="274"/>
      <c r="V690" s="274"/>
      <c r="W690" s="274"/>
      <c r="X690" s="274">
        <f t="shared" si="1216"/>
        <v>0</v>
      </c>
      <c r="Y690" s="274">
        <f t="shared" si="1217"/>
        <v>0</v>
      </c>
      <c r="Z690" s="274">
        <f t="shared" si="1218"/>
        <v>0</v>
      </c>
      <c r="AA690" s="274"/>
      <c r="AB690" s="306">
        <f t="shared" si="1219"/>
        <v>0</v>
      </c>
    </row>
    <row r="691" spans="1:91" s="90" customFormat="1" ht="14.1" hidden="1" customHeight="1" x14ac:dyDescent="0.2">
      <c r="A691" s="301"/>
      <c r="B691" s="350" t="s">
        <v>420</v>
      </c>
      <c r="C691" s="101"/>
      <c r="D691" s="101"/>
      <c r="E691" s="101"/>
      <c r="F691" s="370" t="s">
        <v>421</v>
      </c>
      <c r="G691" s="321"/>
      <c r="H691" s="321"/>
      <c r="I691" s="329">
        <f t="shared" si="1212"/>
        <v>0</v>
      </c>
      <c r="J691" s="329">
        <f t="shared" si="1213"/>
        <v>0</v>
      </c>
      <c r="K691" s="274"/>
      <c r="L691" s="274"/>
      <c r="M691" s="274"/>
      <c r="N691" s="275">
        <f t="shared" si="1214"/>
        <v>0</v>
      </c>
      <c r="O691" s="274"/>
      <c r="P691" s="274"/>
      <c r="Q691" s="274"/>
      <c r="R691" s="274"/>
      <c r="S691" s="274">
        <f t="shared" si="1215"/>
        <v>0</v>
      </c>
      <c r="T691" s="274"/>
      <c r="U691" s="274"/>
      <c r="V691" s="274"/>
      <c r="W691" s="274"/>
      <c r="X691" s="274">
        <f t="shared" si="1216"/>
        <v>0</v>
      </c>
      <c r="Y691" s="274">
        <f t="shared" si="1217"/>
        <v>0</v>
      </c>
      <c r="Z691" s="274">
        <f t="shared" si="1218"/>
        <v>0</v>
      </c>
      <c r="AA691" s="274"/>
      <c r="AB691" s="306">
        <f t="shared" si="1219"/>
        <v>0</v>
      </c>
    </row>
    <row r="692" spans="1:91" s="90" customFormat="1" ht="14.1" customHeight="1" x14ac:dyDescent="0.2">
      <c r="A692" s="301"/>
      <c r="B692" s="350" t="s">
        <v>422</v>
      </c>
      <c r="C692" s="101"/>
      <c r="D692" s="101"/>
      <c r="E692" s="101"/>
      <c r="F692" s="370" t="s">
        <v>423</v>
      </c>
      <c r="G692" s="321"/>
      <c r="H692" s="321"/>
      <c r="I692" s="329">
        <f t="shared" si="1212"/>
        <v>0</v>
      </c>
      <c r="J692" s="329">
        <f t="shared" si="1213"/>
        <v>0</v>
      </c>
      <c r="K692" s="274"/>
      <c r="L692" s="274"/>
      <c r="M692" s="274">
        <v>20000</v>
      </c>
      <c r="N692" s="275">
        <f t="shared" si="1214"/>
        <v>20000</v>
      </c>
      <c r="O692" s="274"/>
      <c r="P692" s="274"/>
      <c r="Q692" s="274">
        <v>20000</v>
      </c>
      <c r="R692" s="274"/>
      <c r="S692" s="274">
        <f t="shared" si="1215"/>
        <v>20000</v>
      </c>
      <c r="T692" s="274"/>
      <c r="U692" s="274"/>
      <c r="V692" s="274">
        <v>20000</v>
      </c>
      <c r="W692" s="274"/>
      <c r="X692" s="274">
        <f t="shared" si="1216"/>
        <v>20000</v>
      </c>
      <c r="Y692" s="274">
        <f t="shared" si="1217"/>
        <v>-20000</v>
      </c>
      <c r="Z692" s="274">
        <f t="shared" si="1218"/>
        <v>0</v>
      </c>
      <c r="AA692" s="274"/>
      <c r="AB692" s="306">
        <f t="shared" si="1219"/>
        <v>0</v>
      </c>
    </row>
    <row r="693" spans="1:91" s="90" customFormat="1" ht="14.1" hidden="1" customHeight="1" x14ac:dyDescent="0.2">
      <c r="A693" s="301"/>
      <c r="B693" s="350" t="s">
        <v>424</v>
      </c>
      <c r="C693" s="101"/>
      <c r="D693" s="101"/>
      <c r="E693" s="101"/>
      <c r="F693" s="370" t="s">
        <v>425</v>
      </c>
      <c r="G693" s="321"/>
      <c r="H693" s="321"/>
      <c r="I693" s="329">
        <f t="shared" si="1212"/>
        <v>0</v>
      </c>
      <c r="J693" s="329">
        <f t="shared" si="1213"/>
        <v>0</v>
      </c>
      <c r="K693" s="274"/>
      <c r="L693" s="274"/>
      <c r="M693" s="274"/>
      <c r="N693" s="275">
        <f t="shared" si="1214"/>
        <v>0</v>
      </c>
      <c r="O693" s="274"/>
      <c r="P693" s="274"/>
      <c r="Q693" s="274"/>
      <c r="R693" s="274"/>
      <c r="S693" s="274">
        <f t="shared" si="1215"/>
        <v>0</v>
      </c>
      <c r="T693" s="274"/>
      <c r="U693" s="274"/>
      <c r="V693" s="274"/>
      <c r="W693" s="274"/>
      <c r="X693" s="274">
        <f t="shared" si="1216"/>
        <v>0</v>
      </c>
      <c r="Y693" s="274">
        <f t="shared" si="1217"/>
        <v>0</v>
      </c>
      <c r="Z693" s="274">
        <f t="shared" si="1218"/>
        <v>0</v>
      </c>
      <c r="AA693" s="274"/>
      <c r="AB693" s="306">
        <f t="shared" si="1219"/>
        <v>0</v>
      </c>
    </row>
    <row r="694" spans="1:91" s="90" customFormat="1" ht="14.1" hidden="1" customHeight="1" x14ac:dyDescent="0.2">
      <c r="A694" s="301"/>
      <c r="B694" s="350" t="s">
        <v>426</v>
      </c>
      <c r="C694" s="101"/>
      <c r="D694" s="101"/>
      <c r="E694" s="101"/>
      <c r="F694" s="370" t="s">
        <v>427</v>
      </c>
      <c r="G694" s="321"/>
      <c r="H694" s="321"/>
      <c r="I694" s="329">
        <f t="shared" si="1212"/>
        <v>0</v>
      </c>
      <c r="J694" s="329">
        <f t="shared" si="1213"/>
        <v>0</v>
      </c>
      <c r="K694" s="274"/>
      <c r="L694" s="274"/>
      <c r="M694" s="274"/>
      <c r="N694" s="275">
        <f t="shared" si="1214"/>
        <v>0</v>
      </c>
      <c r="O694" s="274"/>
      <c r="P694" s="274"/>
      <c r="Q694" s="274"/>
      <c r="R694" s="274"/>
      <c r="S694" s="274">
        <f t="shared" si="1215"/>
        <v>0</v>
      </c>
      <c r="T694" s="274"/>
      <c r="U694" s="274"/>
      <c r="V694" s="274"/>
      <c r="W694" s="274"/>
      <c r="X694" s="274">
        <f t="shared" si="1216"/>
        <v>0</v>
      </c>
      <c r="Y694" s="274">
        <f t="shared" si="1217"/>
        <v>0</v>
      </c>
      <c r="Z694" s="274">
        <f t="shared" si="1218"/>
        <v>0</v>
      </c>
      <c r="AA694" s="274"/>
      <c r="AB694" s="306">
        <f t="shared" si="1219"/>
        <v>0</v>
      </c>
    </row>
    <row r="695" spans="1:91" s="90" customFormat="1" ht="14.1" hidden="1" customHeight="1" x14ac:dyDescent="0.2">
      <c r="A695" s="301"/>
      <c r="B695" s="350" t="s">
        <v>428</v>
      </c>
      <c r="C695" s="101"/>
      <c r="D695" s="101"/>
      <c r="E695" s="101"/>
      <c r="F695" s="370" t="s">
        <v>429</v>
      </c>
      <c r="G695" s="321"/>
      <c r="H695" s="321"/>
      <c r="I695" s="329">
        <f t="shared" si="1212"/>
        <v>0</v>
      </c>
      <c r="J695" s="329">
        <f t="shared" si="1213"/>
        <v>0</v>
      </c>
      <c r="K695" s="274"/>
      <c r="L695" s="274"/>
      <c r="M695" s="274"/>
      <c r="N695" s="275">
        <f t="shared" si="1214"/>
        <v>0</v>
      </c>
      <c r="O695" s="274"/>
      <c r="P695" s="274"/>
      <c r="Q695" s="274"/>
      <c r="R695" s="274"/>
      <c r="S695" s="274">
        <f t="shared" si="1215"/>
        <v>0</v>
      </c>
      <c r="T695" s="274"/>
      <c r="U695" s="274"/>
      <c r="V695" s="274"/>
      <c r="W695" s="274"/>
      <c r="X695" s="274">
        <f t="shared" si="1216"/>
        <v>0</v>
      </c>
      <c r="Y695" s="274">
        <f t="shared" si="1217"/>
        <v>0</v>
      </c>
      <c r="Z695" s="274">
        <f t="shared" si="1218"/>
        <v>0</v>
      </c>
      <c r="AA695" s="274"/>
      <c r="AB695" s="306">
        <f t="shared" si="1219"/>
        <v>0</v>
      </c>
    </row>
    <row r="696" spans="1:91" s="90" customFormat="1" ht="14.1" customHeight="1" x14ac:dyDescent="0.2">
      <c r="A696" s="301"/>
      <c r="B696" s="350" t="s">
        <v>718</v>
      </c>
      <c r="C696" s="615"/>
      <c r="D696" s="615"/>
      <c r="E696" s="615"/>
      <c r="F696" s="370" t="s">
        <v>719</v>
      </c>
      <c r="G696" s="321"/>
      <c r="H696" s="321"/>
      <c r="I696" s="329">
        <f t="shared" si="1212"/>
        <v>0</v>
      </c>
      <c r="J696" s="329">
        <f t="shared" si="1213"/>
        <v>0</v>
      </c>
      <c r="K696" s="274"/>
      <c r="L696" s="274"/>
      <c r="M696" s="274">
        <v>10000</v>
      </c>
      <c r="N696" s="275">
        <f t="shared" si="1214"/>
        <v>10000</v>
      </c>
      <c r="O696" s="274"/>
      <c r="P696" s="274"/>
      <c r="Q696" s="274"/>
      <c r="R696" s="274"/>
      <c r="S696" s="274">
        <f t="shared" si="1215"/>
        <v>0</v>
      </c>
      <c r="T696" s="274"/>
      <c r="U696" s="274"/>
      <c r="V696" s="274"/>
      <c r="W696" s="274"/>
      <c r="X696" s="274">
        <f t="shared" si="1216"/>
        <v>0</v>
      </c>
      <c r="Y696" s="274">
        <f t="shared" si="1217"/>
        <v>-10000</v>
      </c>
      <c r="Z696" s="274">
        <f t="shared" si="1218"/>
        <v>10000</v>
      </c>
      <c r="AA696" s="274"/>
      <c r="AB696" s="306">
        <f t="shared" si="1219"/>
        <v>0</v>
      </c>
    </row>
    <row r="697" spans="1:91" s="90" customFormat="1" ht="14.1" hidden="1" customHeight="1" x14ac:dyDescent="0.2">
      <c r="A697" s="301"/>
      <c r="B697" s="350" t="s">
        <v>432</v>
      </c>
      <c r="C697" s="101"/>
      <c r="D697" s="101"/>
      <c r="E697" s="101"/>
      <c r="F697" s="370" t="s">
        <v>433</v>
      </c>
      <c r="G697" s="321"/>
      <c r="H697" s="321"/>
      <c r="I697" s="329">
        <f t="shared" si="1212"/>
        <v>0</v>
      </c>
      <c r="J697" s="329">
        <f t="shared" si="1213"/>
        <v>0</v>
      </c>
      <c r="K697" s="274"/>
      <c r="L697" s="274"/>
      <c r="M697" s="274"/>
      <c r="N697" s="275">
        <f t="shared" si="1214"/>
        <v>0</v>
      </c>
      <c r="O697" s="274"/>
      <c r="P697" s="274"/>
      <c r="Q697" s="274"/>
      <c r="R697" s="274"/>
      <c r="S697" s="274">
        <f t="shared" si="1215"/>
        <v>0</v>
      </c>
      <c r="T697" s="274"/>
      <c r="U697" s="274"/>
      <c r="V697" s="274"/>
      <c r="W697" s="274"/>
      <c r="X697" s="274">
        <f t="shared" si="1216"/>
        <v>0</v>
      </c>
      <c r="Y697" s="274">
        <f t="shared" si="1217"/>
        <v>0</v>
      </c>
      <c r="Z697" s="274">
        <f t="shared" si="1218"/>
        <v>0</v>
      </c>
      <c r="AA697" s="274"/>
      <c r="AB697" s="306">
        <f t="shared" si="1219"/>
        <v>0</v>
      </c>
    </row>
    <row r="698" spans="1:91" s="90" customFormat="1" ht="14.1" hidden="1" customHeight="1" x14ac:dyDescent="0.2">
      <c r="A698" s="301"/>
      <c r="B698" s="350" t="s">
        <v>730</v>
      </c>
      <c r="C698" s="744"/>
      <c r="D698" s="744"/>
      <c r="E698" s="744"/>
      <c r="F698" s="370" t="s">
        <v>733</v>
      </c>
      <c r="G698" s="321"/>
      <c r="H698" s="321"/>
      <c r="I698" s="329">
        <f t="shared" si="1212"/>
        <v>0</v>
      </c>
      <c r="J698" s="329">
        <f t="shared" si="1213"/>
        <v>0</v>
      </c>
      <c r="K698" s="274"/>
      <c r="L698" s="274"/>
      <c r="M698" s="274"/>
      <c r="N698" s="275">
        <f t="shared" si="1214"/>
        <v>0</v>
      </c>
      <c r="O698" s="274"/>
      <c r="P698" s="274"/>
      <c r="Q698" s="274"/>
      <c r="R698" s="274"/>
      <c r="S698" s="274">
        <f t="shared" si="1215"/>
        <v>0</v>
      </c>
      <c r="T698" s="274"/>
      <c r="U698" s="274"/>
      <c r="V698" s="274"/>
      <c r="W698" s="274"/>
      <c r="X698" s="274">
        <f t="shared" si="1216"/>
        <v>0</v>
      </c>
      <c r="Y698" s="274">
        <f t="shared" si="1217"/>
        <v>0</v>
      </c>
      <c r="Z698" s="274">
        <f t="shared" si="1218"/>
        <v>0</v>
      </c>
      <c r="AA698" s="274"/>
      <c r="AB698" s="306">
        <f t="shared" si="1219"/>
        <v>0</v>
      </c>
    </row>
    <row r="699" spans="1:91" s="90" customFormat="1" ht="14.1" hidden="1" customHeight="1" x14ac:dyDescent="0.2">
      <c r="A699" s="301"/>
      <c r="B699" s="350" t="s">
        <v>737</v>
      </c>
      <c r="C699" s="744"/>
      <c r="D699" s="744"/>
      <c r="E699" s="744"/>
      <c r="F699" s="370" t="s">
        <v>738</v>
      </c>
      <c r="G699" s="321"/>
      <c r="H699" s="321"/>
      <c r="I699" s="329">
        <f t="shared" ref="I699:I700" si="1220">G699+H699</f>
        <v>0</v>
      </c>
      <c r="J699" s="329">
        <f t="shared" ref="J699:J700" si="1221">I699</f>
        <v>0</v>
      </c>
      <c r="K699" s="274"/>
      <c r="L699" s="274"/>
      <c r="M699" s="274"/>
      <c r="N699" s="275">
        <f t="shared" si="1214"/>
        <v>0</v>
      </c>
      <c r="O699" s="274"/>
      <c r="P699" s="274"/>
      <c r="Q699" s="274"/>
      <c r="R699" s="274"/>
      <c r="S699" s="274">
        <f t="shared" ref="S699:S700" si="1222">SUM(O699:R699)</f>
        <v>0</v>
      </c>
      <c r="T699" s="274"/>
      <c r="U699" s="274"/>
      <c r="V699" s="274"/>
      <c r="W699" s="274"/>
      <c r="X699" s="274">
        <f t="shared" ref="X699:X700" si="1223">SUM(T699:W699)</f>
        <v>0</v>
      </c>
      <c r="Y699" s="274">
        <f t="shared" ref="Y699:Y700" si="1224">I699-N699</f>
        <v>0</v>
      </c>
      <c r="Z699" s="274">
        <f t="shared" ref="Z699:Z700" si="1225">N699-S699</f>
        <v>0</v>
      </c>
      <c r="AA699" s="274"/>
      <c r="AB699" s="306">
        <f t="shared" ref="AB699:AB700" si="1226">+S699-X699-AA699</f>
        <v>0</v>
      </c>
    </row>
    <row r="700" spans="1:91" s="90" customFormat="1" ht="14.1" hidden="1" customHeight="1" x14ac:dyDescent="0.2">
      <c r="A700" s="301"/>
      <c r="B700" s="350" t="s">
        <v>434</v>
      </c>
      <c r="C700" s="718"/>
      <c r="D700" s="718"/>
      <c r="E700" s="718"/>
      <c r="F700" s="370" t="s">
        <v>435</v>
      </c>
      <c r="G700" s="321"/>
      <c r="H700" s="321"/>
      <c r="I700" s="329">
        <f t="shared" si="1220"/>
        <v>0</v>
      </c>
      <c r="J700" s="329">
        <f t="shared" si="1221"/>
        <v>0</v>
      </c>
      <c r="K700" s="274"/>
      <c r="L700" s="274"/>
      <c r="M700" s="274"/>
      <c r="N700" s="275">
        <f t="shared" si="1214"/>
        <v>0</v>
      </c>
      <c r="O700" s="274"/>
      <c r="P700" s="274"/>
      <c r="Q700" s="274"/>
      <c r="R700" s="274"/>
      <c r="S700" s="274">
        <f t="shared" si="1222"/>
        <v>0</v>
      </c>
      <c r="T700" s="274"/>
      <c r="U700" s="274"/>
      <c r="V700" s="274"/>
      <c r="W700" s="274"/>
      <c r="X700" s="274">
        <f t="shared" si="1223"/>
        <v>0</v>
      </c>
      <c r="Y700" s="274">
        <f t="shared" si="1224"/>
        <v>0</v>
      </c>
      <c r="Z700" s="274">
        <f t="shared" si="1225"/>
        <v>0</v>
      </c>
      <c r="AA700" s="274"/>
      <c r="AB700" s="306">
        <f t="shared" si="1226"/>
        <v>0</v>
      </c>
    </row>
    <row r="701" spans="1:91" s="90" customFormat="1" ht="14.1" hidden="1" customHeight="1" x14ac:dyDescent="0.2">
      <c r="A701" s="301"/>
      <c r="B701" s="350" t="s">
        <v>732</v>
      </c>
      <c r="C701" s="718"/>
      <c r="D701" s="718"/>
      <c r="E701" s="718"/>
      <c r="F701" s="370" t="s">
        <v>731</v>
      </c>
      <c r="G701" s="321"/>
      <c r="H701" s="321"/>
      <c r="I701" s="329">
        <f t="shared" si="1212"/>
        <v>0</v>
      </c>
      <c r="J701" s="329">
        <f t="shared" si="1213"/>
        <v>0</v>
      </c>
      <c r="K701" s="274"/>
      <c r="L701" s="274"/>
      <c r="M701" s="274"/>
      <c r="N701" s="275">
        <f t="shared" si="1214"/>
        <v>0</v>
      </c>
      <c r="O701" s="274"/>
      <c r="P701" s="274"/>
      <c r="Q701" s="274"/>
      <c r="R701" s="274"/>
      <c r="S701" s="274">
        <f t="shared" si="1215"/>
        <v>0</v>
      </c>
      <c r="T701" s="274"/>
      <c r="U701" s="274"/>
      <c r="V701" s="274"/>
      <c r="W701" s="274"/>
      <c r="X701" s="274">
        <f t="shared" si="1216"/>
        <v>0</v>
      </c>
      <c r="Y701" s="274">
        <f t="shared" si="1217"/>
        <v>0</v>
      </c>
      <c r="Z701" s="274">
        <f t="shared" si="1218"/>
        <v>0</v>
      </c>
      <c r="AA701" s="274"/>
      <c r="AB701" s="306">
        <f t="shared" si="1219"/>
        <v>0</v>
      </c>
    </row>
    <row r="702" spans="1:91" ht="14.1" customHeight="1" x14ac:dyDescent="0.2">
      <c r="A702" s="315"/>
      <c r="G702" s="148"/>
      <c r="H702" s="148"/>
      <c r="I702" s="148"/>
      <c r="J702" s="148"/>
      <c r="K702" s="152"/>
      <c r="L702" s="152"/>
      <c r="M702" s="152"/>
      <c r="N702" s="152"/>
      <c r="O702" s="152"/>
      <c r="P702" s="152"/>
      <c r="Q702" s="152"/>
      <c r="R702" s="340"/>
      <c r="S702" s="340"/>
      <c r="T702" s="340"/>
      <c r="U702" s="340"/>
      <c r="V702" s="340"/>
      <c r="W702" s="340"/>
      <c r="X702" s="340"/>
      <c r="Y702" s="340"/>
      <c r="Z702" s="340"/>
      <c r="AA702" s="340"/>
      <c r="AB702" s="300"/>
    </row>
    <row r="703" spans="1:91" s="61" customFormat="1" ht="14.1" customHeight="1" x14ac:dyDescent="0.2">
      <c r="A703" s="279" t="s">
        <v>690</v>
      </c>
      <c r="B703" s="102"/>
      <c r="C703" s="103"/>
      <c r="D703" s="104"/>
      <c r="E703" s="103"/>
      <c r="F703" s="376"/>
      <c r="G703" s="363">
        <f t="shared" ref="G703:AB703" si="1227">G729+G704</f>
        <v>458300</v>
      </c>
      <c r="H703" s="363">
        <f t="shared" si="1227"/>
        <v>0</v>
      </c>
      <c r="I703" s="363">
        <f t="shared" si="1227"/>
        <v>458300</v>
      </c>
      <c r="J703" s="363">
        <f t="shared" si="1227"/>
        <v>458300</v>
      </c>
      <c r="K703" s="363">
        <f t="shared" si="1227"/>
        <v>0</v>
      </c>
      <c r="L703" s="363">
        <f t="shared" si="1227"/>
        <v>0</v>
      </c>
      <c r="M703" s="363">
        <f t="shared" si="1227"/>
        <v>2244428</v>
      </c>
      <c r="N703" s="363">
        <f t="shared" si="1227"/>
        <v>2702728</v>
      </c>
      <c r="O703" s="363">
        <f t="shared" si="1227"/>
        <v>0</v>
      </c>
      <c r="P703" s="363">
        <f t="shared" si="1227"/>
        <v>0</v>
      </c>
      <c r="Q703" s="363">
        <f t="shared" si="1227"/>
        <v>993000</v>
      </c>
      <c r="R703" s="363">
        <f t="shared" si="1227"/>
        <v>1686481.3</v>
      </c>
      <c r="S703" s="363">
        <f t="shared" si="1227"/>
        <v>2679481.2999999998</v>
      </c>
      <c r="T703" s="363">
        <f t="shared" si="1227"/>
        <v>0</v>
      </c>
      <c r="U703" s="363">
        <f t="shared" si="1227"/>
        <v>0</v>
      </c>
      <c r="V703" s="363">
        <f t="shared" si="1227"/>
        <v>222262.14</v>
      </c>
      <c r="W703" s="363">
        <f t="shared" si="1227"/>
        <v>2457219.16</v>
      </c>
      <c r="X703" s="363">
        <f t="shared" si="1227"/>
        <v>2679481.2999999998</v>
      </c>
      <c r="Y703" s="363">
        <f t="shared" si="1227"/>
        <v>-2244428</v>
      </c>
      <c r="Z703" s="363">
        <f t="shared" si="1227"/>
        <v>23246.699999999953</v>
      </c>
      <c r="AA703" s="740">
        <f t="shared" si="1227"/>
        <v>0</v>
      </c>
      <c r="AB703" s="734">
        <f t="shared" si="1227"/>
        <v>0</v>
      </c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</row>
    <row r="704" spans="1:91" s="95" customFormat="1" ht="14.1" customHeight="1" x14ac:dyDescent="0.2">
      <c r="A704" s="314"/>
      <c r="B704" s="375" t="s">
        <v>269</v>
      </c>
      <c r="C704" s="73"/>
      <c r="D704" s="288"/>
      <c r="E704" s="288"/>
      <c r="F704" s="252" t="s">
        <v>270</v>
      </c>
      <c r="G704" s="324">
        <f t="shared" ref="G704" si="1228">SUM(G707:G726)</f>
        <v>458300</v>
      </c>
      <c r="H704" s="324">
        <f t="shared" ref="H704:V704" si="1229">SUM(H707:H726)</f>
        <v>0</v>
      </c>
      <c r="I704" s="324">
        <f t="shared" si="1229"/>
        <v>458300</v>
      </c>
      <c r="J704" s="324">
        <f t="shared" si="1229"/>
        <v>458300</v>
      </c>
      <c r="K704" s="324">
        <f t="shared" si="1229"/>
        <v>0</v>
      </c>
      <c r="L704" s="324">
        <f t="shared" si="1229"/>
        <v>0</v>
      </c>
      <c r="M704" s="324">
        <f>SUM(M707:M727)</f>
        <v>2244428</v>
      </c>
      <c r="N704" s="324">
        <f>SUM(N707:N727)</f>
        <v>2702728</v>
      </c>
      <c r="O704" s="324">
        <f t="shared" si="1229"/>
        <v>0</v>
      </c>
      <c r="P704" s="324">
        <f t="shared" si="1229"/>
        <v>0</v>
      </c>
      <c r="Q704" s="324">
        <f t="shared" si="1229"/>
        <v>993000</v>
      </c>
      <c r="R704" s="324">
        <f>SUM(R707:R727)</f>
        <v>1686481.3</v>
      </c>
      <c r="S704" s="324">
        <f>SUM(S707:S727)</f>
        <v>2679481.2999999998</v>
      </c>
      <c r="T704" s="324">
        <f t="shared" si="1229"/>
        <v>0</v>
      </c>
      <c r="U704" s="324">
        <f t="shared" si="1229"/>
        <v>0</v>
      </c>
      <c r="V704" s="324">
        <f t="shared" si="1229"/>
        <v>222262.14</v>
      </c>
      <c r="W704" s="324">
        <f>SUM(W707:W727)</f>
        <v>2457219.16</v>
      </c>
      <c r="X704" s="324">
        <f>SUM(X707:X727)</f>
        <v>2679481.2999999998</v>
      </c>
      <c r="Y704" s="324">
        <f>SUM(Y707:Y727)</f>
        <v>-2244428</v>
      </c>
      <c r="Z704" s="324">
        <f>SUM(Z707:Z727)</f>
        <v>23246.699999999953</v>
      </c>
      <c r="AA704" s="334">
        <f t="shared" ref="AA704" si="1230">SUM(AA707:AA726)</f>
        <v>0</v>
      </c>
      <c r="AB704" s="308">
        <f>SUM(AB707:AB727)</f>
        <v>0</v>
      </c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</row>
    <row r="705" spans="1:28" ht="14.1" customHeight="1" x14ac:dyDescent="0.2">
      <c r="A705" s="140"/>
      <c r="B705" s="278"/>
      <c r="C705" s="347" t="s">
        <v>283</v>
      </c>
      <c r="D705" s="101"/>
      <c r="E705" s="101"/>
      <c r="F705" s="753"/>
      <c r="G705" s="148"/>
      <c r="H705" s="148"/>
      <c r="I705" s="329"/>
      <c r="J705" s="329"/>
      <c r="K705" s="274"/>
      <c r="L705" s="274"/>
      <c r="M705" s="274"/>
      <c r="N705" s="275"/>
      <c r="O705" s="274"/>
      <c r="P705" s="274"/>
      <c r="Q705" s="274"/>
      <c r="R705" s="274"/>
      <c r="S705" s="274"/>
      <c r="T705" s="274"/>
      <c r="U705" s="274"/>
      <c r="V705" s="274"/>
      <c r="W705" s="274"/>
      <c r="X705" s="274"/>
      <c r="Y705" s="274"/>
      <c r="Z705" s="274"/>
      <c r="AA705" s="274"/>
      <c r="AB705" s="306"/>
    </row>
    <row r="706" spans="1:28" ht="14.1" customHeight="1" x14ac:dyDescent="0.2">
      <c r="A706" s="140"/>
      <c r="B706" s="278"/>
      <c r="C706" s="348" t="s">
        <v>284</v>
      </c>
      <c r="D706" s="101"/>
      <c r="E706" s="101"/>
      <c r="F706" s="753"/>
      <c r="G706" s="148"/>
      <c r="H706" s="148"/>
      <c r="I706" s="329"/>
      <c r="J706" s="329"/>
      <c r="K706" s="274"/>
      <c r="L706" s="274"/>
      <c r="M706" s="274"/>
      <c r="N706" s="275"/>
      <c r="O706" s="274"/>
      <c r="P706" s="274"/>
      <c r="Q706" s="274"/>
      <c r="R706" s="274"/>
      <c r="S706" s="274"/>
      <c r="T706" s="274"/>
      <c r="U706" s="274"/>
      <c r="V706" s="274"/>
      <c r="W706" s="274"/>
      <c r="X706" s="274"/>
      <c r="Y706" s="274"/>
      <c r="Z706" s="274"/>
      <c r="AA706" s="274"/>
      <c r="AB706" s="306"/>
    </row>
    <row r="707" spans="1:28" ht="14.1" customHeight="1" x14ac:dyDescent="0.2">
      <c r="A707" s="140"/>
      <c r="B707" s="278"/>
      <c r="C707" s="349" t="s">
        <v>285</v>
      </c>
      <c r="D707" s="101"/>
      <c r="E707" s="101"/>
      <c r="F707" s="370" t="s">
        <v>286</v>
      </c>
      <c r="G707" s="148"/>
      <c r="H707" s="148"/>
      <c r="I707" s="329">
        <f t="shared" ref="I707" si="1231">G707+H707</f>
        <v>0</v>
      </c>
      <c r="J707" s="329">
        <f t="shared" ref="J707" si="1232">I707</f>
        <v>0</v>
      </c>
      <c r="K707" s="274"/>
      <c r="L707" s="274"/>
      <c r="M707" s="274">
        <v>993000</v>
      </c>
      <c r="N707" s="275">
        <f t="shared" ref="N707" si="1233">J707+K707-L707+M707</f>
        <v>993000</v>
      </c>
      <c r="O707" s="274"/>
      <c r="P707" s="274"/>
      <c r="Q707" s="274">
        <v>993000</v>
      </c>
      <c r="R707" s="274"/>
      <c r="S707" s="274">
        <f t="shared" ref="S707" si="1234">SUM(O707:R707)</f>
        <v>993000</v>
      </c>
      <c r="T707" s="274"/>
      <c r="U707" s="274"/>
      <c r="V707" s="274">
        <v>222262.14</v>
      </c>
      <c r="W707" s="274">
        <v>770737.86</v>
      </c>
      <c r="X707" s="274">
        <f t="shared" ref="X707" si="1235">SUM(T707:W707)</f>
        <v>993000</v>
      </c>
      <c r="Y707" s="274">
        <f t="shared" ref="Y707" si="1236">I707-N707</f>
        <v>-993000</v>
      </c>
      <c r="Z707" s="274">
        <f t="shared" ref="Z707" si="1237">N707-S707</f>
        <v>0</v>
      </c>
      <c r="AA707" s="274"/>
      <c r="AB707" s="306">
        <f t="shared" ref="AB707" si="1238">+S707-X707-AA707</f>
        <v>0</v>
      </c>
    </row>
    <row r="708" spans="1:28" ht="14.1" hidden="1" customHeight="1" x14ac:dyDescent="0.2">
      <c r="A708" s="140"/>
      <c r="B708" s="278"/>
      <c r="C708" s="348" t="s">
        <v>287</v>
      </c>
      <c r="D708" s="101"/>
      <c r="E708" s="101"/>
      <c r="F708" s="370"/>
      <c r="G708" s="148"/>
      <c r="H708" s="148"/>
      <c r="I708" s="329"/>
      <c r="J708" s="329"/>
      <c r="K708" s="274"/>
      <c r="L708" s="274"/>
      <c r="M708" s="274"/>
      <c r="N708" s="275"/>
      <c r="O708" s="274"/>
      <c r="P708" s="274"/>
      <c r="Q708" s="274"/>
      <c r="R708" s="274"/>
      <c r="S708" s="274"/>
      <c r="T708" s="274"/>
      <c r="U708" s="274"/>
      <c r="V708" s="274"/>
      <c r="W708" s="274"/>
      <c r="X708" s="274"/>
      <c r="Y708" s="274"/>
      <c r="Z708" s="274"/>
      <c r="AA708" s="274"/>
      <c r="AB708" s="306"/>
    </row>
    <row r="709" spans="1:28" ht="14.1" hidden="1" customHeight="1" x14ac:dyDescent="0.2">
      <c r="A709" s="140"/>
      <c r="B709" s="278"/>
      <c r="C709" s="349" t="s">
        <v>288</v>
      </c>
      <c r="D709" s="101"/>
      <c r="E709" s="101"/>
      <c r="F709" s="370" t="s">
        <v>289</v>
      </c>
      <c r="G709" s="148"/>
      <c r="H709" s="148"/>
      <c r="I709" s="329">
        <f t="shared" ref="I709:I716" si="1239">G709+H709</f>
        <v>0</v>
      </c>
      <c r="J709" s="329">
        <f t="shared" ref="J709:J716" si="1240">I709</f>
        <v>0</v>
      </c>
      <c r="K709" s="274"/>
      <c r="L709" s="274"/>
      <c r="M709" s="274"/>
      <c r="N709" s="275">
        <f t="shared" ref="N709:N716" si="1241">J709+K709-L709+M709</f>
        <v>0</v>
      </c>
      <c r="O709" s="274"/>
      <c r="P709" s="274"/>
      <c r="Q709" s="274"/>
      <c r="R709" s="274"/>
      <c r="S709" s="274">
        <f t="shared" ref="S709:S716" si="1242">SUM(O709:R709)</f>
        <v>0</v>
      </c>
      <c r="T709" s="274"/>
      <c r="U709" s="274"/>
      <c r="V709" s="274"/>
      <c r="W709" s="274"/>
      <c r="X709" s="274">
        <f t="shared" ref="X709:X716" si="1243">SUM(T709:W709)</f>
        <v>0</v>
      </c>
      <c r="Y709" s="274">
        <f t="shared" ref="Y709:Y716" si="1244">I709-N709</f>
        <v>0</v>
      </c>
      <c r="Z709" s="274">
        <f t="shared" ref="Z709:Z716" si="1245">N709-S709</f>
        <v>0</v>
      </c>
      <c r="AA709" s="274"/>
      <c r="AB709" s="306">
        <f t="shared" ref="AB709:AB716" si="1246">+S709-X709-AA709</f>
        <v>0</v>
      </c>
    </row>
    <row r="710" spans="1:28" ht="14.1" hidden="1" customHeight="1" x14ac:dyDescent="0.2">
      <c r="A710" s="140"/>
      <c r="B710" s="278"/>
      <c r="C710" s="349" t="s">
        <v>290</v>
      </c>
      <c r="D710" s="101"/>
      <c r="E710" s="101"/>
      <c r="F710" s="370" t="s">
        <v>291</v>
      </c>
      <c r="G710" s="148"/>
      <c r="H710" s="148"/>
      <c r="I710" s="329">
        <f t="shared" si="1239"/>
        <v>0</v>
      </c>
      <c r="J710" s="329">
        <f t="shared" si="1240"/>
        <v>0</v>
      </c>
      <c r="K710" s="274"/>
      <c r="L710" s="274"/>
      <c r="M710" s="274"/>
      <c r="N710" s="275">
        <f t="shared" si="1241"/>
        <v>0</v>
      </c>
      <c r="O710" s="274"/>
      <c r="P710" s="274"/>
      <c r="Q710" s="274"/>
      <c r="R710" s="274"/>
      <c r="S710" s="274">
        <f t="shared" si="1242"/>
        <v>0</v>
      </c>
      <c r="T710" s="274"/>
      <c r="U710" s="274"/>
      <c r="V710" s="274"/>
      <c r="W710" s="274"/>
      <c r="X710" s="274">
        <f t="shared" si="1243"/>
        <v>0</v>
      </c>
      <c r="Y710" s="274">
        <f t="shared" si="1244"/>
        <v>0</v>
      </c>
      <c r="Z710" s="274">
        <f t="shared" si="1245"/>
        <v>0</v>
      </c>
      <c r="AA710" s="274"/>
      <c r="AB710" s="306">
        <f t="shared" si="1246"/>
        <v>0</v>
      </c>
    </row>
    <row r="711" spans="1:28" ht="14.1" hidden="1" customHeight="1" x14ac:dyDescent="0.2">
      <c r="A711" s="140"/>
      <c r="B711" s="278"/>
      <c r="C711" s="349" t="s">
        <v>292</v>
      </c>
      <c r="D711" s="101"/>
      <c r="E711" s="101"/>
      <c r="F711" s="370" t="s">
        <v>293</v>
      </c>
      <c r="G711" s="148"/>
      <c r="H711" s="148"/>
      <c r="I711" s="329">
        <f t="shared" si="1239"/>
        <v>0</v>
      </c>
      <c r="J711" s="329">
        <f t="shared" si="1240"/>
        <v>0</v>
      </c>
      <c r="K711" s="274"/>
      <c r="L711" s="274"/>
      <c r="M711" s="274"/>
      <c r="N711" s="275">
        <f t="shared" si="1241"/>
        <v>0</v>
      </c>
      <c r="O711" s="274"/>
      <c r="P711" s="274"/>
      <c r="Q711" s="274"/>
      <c r="R711" s="274"/>
      <c r="S711" s="274">
        <f t="shared" si="1242"/>
        <v>0</v>
      </c>
      <c r="T711" s="274"/>
      <c r="U711" s="274"/>
      <c r="V711" s="274"/>
      <c r="W711" s="274"/>
      <c r="X711" s="274">
        <f t="shared" si="1243"/>
        <v>0</v>
      </c>
      <c r="Y711" s="274">
        <f t="shared" si="1244"/>
        <v>0</v>
      </c>
      <c r="Z711" s="274">
        <f t="shared" si="1245"/>
        <v>0</v>
      </c>
      <c r="AA711" s="274"/>
      <c r="AB711" s="306">
        <f t="shared" si="1246"/>
        <v>0</v>
      </c>
    </row>
    <row r="712" spans="1:28" ht="14.1" hidden="1" customHeight="1" x14ac:dyDescent="0.2">
      <c r="A712" s="140"/>
      <c r="B712" s="278"/>
      <c r="C712" s="349" t="s">
        <v>294</v>
      </c>
      <c r="D712" s="101"/>
      <c r="E712" s="101"/>
      <c r="F712" s="370" t="s">
        <v>295</v>
      </c>
      <c r="G712" s="148"/>
      <c r="H712" s="148"/>
      <c r="I712" s="329">
        <f t="shared" si="1239"/>
        <v>0</v>
      </c>
      <c r="J712" s="329">
        <f t="shared" si="1240"/>
        <v>0</v>
      </c>
      <c r="K712" s="274"/>
      <c r="L712" s="274"/>
      <c r="M712" s="274"/>
      <c r="N712" s="275">
        <f t="shared" si="1241"/>
        <v>0</v>
      </c>
      <c r="O712" s="274"/>
      <c r="P712" s="274"/>
      <c r="Q712" s="274"/>
      <c r="R712" s="274"/>
      <c r="S712" s="274">
        <f t="shared" si="1242"/>
        <v>0</v>
      </c>
      <c r="T712" s="274"/>
      <c r="U712" s="274"/>
      <c r="V712" s="274"/>
      <c r="W712" s="274"/>
      <c r="X712" s="274">
        <f t="shared" si="1243"/>
        <v>0</v>
      </c>
      <c r="Y712" s="274">
        <f t="shared" si="1244"/>
        <v>0</v>
      </c>
      <c r="Z712" s="274">
        <f t="shared" si="1245"/>
        <v>0</v>
      </c>
      <c r="AA712" s="274"/>
      <c r="AB712" s="306">
        <f t="shared" si="1246"/>
        <v>0</v>
      </c>
    </row>
    <row r="713" spans="1:28" ht="14.1" hidden="1" customHeight="1" x14ac:dyDescent="0.2">
      <c r="A713" s="140"/>
      <c r="B713" s="278"/>
      <c r="C713" s="349" t="s">
        <v>296</v>
      </c>
      <c r="D713" s="101"/>
      <c r="E713" s="101"/>
      <c r="F713" s="370" t="s">
        <v>297</v>
      </c>
      <c r="G713" s="148"/>
      <c r="H713" s="148"/>
      <c r="I713" s="329">
        <f t="shared" si="1239"/>
        <v>0</v>
      </c>
      <c r="J713" s="329">
        <f t="shared" si="1240"/>
        <v>0</v>
      </c>
      <c r="K713" s="274"/>
      <c r="L713" s="274"/>
      <c r="M713" s="274"/>
      <c r="N713" s="275">
        <f t="shared" si="1241"/>
        <v>0</v>
      </c>
      <c r="O713" s="274"/>
      <c r="P713" s="274"/>
      <c r="Q713" s="274"/>
      <c r="R713" s="274"/>
      <c r="S713" s="274">
        <f t="shared" si="1242"/>
        <v>0</v>
      </c>
      <c r="T713" s="274"/>
      <c r="U713" s="274"/>
      <c r="V713" s="274"/>
      <c r="W713" s="274"/>
      <c r="X713" s="274">
        <f t="shared" si="1243"/>
        <v>0</v>
      </c>
      <c r="Y713" s="274">
        <f t="shared" si="1244"/>
        <v>0</v>
      </c>
      <c r="Z713" s="274">
        <f t="shared" si="1245"/>
        <v>0</v>
      </c>
      <c r="AA713" s="274"/>
      <c r="AB713" s="306">
        <f t="shared" si="1246"/>
        <v>0</v>
      </c>
    </row>
    <row r="714" spans="1:28" ht="14.1" hidden="1" customHeight="1" x14ac:dyDescent="0.2">
      <c r="A714" s="140"/>
      <c r="B714" s="278"/>
      <c r="C714" s="349" t="s">
        <v>298</v>
      </c>
      <c r="D714" s="101"/>
      <c r="E714" s="101"/>
      <c r="F714" s="370" t="s">
        <v>299</v>
      </c>
      <c r="G714" s="148"/>
      <c r="H714" s="148"/>
      <c r="I714" s="329">
        <f t="shared" si="1239"/>
        <v>0</v>
      </c>
      <c r="J714" s="329">
        <f t="shared" si="1240"/>
        <v>0</v>
      </c>
      <c r="K714" s="274"/>
      <c r="L714" s="274"/>
      <c r="M714" s="274"/>
      <c r="N714" s="275">
        <f t="shared" si="1241"/>
        <v>0</v>
      </c>
      <c r="O714" s="274"/>
      <c r="P714" s="274"/>
      <c r="Q714" s="274"/>
      <c r="R714" s="274"/>
      <c r="S714" s="274">
        <f t="shared" si="1242"/>
        <v>0</v>
      </c>
      <c r="T714" s="274"/>
      <c r="U714" s="274"/>
      <c r="V714" s="274"/>
      <c r="W714" s="274"/>
      <c r="X714" s="274">
        <f t="shared" si="1243"/>
        <v>0</v>
      </c>
      <c r="Y714" s="274">
        <f t="shared" si="1244"/>
        <v>0</v>
      </c>
      <c r="Z714" s="274">
        <f t="shared" si="1245"/>
        <v>0</v>
      </c>
      <c r="AA714" s="274"/>
      <c r="AB714" s="306">
        <f t="shared" si="1246"/>
        <v>0</v>
      </c>
    </row>
    <row r="715" spans="1:28" ht="14.1" customHeight="1" x14ac:dyDescent="0.2">
      <c r="A715" s="140"/>
      <c r="B715" s="278"/>
      <c r="C715" s="349" t="s">
        <v>300</v>
      </c>
      <c r="D715" s="101"/>
      <c r="E715" s="101"/>
      <c r="F715" s="370" t="s">
        <v>301</v>
      </c>
      <c r="G715" s="148"/>
      <c r="H715" s="148"/>
      <c r="I715" s="329">
        <f t="shared" si="1239"/>
        <v>0</v>
      </c>
      <c r="J715" s="329">
        <f t="shared" si="1240"/>
        <v>0</v>
      </c>
      <c r="K715" s="274"/>
      <c r="L715" s="274"/>
      <c r="M715" s="274">
        <v>81000</v>
      </c>
      <c r="N715" s="275">
        <f t="shared" si="1241"/>
        <v>81000</v>
      </c>
      <c r="O715" s="274"/>
      <c r="P715" s="274"/>
      <c r="Q715" s="274"/>
      <c r="R715" s="274">
        <v>81000</v>
      </c>
      <c r="S715" s="274">
        <f t="shared" si="1242"/>
        <v>81000</v>
      </c>
      <c r="T715" s="274"/>
      <c r="U715" s="274"/>
      <c r="V715" s="274"/>
      <c r="W715" s="274">
        <v>81000</v>
      </c>
      <c r="X715" s="274">
        <f t="shared" si="1243"/>
        <v>81000</v>
      </c>
      <c r="Y715" s="274">
        <f t="shared" si="1244"/>
        <v>-81000</v>
      </c>
      <c r="Z715" s="274">
        <f t="shared" si="1245"/>
        <v>0</v>
      </c>
      <c r="AA715" s="274"/>
      <c r="AB715" s="306">
        <f t="shared" si="1246"/>
        <v>0</v>
      </c>
    </row>
    <row r="716" spans="1:28" ht="14.1" hidden="1" customHeight="1" x14ac:dyDescent="0.2">
      <c r="A716" s="140"/>
      <c r="B716" s="278"/>
      <c r="C716" s="349" t="s">
        <v>302</v>
      </c>
      <c r="D716" s="101"/>
      <c r="E716" s="101"/>
      <c r="F716" s="370" t="s">
        <v>303</v>
      </c>
      <c r="G716" s="148"/>
      <c r="H716" s="148"/>
      <c r="I716" s="329">
        <f t="shared" si="1239"/>
        <v>0</v>
      </c>
      <c r="J716" s="329">
        <f t="shared" si="1240"/>
        <v>0</v>
      </c>
      <c r="K716" s="274"/>
      <c r="L716" s="274"/>
      <c r="M716" s="274"/>
      <c r="N716" s="275">
        <f t="shared" si="1241"/>
        <v>0</v>
      </c>
      <c r="O716" s="274"/>
      <c r="P716" s="274"/>
      <c r="Q716" s="274"/>
      <c r="R716" s="274"/>
      <c r="S716" s="274">
        <f t="shared" si="1242"/>
        <v>0</v>
      </c>
      <c r="T716" s="274"/>
      <c r="U716" s="274"/>
      <c r="V716" s="274"/>
      <c r="W716" s="274"/>
      <c r="X716" s="274">
        <f t="shared" si="1243"/>
        <v>0</v>
      </c>
      <c r="Y716" s="274">
        <f t="shared" si="1244"/>
        <v>0</v>
      </c>
      <c r="Z716" s="274">
        <f t="shared" si="1245"/>
        <v>0</v>
      </c>
      <c r="AA716" s="274"/>
      <c r="AB716" s="306">
        <f t="shared" si="1246"/>
        <v>0</v>
      </c>
    </row>
    <row r="717" spans="1:28" ht="14.1" customHeight="1" x14ac:dyDescent="0.2">
      <c r="A717" s="140"/>
      <c r="B717" s="278"/>
      <c r="C717" s="348" t="s">
        <v>306</v>
      </c>
      <c r="D717" s="101"/>
      <c r="E717" s="101"/>
      <c r="F717" s="370"/>
      <c r="G717" s="148"/>
      <c r="H717" s="148"/>
      <c r="I717" s="329"/>
      <c r="J717" s="329"/>
      <c r="K717" s="274"/>
      <c r="L717" s="274"/>
      <c r="M717" s="274"/>
      <c r="N717" s="275"/>
      <c r="O717" s="274"/>
      <c r="P717" s="274"/>
      <c r="Q717" s="274"/>
      <c r="R717" s="274"/>
      <c r="S717" s="274"/>
      <c r="T717" s="274"/>
      <c r="U717" s="274"/>
      <c r="V717" s="274"/>
      <c r="W717" s="274"/>
      <c r="X717" s="274"/>
      <c r="Y717" s="274"/>
      <c r="Z717" s="274"/>
      <c r="AA717" s="274"/>
      <c r="AB717" s="306"/>
    </row>
    <row r="718" spans="1:28" ht="14.1" hidden="1" customHeight="1" x14ac:dyDescent="0.2">
      <c r="A718" s="140"/>
      <c r="B718" s="278"/>
      <c r="C718" s="349" t="s">
        <v>307</v>
      </c>
      <c r="D718" s="101"/>
      <c r="E718" s="101"/>
      <c r="F718" s="370" t="s">
        <v>308</v>
      </c>
      <c r="G718" s="148"/>
      <c r="H718" s="148"/>
      <c r="I718" s="329">
        <f t="shared" ref="I718:I720" si="1247">G718+H718</f>
        <v>0</v>
      </c>
      <c r="J718" s="329">
        <f t="shared" ref="J718:J720" si="1248">I718</f>
        <v>0</v>
      </c>
      <c r="K718" s="274"/>
      <c r="L718" s="274"/>
      <c r="M718" s="274"/>
      <c r="N718" s="275">
        <f t="shared" ref="N718:N720" si="1249">J718+K718-L718+M718</f>
        <v>0</v>
      </c>
      <c r="O718" s="274"/>
      <c r="P718" s="274"/>
      <c r="Q718" s="274"/>
      <c r="R718" s="274"/>
      <c r="S718" s="274">
        <f t="shared" ref="S718:S720" si="1250">SUM(O718:R718)</f>
        <v>0</v>
      </c>
      <c r="T718" s="274"/>
      <c r="U718" s="274"/>
      <c r="V718" s="274"/>
      <c r="W718" s="274"/>
      <c r="X718" s="274">
        <f t="shared" ref="X718:X720" si="1251">SUM(T718:W718)</f>
        <v>0</v>
      </c>
      <c r="Y718" s="274">
        <f t="shared" ref="Y718:Y720" si="1252">I718-N718</f>
        <v>0</v>
      </c>
      <c r="Z718" s="274">
        <f t="shared" ref="Z718:Z720" si="1253">N718-S718</f>
        <v>0</v>
      </c>
      <c r="AA718" s="274"/>
      <c r="AB718" s="306">
        <f t="shared" ref="AB718:AB720" si="1254">+S718-X718-AA718</f>
        <v>0</v>
      </c>
    </row>
    <row r="719" spans="1:28" ht="14.1" hidden="1" customHeight="1" x14ac:dyDescent="0.2">
      <c r="A719" s="140"/>
      <c r="B719" s="278"/>
      <c r="C719" s="349" t="s">
        <v>309</v>
      </c>
      <c r="D719" s="101"/>
      <c r="E719" s="101"/>
      <c r="F719" s="370" t="s">
        <v>310</v>
      </c>
      <c r="G719" s="148"/>
      <c r="H719" s="148"/>
      <c r="I719" s="329">
        <f t="shared" si="1247"/>
        <v>0</v>
      </c>
      <c r="J719" s="329">
        <f t="shared" si="1248"/>
        <v>0</v>
      </c>
      <c r="K719" s="274"/>
      <c r="L719" s="274"/>
      <c r="M719" s="274"/>
      <c r="N719" s="275">
        <f t="shared" si="1249"/>
        <v>0</v>
      </c>
      <c r="O719" s="274"/>
      <c r="P719" s="274"/>
      <c r="Q719" s="274"/>
      <c r="R719" s="274"/>
      <c r="S719" s="274">
        <f t="shared" si="1250"/>
        <v>0</v>
      </c>
      <c r="T719" s="274"/>
      <c r="U719" s="274"/>
      <c r="V719" s="274"/>
      <c r="W719" s="274"/>
      <c r="X719" s="274">
        <f t="shared" si="1251"/>
        <v>0</v>
      </c>
      <c r="Y719" s="274">
        <f t="shared" si="1252"/>
        <v>0</v>
      </c>
      <c r="Z719" s="274">
        <f t="shared" si="1253"/>
        <v>0</v>
      </c>
      <c r="AA719" s="274"/>
      <c r="AB719" s="306">
        <f t="shared" si="1254"/>
        <v>0</v>
      </c>
    </row>
    <row r="720" spans="1:28" ht="14.1" customHeight="1" x14ac:dyDescent="0.2">
      <c r="A720" s="140"/>
      <c r="B720" s="278"/>
      <c r="C720" s="349" t="s">
        <v>311</v>
      </c>
      <c r="D720" s="101"/>
      <c r="E720" s="101"/>
      <c r="F720" s="370" t="s">
        <v>312</v>
      </c>
      <c r="G720" s="148"/>
      <c r="H720" s="148"/>
      <c r="I720" s="329">
        <f t="shared" si="1247"/>
        <v>0</v>
      </c>
      <c r="J720" s="329">
        <f t="shared" si="1248"/>
        <v>0</v>
      </c>
      <c r="K720" s="274"/>
      <c r="L720" s="274"/>
      <c r="M720" s="274">
        <v>1000</v>
      </c>
      <c r="N720" s="275">
        <f t="shared" si="1249"/>
        <v>1000</v>
      </c>
      <c r="O720" s="274"/>
      <c r="P720" s="274"/>
      <c r="Q720" s="274"/>
      <c r="R720" s="274"/>
      <c r="S720" s="274">
        <f t="shared" si="1250"/>
        <v>0</v>
      </c>
      <c r="T720" s="274"/>
      <c r="U720" s="274"/>
      <c r="V720" s="274"/>
      <c r="W720" s="274"/>
      <c r="X720" s="274">
        <f t="shared" si="1251"/>
        <v>0</v>
      </c>
      <c r="Y720" s="274">
        <f t="shared" si="1252"/>
        <v>-1000</v>
      </c>
      <c r="Z720" s="274">
        <f t="shared" si="1253"/>
        <v>1000</v>
      </c>
      <c r="AA720" s="274"/>
      <c r="AB720" s="306">
        <f t="shared" si="1254"/>
        <v>0</v>
      </c>
    </row>
    <row r="721" spans="1:28" ht="14.1" customHeight="1" x14ac:dyDescent="0.2">
      <c r="A721" s="140"/>
      <c r="B721" s="278"/>
      <c r="C721" s="348" t="s">
        <v>313</v>
      </c>
      <c r="D721" s="101"/>
      <c r="E721" s="101"/>
      <c r="F721" s="370"/>
      <c r="G721" s="148"/>
      <c r="H721" s="148"/>
      <c r="I721" s="329"/>
      <c r="J721" s="329"/>
      <c r="K721" s="274"/>
      <c r="L721" s="274"/>
      <c r="M721" s="274"/>
      <c r="N721" s="275"/>
      <c r="O721" s="274"/>
      <c r="P721" s="274"/>
      <c r="Q721" s="274"/>
      <c r="R721" s="274"/>
      <c r="S721" s="274"/>
      <c r="T721" s="274"/>
      <c r="U721" s="274"/>
      <c r="V721" s="274"/>
      <c r="W721" s="274"/>
      <c r="X721" s="274"/>
      <c r="Y721" s="274"/>
      <c r="Z721" s="274"/>
      <c r="AA721" s="274"/>
      <c r="AB721" s="306"/>
    </row>
    <row r="722" spans="1:28" ht="14.1" customHeight="1" x14ac:dyDescent="0.2">
      <c r="A722" s="140"/>
      <c r="B722" s="278"/>
      <c r="C722" s="349" t="s">
        <v>314</v>
      </c>
      <c r="D722" s="101"/>
      <c r="E722" s="101"/>
      <c r="F722" s="370" t="s">
        <v>315</v>
      </c>
      <c r="G722" s="148"/>
      <c r="H722" s="148"/>
      <c r="I722" s="329">
        <f t="shared" ref="I722" si="1255">G722+H722</f>
        <v>0</v>
      </c>
      <c r="J722" s="329">
        <f t="shared" ref="J722" si="1256">I722</f>
        <v>0</v>
      </c>
      <c r="K722" s="274"/>
      <c r="L722" s="274"/>
      <c r="M722" s="274">
        <v>3000</v>
      </c>
      <c r="N722" s="275">
        <f t="shared" ref="N722" si="1257">J722+K722-L722+M722</f>
        <v>3000</v>
      </c>
      <c r="O722" s="274"/>
      <c r="P722" s="274"/>
      <c r="Q722" s="274"/>
      <c r="R722" s="274"/>
      <c r="S722" s="274">
        <f t="shared" ref="S722" si="1258">SUM(O722:R722)</f>
        <v>0</v>
      </c>
      <c r="T722" s="274"/>
      <c r="U722" s="274"/>
      <c r="V722" s="274"/>
      <c r="W722" s="274"/>
      <c r="X722" s="274">
        <f t="shared" ref="X722" si="1259">SUM(T722:W722)</f>
        <v>0</v>
      </c>
      <c r="Y722" s="274">
        <f t="shared" ref="Y722" si="1260">I722-N722</f>
        <v>-3000</v>
      </c>
      <c r="Z722" s="274">
        <f t="shared" ref="Z722" si="1261">N722-S722</f>
        <v>3000</v>
      </c>
      <c r="AA722" s="274"/>
      <c r="AB722" s="306">
        <f t="shared" ref="AB722" si="1262">+S722-X722-AA722</f>
        <v>0</v>
      </c>
    </row>
    <row r="723" spans="1:28" ht="14.1" customHeight="1" x14ac:dyDescent="0.2">
      <c r="A723" s="140"/>
      <c r="B723" s="278"/>
      <c r="C723" s="348" t="s">
        <v>684</v>
      </c>
      <c r="D723" s="109"/>
      <c r="E723" s="109"/>
      <c r="G723" s="148"/>
      <c r="H723" s="148"/>
      <c r="I723" s="329"/>
      <c r="J723" s="329"/>
      <c r="K723" s="274"/>
      <c r="L723" s="274"/>
      <c r="M723" s="274"/>
      <c r="N723" s="275"/>
      <c r="O723" s="274"/>
      <c r="P723" s="274"/>
      <c r="Q723" s="274"/>
      <c r="R723" s="274"/>
      <c r="S723" s="274"/>
      <c r="T723" s="274"/>
      <c r="U723" s="274"/>
      <c r="V723" s="274"/>
      <c r="W723" s="274"/>
      <c r="X723" s="274"/>
      <c r="Y723" s="274"/>
      <c r="Z723" s="274"/>
      <c r="AA723" s="274"/>
      <c r="AB723" s="306"/>
    </row>
    <row r="724" spans="1:28" ht="14.1" customHeight="1" x14ac:dyDescent="0.2">
      <c r="A724" s="140"/>
      <c r="B724" s="278"/>
      <c r="C724" s="349" t="s">
        <v>685</v>
      </c>
      <c r="D724" s="101"/>
      <c r="E724" s="101"/>
      <c r="F724" s="370" t="s">
        <v>305</v>
      </c>
      <c r="G724" s="148"/>
      <c r="H724" s="148"/>
      <c r="I724" s="329">
        <f t="shared" ref="I724:I726" si="1263">G724+H724</f>
        <v>0</v>
      </c>
      <c r="J724" s="329">
        <f t="shared" ref="J724:J726" si="1264">I724</f>
        <v>0</v>
      </c>
      <c r="K724" s="274">
        <v>0</v>
      </c>
      <c r="L724" s="274"/>
      <c r="M724" s="274"/>
      <c r="N724" s="275">
        <f t="shared" ref="N724:N727" si="1265">J724+K724-L724+M724</f>
        <v>0</v>
      </c>
      <c r="O724" s="274"/>
      <c r="P724" s="274"/>
      <c r="Q724" s="274"/>
      <c r="R724" s="274"/>
      <c r="S724" s="274">
        <f t="shared" ref="S724:S727" si="1266">SUM(O724:R724)</f>
        <v>0</v>
      </c>
      <c r="T724" s="274"/>
      <c r="U724" s="274"/>
      <c r="V724" s="274"/>
      <c r="W724" s="274"/>
      <c r="X724" s="274">
        <f t="shared" ref="X724:X727" si="1267">SUM(T724:W724)</f>
        <v>0</v>
      </c>
      <c r="Y724" s="274">
        <f t="shared" ref="Y724:Y727" si="1268">I724-N724</f>
        <v>0</v>
      </c>
      <c r="Z724" s="274">
        <f t="shared" ref="Z724:Z727" si="1269">N724-S724</f>
        <v>0</v>
      </c>
      <c r="AA724" s="274"/>
      <c r="AB724" s="306">
        <f t="shared" ref="AB724:AB727" si="1270">+S724-X724-AA724</f>
        <v>0</v>
      </c>
    </row>
    <row r="725" spans="1:28" ht="14.1" customHeight="1" x14ac:dyDescent="0.2">
      <c r="A725" s="140"/>
      <c r="B725" s="278"/>
      <c r="C725" s="349" t="s">
        <v>686</v>
      </c>
      <c r="D725" s="101"/>
      <c r="E725" s="109"/>
      <c r="F725" s="370" t="s">
        <v>486</v>
      </c>
      <c r="G725" s="148"/>
      <c r="H725" s="148"/>
      <c r="I725" s="329">
        <f t="shared" si="1263"/>
        <v>0</v>
      </c>
      <c r="J725" s="329">
        <f t="shared" si="1264"/>
        <v>0</v>
      </c>
      <c r="K725" s="148">
        <f>'far 1'!K95</f>
        <v>0</v>
      </c>
      <c r="L725" s="274"/>
      <c r="M725" s="148">
        <f>'far 1'!M95</f>
        <v>0</v>
      </c>
      <c r="N725" s="275">
        <f t="shared" si="1265"/>
        <v>0</v>
      </c>
      <c r="O725" s="148">
        <f>'far 1'!O95</f>
        <v>0</v>
      </c>
      <c r="P725" s="148">
        <f>'far 1'!P95</f>
        <v>0</v>
      </c>
      <c r="Q725" s="148">
        <f>'far 1'!Q95</f>
        <v>0</v>
      </c>
      <c r="R725" s="148">
        <f>'far 1'!R95</f>
        <v>0</v>
      </c>
      <c r="S725" s="274">
        <f t="shared" si="1266"/>
        <v>0</v>
      </c>
      <c r="T725" s="148">
        <f>'far 1'!T95</f>
        <v>0</v>
      </c>
      <c r="U725" s="148">
        <f>'far 1'!U95</f>
        <v>0</v>
      </c>
      <c r="V725" s="148">
        <f>'far 1'!V95</f>
        <v>0</v>
      </c>
      <c r="W725" s="148">
        <f>'far 1'!W95</f>
        <v>0</v>
      </c>
      <c r="X725" s="274">
        <f t="shared" si="1267"/>
        <v>0</v>
      </c>
      <c r="Y725" s="274">
        <f t="shared" si="1268"/>
        <v>0</v>
      </c>
      <c r="Z725" s="274">
        <f t="shared" si="1269"/>
        <v>0</v>
      </c>
      <c r="AA725" s="152">
        <f>'far 1'!AA95</f>
        <v>0</v>
      </c>
      <c r="AB725" s="306">
        <f t="shared" si="1270"/>
        <v>0</v>
      </c>
    </row>
    <row r="726" spans="1:28" ht="14.1" customHeight="1" x14ac:dyDescent="0.2">
      <c r="A726" s="140"/>
      <c r="B726" s="278"/>
      <c r="C726" s="349" t="s">
        <v>687</v>
      </c>
      <c r="D726" s="109"/>
      <c r="E726" s="109"/>
      <c r="F726" s="370" t="s">
        <v>489</v>
      </c>
      <c r="G726" s="148">
        <v>458300</v>
      </c>
      <c r="H726" s="148"/>
      <c r="I726" s="329">
        <f t="shared" si="1263"/>
        <v>458300</v>
      </c>
      <c r="J726" s="329">
        <f t="shared" si="1264"/>
        <v>458300</v>
      </c>
      <c r="K726" s="148">
        <f>'far 1'!K96</f>
        <v>0</v>
      </c>
      <c r="L726" s="274"/>
      <c r="M726" s="148">
        <f>'far 1'!M96</f>
        <v>0</v>
      </c>
      <c r="N726" s="275">
        <f t="shared" si="1265"/>
        <v>458300</v>
      </c>
      <c r="O726" s="148">
        <f>'far 1'!O96</f>
        <v>0</v>
      </c>
      <c r="P726" s="148">
        <f>'far 1'!P96</f>
        <v>0</v>
      </c>
      <c r="Q726" s="148">
        <f>'far 1'!Q96</f>
        <v>0</v>
      </c>
      <c r="R726" s="148">
        <v>457600</v>
      </c>
      <c r="S726" s="274">
        <f t="shared" si="1266"/>
        <v>457600</v>
      </c>
      <c r="T726" s="148">
        <f>'far 1'!T96</f>
        <v>0</v>
      </c>
      <c r="U726" s="148">
        <f>'far 1'!U96</f>
        <v>0</v>
      </c>
      <c r="V726" s="148">
        <f>'far 1'!V96</f>
        <v>0</v>
      </c>
      <c r="W726" s="148">
        <v>457600</v>
      </c>
      <c r="X726" s="274">
        <f t="shared" si="1267"/>
        <v>457600</v>
      </c>
      <c r="Y726" s="274">
        <f t="shared" si="1268"/>
        <v>0</v>
      </c>
      <c r="Z726" s="274">
        <f t="shared" si="1269"/>
        <v>700</v>
      </c>
      <c r="AA726" s="152">
        <f>'far 1'!AA96</f>
        <v>0</v>
      </c>
      <c r="AB726" s="306">
        <f t="shared" si="1270"/>
        <v>0</v>
      </c>
    </row>
    <row r="727" spans="1:28" ht="14.1" customHeight="1" x14ac:dyDescent="0.2">
      <c r="A727" s="140"/>
      <c r="B727" s="278"/>
      <c r="C727" s="69"/>
      <c r="D727" s="109" t="s">
        <v>807</v>
      </c>
      <c r="E727" s="109"/>
      <c r="F727" s="289" t="s">
        <v>808</v>
      </c>
      <c r="G727" s="148"/>
      <c r="H727" s="148"/>
      <c r="I727" s="329"/>
      <c r="J727" s="329"/>
      <c r="K727" s="148"/>
      <c r="L727" s="274"/>
      <c r="M727" s="148">
        <v>1166428</v>
      </c>
      <c r="N727" s="275">
        <f t="shared" si="1265"/>
        <v>1166428</v>
      </c>
      <c r="O727" s="148"/>
      <c r="P727" s="148"/>
      <c r="Q727" s="148"/>
      <c r="R727" s="148">
        <f>1124186+8695.3+15000</f>
        <v>1147881.3</v>
      </c>
      <c r="S727" s="274">
        <f t="shared" si="1266"/>
        <v>1147881.3</v>
      </c>
      <c r="T727" s="148"/>
      <c r="U727" s="148"/>
      <c r="V727" s="148"/>
      <c r="W727" s="148">
        <f>1124186+15000+8695.3</f>
        <v>1147881.3</v>
      </c>
      <c r="X727" s="274">
        <f t="shared" si="1267"/>
        <v>1147881.3</v>
      </c>
      <c r="Y727" s="274">
        <f t="shared" si="1268"/>
        <v>-1166428</v>
      </c>
      <c r="Z727" s="274">
        <f t="shared" si="1269"/>
        <v>18546.699999999953</v>
      </c>
      <c r="AA727" s="152"/>
      <c r="AB727" s="306">
        <f t="shared" si="1270"/>
        <v>0</v>
      </c>
    </row>
    <row r="728" spans="1:28" ht="14.1" customHeight="1" x14ac:dyDescent="0.2">
      <c r="A728" s="140"/>
      <c r="B728" s="857"/>
      <c r="C728" s="69"/>
      <c r="D728" s="109"/>
      <c r="E728" s="109"/>
      <c r="G728" s="148"/>
      <c r="H728" s="148"/>
      <c r="I728" s="329"/>
      <c r="J728" s="329"/>
      <c r="K728" s="148"/>
      <c r="L728" s="323"/>
      <c r="M728" s="148"/>
      <c r="N728" s="329"/>
      <c r="O728" s="148"/>
      <c r="P728" s="148"/>
      <c r="Q728" s="148"/>
      <c r="R728" s="148"/>
      <c r="S728" s="323"/>
      <c r="T728" s="148"/>
      <c r="U728" s="148"/>
      <c r="V728" s="148"/>
      <c r="W728" s="148"/>
      <c r="X728" s="323"/>
      <c r="Y728" s="323"/>
      <c r="Z728" s="323"/>
      <c r="AA728" s="152"/>
      <c r="AB728" s="306"/>
    </row>
    <row r="729" spans="1:28" ht="14.1" customHeight="1" x14ac:dyDescent="0.2">
      <c r="A729" s="140"/>
      <c r="B729" s="69" t="s">
        <v>272</v>
      </c>
      <c r="C729" s="69"/>
      <c r="D729" s="109"/>
      <c r="E729" s="109"/>
      <c r="F729" s="289" t="s">
        <v>487</v>
      </c>
      <c r="G729" s="324">
        <f t="shared" ref="G729" si="1271">SUM(G730:G731)</f>
        <v>0</v>
      </c>
      <c r="H729" s="324">
        <f t="shared" ref="H729:AB729" si="1272">SUM(H730:H731)</f>
        <v>0</v>
      </c>
      <c r="I729" s="324">
        <f t="shared" si="1272"/>
        <v>0</v>
      </c>
      <c r="J729" s="324">
        <f t="shared" si="1272"/>
        <v>0</v>
      </c>
      <c r="K729" s="324">
        <f>SUM(K730:K731)</f>
        <v>0</v>
      </c>
      <c r="L729" s="324">
        <f t="shared" si="1272"/>
        <v>0</v>
      </c>
      <c r="M729" s="324">
        <f>SUM(M730:M731)</f>
        <v>0</v>
      </c>
      <c r="N729" s="324">
        <f t="shared" si="1272"/>
        <v>0</v>
      </c>
      <c r="O729" s="324">
        <f t="shared" si="1272"/>
        <v>0</v>
      </c>
      <c r="P729" s="324">
        <f t="shared" si="1272"/>
        <v>0</v>
      </c>
      <c r="Q729" s="324">
        <f t="shared" si="1272"/>
        <v>0</v>
      </c>
      <c r="R729" s="324">
        <f t="shared" si="1272"/>
        <v>0</v>
      </c>
      <c r="S729" s="324">
        <f t="shared" si="1272"/>
        <v>0</v>
      </c>
      <c r="T729" s="324">
        <f t="shared" si="1272"/>
        <v>0</v>
      </c>
      <c r="U729" s="324">
        <f t="shared" si="1272"/>
        <v>0</v>
      </c>
      <c r="V729" s="324">
        <f t="shared" si="1272"/>
        <v>0</v>
      </c>
      <c r="W729" s="324">
        <f t="shared" si="1272"/>
        <v>0</v>
      </c>
      <c r="X729" s="324">
        <f t="shared" si="1272"/>
        <v>0</v>
      </c>
      <c r="Y729" s="324">
        <f t="shared" si="1272"/>
        <v>0</v>
      </c>
      <c r="Z729" s="324">
        <f t="shared" si="1272"/>
        <v>0</v>
      </c>
      <c r="AA729" s="334">
        <f t="shared" ref="AA729" si="1273">SUM(AA730:AA731)</f>
        <v>0</v>
      </c>
      <c r="AB729" s="308">
        <f t="shared" si="1272"/>
        <v>0</v>
      </c>
    </row>
    <row r="730" spans="1:28" ht="14.1" customHeight="1" x14ac:dyDescent="0.2">
      <c r="A730" s="140"/>
      <c r="B730" s="278"/>
      <c r="C730" s="69"/>
      <c r="D730" s="109" t="s">
        <v>273</v>
      </c>
      <c r="E730" s="109"/>
      <c r="F730" s="289" t="s">
        <v>488</v>
      </c>
      <c r="G730" s="148"/>
      <c r="H730" s="148"/>
      <c r="I730" s="329">
        <f t="shared" ref="I730:I731" si="1274">G730+H730</f>
        <v>0</v>
      </c>
      <c r="J730" s="329">
        <f t="shared" ref="J730:J731" si="1275">I730</f>
        <v>0</v>
      </c>
      <c r="K730" s="148">
        <f>'far 1'!K98</f>
        <v>0</v>
      </c>
      <c r="L730" s="274"/>
      <c r="M730" s="148">
        <f>'far 1'!M98</f>
        <v>0</v>
      </c>
      <c r="N730" s="275">
        <f t="shared" ref="N730:N731" si="1276">J730+K730-L730+M730</f>
        <v>0</v>
      </c>
      <c r="O730" s="148">
        <f>'far 1'!O98</f>
        <v>0</v>
      </c>
      <c r="P730" s="148">
        <f>'far 1'!P98</f>
        <v>0</v>
      </c>
      <c r="Q730" s="148">
        <f>'far 1'!Q98</f>
        <v>0</v>
      </c>
      <c r="R730" s="148">
        <f>'far 1'!R98</f>
        <v>0</v>
      </c>
      <c r="S730" s="274">
        <f t="shared" ref="S730:S731" si="1277">SUM(O730:R730)</f>
        <v>0</v>
      </c>
      <c r="T730" s="148">
        <f>'far 1'!T98</f>
        <v>0</v>
      </c>
      <c r="U730" s="148">
        <f>'far 1'!U98</f>
        <v>0</v>
      </c>
      <c r="V730" s="148">
        <f>'far 1'!V98</f>
        <v>0</v>
      </c>
      <c r="W730" s="148">
        <f>'far 1'!W98</f>
        <v>0</v>
      </c>
      <c r="X730" s="274">
        <f t="shared" ref="X730:X731" si="1278">SUM(T730:W730)</f>
        <v>0</v>
      </c>
      <c r="Y730" s="274">
        <f t="shared" ref="Y730:Y731" si="1279">I730-N730</f>
        <v>0</v>
      </c>
      <c r="Z730" s="274">
        <f t="shared" ref="Z730:Z731" si="1280">N730-S730</f>
        <v>0</v>
      </c>
      <c r="AA730" s="152">
        <f>'far 1'!AA98</f>
        <v>0</v>
      </c>
      <c r="AB730" s="306">
        <f t="shared" ref="AB730:AB731" si="1281">+S730-X730-AA730</f>
        <v>0</v>
      </c>
    </row>
    <row r="731" spans="1:28" ht="14.1" customHeight="1" x14ac:dyDescent="0.2">
      <c r="A731" s="140"/>
      <c r="B731" s="278"/>
      <c r="C731" s="69"/>
      <c r="D731" s="109" t="s">
        <v>688</v>
      </c>
      <c r="E731" s="109"/>
      <c r="F731" s="289" t="s">
        <v>689</v>
      </c>
      <c r="G731" s="148"/>
      <c r="H731" s="148"/>
      <c r="I731" s="329">
        <f t="shared" si="1274"/>
        <v>0</v>
      </c>
      <c r="J731" s="329">
        <f t="shared" si="1275"/>
        <v>0</v>
      </c>
      <c r="K731" s="148">
        <f>'far 1'!K99</f>
        <v>0</v>
      </c>
      <c r="L731" s="274"/>
      <c r="M731" s="148">
        <f>'far 1'!M99</f>
        <v>0</v>
      </c>
      <c r="N731" s="275">
        <f t="shared" si="1276"/>
        <v>0</v>
      </c>
      <c r="O731" s="148">
        <f>'far 1'!O99</f>
        <v>0</v>
      </c>
      <c r="P731" s="148">
        <f>'far 1'!P99</f>
        <v>0</v>
      </c>
      <c r="Q731" s="148">
        <f>'far 1'!Q99</f>
        <v>0</v>
      </c>
      <c r="R731" s="148">
        <f>'far 1'!R99</f>
        <v>0</v>
      </c>
      <c r="S731" s="274">
        <f t="shared" si="1277"/>
        <v>0</v>
      </c>
      <c r="T731" s="148">
        <f>'far 1'!T99</f>
        <v>0</v>
      </c>
      <c r="U731" s="148">
        <f>'far 1'!U99</f>
        <v>0</v>
      </c>
      <c r="V731" s="148">
        <f>'far 1'!V99</f>
        <v>0</v>
      </c>
      <c r="W731" s="148">
        <f>'far 1'!W99</f>
        <v>0</v>
      </c>
      <c r="X731" s="274">
        <f t="shared" si="1278"/>
        <v>0</v>
      </c>
      <c r="Y731" s="274">
        <f t="shared" si="1279"/>
        <v>0</v>
      </c>
      <c r="Z731" s="274">
        <f t="shared" si="1280"/>
        <v>0</v>
      </c>
      <c r="AA731" s="152">
        <f>'far 1'!AA99</f>
        <v>0</v>
      </c>
      <c r="AB731" s="306">
        <f t="shared" si="1281"/>
        <v>0</v>
      </c>
    </row>
    <row r="732" spans="1:28" ht="14.1" customHeight="1" x14ac:dyDescent="0.2">
      <c r="A732" s="140"/>
      <c r="B732" s="278"/>
      <c r="C732" s="69"/>
      <c r="D732" s="109"/>
      <c r="E732" s="109"/>
      <c r="G732" s="148"/>
      <c r="H732" s="148"/>
      <c r="I732" s="329"/>
      <c r="J732" s="329"/>
      <c r="K732" s="274"/>
      <c r="L732" s="274"/>
      <c r="M732" s="274"/>
      <c r="N732" s="275"/>
      <c r="O732" s="274"/>
      <c r="P732" s="274"/>
      <c r="Q732" s="274"/>
      <c r="R732" s="274"/>
      <c r="S732" s="274"/>
      <c r="T732" s="274"/>
      <c r="U732" s="274"/>
      <c r="V732" s="274"/>
      <c r="W732" s="274"/>
      <c r="X732" s="274"/>
      <c r="Y732" s="274"/>
      <c r="Z732" s="274"/>
      <c r="AA732" s="274"/>
      <c r="AB732" s="306"/>
    </row>
    <row r="733" spans="1:28" s="56" customFormat="1" ht="18.75" customHeight="1" x14ac:dyDescent="0.2">
      <c r="A733" s="976" t="s">
        <v>671</v>
      </c>
      <c r="B733" s="977"/>
      <c r="C733" s="977"/>
      <c r="D733" s="977"/>
      <c r="E733" s="977"/>
      <c r="F733" s="379" t="s">
        <v>676</v>
      </c>
      <c r="G733" s="380">
        <f t="shared" ref="G733:AB733" si="1282">G734</f>
        <v>869079.77999999991</v>
      </c>
      <c r="H733" s="380">
        <f t="shared" si="1282"/>
        <v>0</v>
      </c>
      <c r="I733" s="380">
        <f t="shared" si="1282"/>
        <v>869079.77999999991</v>
      </c>
      <c r="J733" s="380">
        <f t="shared" si="1282"/>
        <v>869079.77999999991</v>
      </c>
      <c r="K733" s="380">
        <f t="shared" si="1282"/>
        <v>0</v>
      </c>
      <c r="L733" s="380">
        <f t="shared" si="1282"/>
        <v>0</v>
      </c>
      <c r="M733" s="380">
        <f t="shared" si="1282"/>
        <v>0</v>
      </c>
      <c r="N733" s="380">
        <f t="shared" si="1282"/>
        <v>869079.77999999991</v>
      </c>
      <c r="O733" s="380">
        <f t="shared" si="1282"/>
        <v>12200</v>
      </c>
      <c r="P733" s="380">
        <f t="shared" si="1282"/>
        <v>263263.81999999995</v>
      </c>
      <c r="Q733" s="380">
        <f t="shared" si="1282"/>
        <v>327379.55000000005</v>
      </c>
      <c r="R733" s="380">
        <f t="shared" si="1282"/>
        <v>210704.98</v>
      </c>
      <c r="S733" s="380">
        <f t="shared" si="1282"/>
        <v>813548.35</v>
      </c>
      <c r="T733" s="380">
        <f t="shared" si="1282"/>
        <v>12200</v>
      </c>
      <c r="U733" s="380">
        <f t="shared" si="1282"/>
        <v>232303.81999999998</v>
      </c>
      <c r="V733" s="380">
        <f t="shared" si="1282"/>
        <v>358339.54999999993</v>
      </c>
      <c r="W733" s="380">
        <f t="shared" si="1282"/>
        <v>210704.98</v>
      </c>
      <c r="X733" s="380">
        <f t="shared" si="1282"/>
        <v>813548.35</v>
      </c>
      <c r="Y733" s="380">
        <f t="shared" si="1282"/>
        <v>0</v>
      </c>
      <c r="Z733" s="380">
        <f t="shared" si="1282"/>
        <v>55531.43</v>
      </c>
      <c r="AA733" s="742">
        <f t="shared" si="1282"/>
        <v>0</v>
      </c>
      <c r="AB733" s="737">
        <f t="shared" si="1282"/>
        <v>0</v>
      </c>
    </row>
    <row r="734" spans="1:28" ht="14.1" customHeight="1" x14ac:dyDescent="0.2">
      <c r="A734" s="279" t="s">
        <v>741</v>
      </c>
      <c r="B734" s="364"/>
      <c r="C734" s="365"/>
      <c r="D734" s="366"/>
      <c r="E734" s="365"/>
      <c r="F734" s="367" t="s">
        <v>676</v>
      </c>
      <c r="G734" s="363">
        <f t="shared" ref="G734:AB734" si="1283">+G736+G811</f>
        <v>869079.77999999991</v>
      </c>
      <c r="H734" s="363">
        <f t="shared" si="1283"/>
        <v>0</v>
      </c>
      <c r="I734" s="363">
        <f t="shared" si="1283"/>
        <v>869079.77999999991</v>
      </c>
      <c r="J734" s="363">
        <f t="shared" si="1283"/>
        <v>869079.77999999991</v>
      </c>
      <c r="K734" s="363">
        <f t="shared" si="1283"/>
        <v>0</v>
      </c>
      <c r="L734" s="363">
        <f t="shared" si="1283"/>
        <v>0</v>
      </c>
      <c r="M734" s="363">
        <f t="shared" si="1283"/>
        <v>0</v>
      </c>
      <c r="N734" s="363">
        <f t="shared" si="1283"/>
        <v>869079.77999999991</v>
      </c>
      <c r="O734" s="363">
        <f t="shared" si="1283"/>
        <v>12200</v>
      </c>
      <c r="P734" s="363">
        <f t="shared" si="1283"/>
        <v>263263.81999999995</v>
      </c>
      <c r="Q734" s="363">
        <f t="shared" si="1283"/>
        <v>327379.55000000005</v>
      </c>
      <c r="R734" s="363">
        <f t="shared" si="1283"/>
        <v>210704.98</v>
      </c>
      <c r="S734" s="363">
        <f t="shared" si="1283"/>
        <v>813548.35</v>
      </c>
      <c r="T734" s="363">
        <f t="shared" si="1283"/>
        <v>12200</v>
      </c>
      <c r="U734" s="363">
        <f t="shared" si="1283"/>
        <v>232303.81999999998</v>
      </c>
      <c r="V734" s="363">
        <f t="shared" si="1283"/>
        <v>358339.54999999993</v>
      </c>
      <c r="W734" s="363">
        <f t="shared" si="1283"/>
        <v>210704.98</v>
      </c>
      <c r="X734" s="363">
        <f t="shared" si="1283"/>
        <v>813548.35</v>
      </c>
      <c r="Y734" s="363">
        <f t="shared" si="1283"/>
        <v>0</v>
      </c>
      <c r="Z734" s="363">
        <f t="shared" si="1283"/>
        <v>55531.43</v>
      </c>
      <c r="AA734" s="740">
        <f t="shared" si="1283"/>
        <v>0</v>
      </c>
      <c r="AB734" s="734">
        <f t="shared" si="1283"/>
        <v>0</v>
      </c>
    </row>
    <row r="735" spans="1:28" s="90" customFormat="1" ht="14.1" customHeight="1" x14ac:dyDescent="0.2">
      <c r="A735" s="313" t="s">
        <v>681</v>
      </c>
      <c r="B735" s="80"/>
      <c r="D735" s="352"/>
      <c r="F735" s="353"/>
      <c r="G735" s="149"/>
      <c r="H735" s="149"/>
      <c r="I735" s="149"/>
      <c r="J735" s="149"/>
      <c r="K735" s="149"/>
      <c r="L735" s="149"/>
      <c r="M735" s="149"/>
      <c r="N735" s="149"/>
      <c r="O735" s="149"/>
      <c r="P735" s="149"/>
      <c r="Q735" s="149"/>
      <c r="R735" s="354"/>
      <c r="S735" s="354"/>
      <c r="T735" s="354"/>
      <c r="U735" s="354"/>
      <c r="V735" s="354"/>
      <c r="W735" s="354"/>
      <c r="X735" s="354"/>
      <c r="Y735" s="354"/>
      <c r="Z735" s="354"/>
      <c r="AA735" s="341"/>
      <c r="AB735" s="304"/>
    </row>
    <row r="736" spans="1:28" s="360" customFormat="1" ht="14.1" customHeight="1" x14ac:dyDescent="0.2">
      <c r="A736" s="356"/>
      <c r="B736" s="357" t="s">
        <v>316</v>
      </c>
      <c r="C736" s="358"/>
      <c r="D736" s="358"/>
      <c r="E736" s="358"/>
      <c r="F736" s="369"/>
      <c r="G736" s="359">
        <f>SUM(G738:G809)</f>
        <v>869079.77999999991</v>
      </c>
      <c r="H736" s="359">
        <f>SUM(H738:H809)</f>
        <v>0</v>
      </c>
      <c r="I736" s="359">
        <f t="shared" ref="I736:AB736" si="1284">SUM(I738:I809)</f>
        <v>869079.77999999991</v>
      </c>
      <c r="J736" s="359">
        <f t="shared" si="1284"/>
        <v>869079.77999999991</v>
      </c>
      <c r="K736" s="359">
        <f t="shared" si="1284"/>
        <v>0</v>
      </c>
      <c r="L736" s="359">
        <f t="shared" si="1284"/>
        <v>0</v>
      </c>
      <c r="M736" s="359">
        <f t="shared" si="1284"/>
        <v>0</v>
      </c>
      <c r="N736" s="359">
        <f t="shared" si="1284"/>
        <v>869079.77999999991</v>
      </c>
      <c r="O736" s="359">
        <f t="shared" si="1284"/>
        <v>12200</v>
      </c>
      <c r="P736" s="359">
        <f t="shared" si="1284"/>
        <v>263263.81999999995</v>
      </c>
      <c r="Q736" s="359">
        <f t="shared" si="1284"/>
        <v>327379.55000000005</v>
      </c>
      <c r="R736" s="359">
        <f t="shared" si="1284"/>
        <v>210704.98</v>
      </c>
      <c r="S736" s="359">
        <f t="shared" si="1284"/>
        <v>813548.35</v>
      </c>
      <c r="T736" s="359">
        <f t="shared" si="1284"/>
        <v>12200</v>
      </c>
      <c r="U736" s="359">
        <f t="shared" si="1284"/>
        <v>232303.81999999998</v>
      </c>
      <c r="V736" s="359">
        <f t="shared" si="1284"/>
        <v>358339.54999999993</v>
      </c>
      <c r="W736" s="359">
        <f t="shared" si="1284"/>
        <v>210704.98</v>
      </c>
      <c r="X736" s="359">
        <f t="shared" si="1284"/>
        <v>813548.35</v>
      </c>
      <c r="Y736" s="359">
        <f t="shared" si="1284"/>
        <v>0</v>
      </c>
      <c r="Z736" s="359">
        <f t="shared" si="1284"/>
        <v>55531.43</v>
      </c>
      <c r="AA736" s="741">
        <f t="shared" ref="AA736" si="1285">SUM(AA738:AA809)</f>
        <v>0</v>
      </c>
      <c r="AB736" s="736">
        <f t="shared" si="1284"/>
        <v>0</v>
      </c>
    </row>
    <row r="737" spans="1:28" s="90" customFormat="1" ht="14.1" customHeight="1" x14ac:dyDescent="0.2">
      <c r="A737" s="301"/>
      <c r="B737" s="348" t="s">
        <v>317</v>
      </c>
      <c r="C737" s="101"/>
      <c r="D737" s="101"/>
      <c r="E737" s="101"/>
      <c r="F737" s="370"/>
      <c r="G737" s="321"/>
      <c r="H737" s="321"/>
      <c r="I737" s="321"/>
      <c r="J737" s="321"/>
      <c r="K737" s="321"/>
      <c r="L737" s="321"/>
      <c r="M737" s="321"/>
      <c r="N737" s="332"/>
      <c r="O737" s="321"/>
      <c r="P737" s="321"/>
      <c r="Q737" s="321"/>
      <c r="R737" s="321"/>
      <c r="S737" s="332"/>
      <c r="T737" s="321"/>
      <c r="U737" s="321"/>
      <c r="V737" s="321"/>
      <c r="W737" s="321"/>
      <c r="X737" s="332"/>
      <c r="Y737" s="332"/>
      <c r="Z737" s="332"/>
      <c r="AA737" s="332"/>
      <c r="AB737" s="302"/>
    </row>
    <row r="738" spans="1:28" s="90" customFormat="1" ht="14.1" customHeight="1" x14ac:dyDescent="0.2">
      <c r="A738" s="301"/>
      <c r="B738" s="350" t="s">
        <v>318</v>
      </c>
      <c r="C738" s="101"/>
      <c r="D738" s="101"/>
      <c r="E738" s="101"/>
      <c r="F738" s="370" t="s">
        <v>319</v>
      </c>
      <c r="G738" s="361">
        <f>G843+G950+G1026+G1132</f>
        <v>80853.78</v>
      </c>
      <c r="H738" s="361">
        <f>H843+H950+H1026+H1132</f>
        <v>0</v>
      </c>
      <c r="I738" s="330">
        <f t="shared" ref="I738:I739" si="1286">G738+H738</f>
        <v>80853.78</v>
      </c>
      <c r="J738" s="330">
        <f t="shared" ref="J738:J739" si="1287">I738</f>
        <v>80853.78</v>
      </c>
      <c r="K738" s="361">
        <f t="shared" ref="K738:M739" si="1288">K843+K950+K1026+K1132</f>
        <v>0</v>
      </c>
      <c r="L738" s="361">
        <f t="shared" si="1288"/>
        <v>0</v>
      </c>
      <c r="M738" s="361">
        <f t="shared" si="1288"/>
        <v>0</v>
      </c>
      <c r="N738" s="275">
        <f t="shared" ref="N738:N739" si="1289">J738+K738-L738+M738</f>
        <v>80853.78</v>
      </c>
      <c r="O738" s="361">
        <f t="shared" ref="O738:R739" si="1290">O843+O950+O1026+O1132</f>
        <v>0</v>
      </c>
      <c r="P738" s="361">
        <f t="shared" si="1290"/>
        <v>80853.78</v>
      </c>
      <c r="Q738" s="361">
        <f t="shared" si="1290"/>
        <v>0</v>
      </c>
      <c r="R738" s="361">
        <f t="shared" si="1290"/>
        <v>0</v>
      </c>
      <c r="S738" s="342">
        <f t="shared" ref="S738:S739" si="1291">SUM(O738:R738)</f>
        <v>80853.78</v>
      </c>
      <c r="T738" s="361">
        <f t="shared" ref="T738:W739" si="1292">T843+T950+T1026+T1132</f>
        <v>0</v>
      </c>
      <c r="U738" s="361">
        <f t="shared" si="1292"/>
        <v>80853.78</v>
      </c>
      <c r="V738" s="361">
        <f t="shared" si="1292"/>
        <v>0</v>
      </c>
      <c r="W738" s="361">
        <f t="shared" si="1292"/>
        <v>0</v>
      </c>
      <c r="X738" s="342">
        <f t="shared" ref="X738:X739" si="1293">SUM(T738:W738)</f>
        <v>80853.78</v>
      </c>
      <c r="Y738" s="342">
        <f t="shared" ref="Y738:Y739" si="1294">I738-N738</f>
        <v>0</v>
      </c>
      <c r="Z738" s="342">
        <f t="shared" ref="Z738:Z739" si="1295">N738-S738</f>
        <v>0</v>
      </c>
      <c r="AA738" s="157">
        <f>AA843+AA950+AA1026+AA1132</f>
        <v>0</v>
      </c>
      <c r="AB738" s="318">
        <f t="shared" ref="AB738:AB739" si="1296">+S738-X738-AA738</f>
        <v>0</v>
      </c>
    </row>
    <row r="739" spans="1:28" s="90" customFormat="1" ht="14.1" hidden="1" customHeight="1" x14ac:dyDescent="0.2">
      <c r="A739" s="301"/>
      <c r="B739" s="350" t="s">
        <v>320</v>
      </c>
      <c r="C739" s="101"/>
      <c r="D739" s="101"/>
      <c r="E739" s="101"/>
      <c r="F739" s="370" t="s">
        <v>321</v>
      </c>
      <c r="G739" s="361">
        <f>G844+G951+G1027+G1133</f>
        <v>0</v>
      </c>
      <c r="H739" s="361">
        <f>H844+H951+H1027+H1133</f>
        <v>0</v>
      </c>
      <c r="I739" s="330">
        <f t="shared" si="1286"/>
        <v>0</v>
      </c>
      <c r="J739" s="330">
        <f t="shared" si="1287"/>
        <v>0</v>
      </c>
      <c r="K739" s="361">
        <f t="shared" si="1288"/>
        <v>0</v>
      </c>
      <c r="L739" s="361">
        <f t="shared" si="1288"/>
        <v>0</v>
      </c>
      <c r="M739" s="361">
        <f t="shared" si="1288"/>
        <v>0</v>
      </c>
      <c r="N739" s="275">
        <f t="shared" si="1289"/>
        <v>0</v>
      </c>
      <c r="O739" s="361">
        <f t="shared" si="1290"/>
        <v>0</v>
      </c>
      <c r="P739" s="361">
        <f t="shared" si="1290"/>
        <v>0</v>
      </c>
      <c r="Q739" s="361">
        <f t="shared" si="1290"/>
        <v>0</v>
      </c>
      <c r="R739" s="361">
        <f t="shared" si="1290"/>
        <v>0</v>
      </c>
      <c r="S739" s="342">
        <f t="shared" si="1291"/>
        <v>0</v>
      </c>
      <c r="T739" s="361">
        <f t="shared" si="1292"/>
        <v>0</v>
      </c>
      <c r="U739" s="361">
        <f t="shared" si="1292"/>
        <v>0</v>
      </c>
      <c r="V739" s="361">
        <f t="shared" si="1292"/>
        <v>0</v>
      </c>
      <c r="W739" s="361">
        <f t="shared" si="1292"/>
        <v>0</v>
      </c>
      <c r="X739" s="342">
        <f t="shared" si="1293"/>
        <v>0</v>
      </c>
      <c r="Y739" s="342">
        <f t="shared" si="1294"/>
        <v>0</v>
      </c>
      <c r="Z739" s="342">
        <f t="shared" si="1295"/>
        <v>0</v>
      </c>
      <c r="AA739" s="157">
        <f>AA844+AA951+AA1027+AA1133</f>
        <v>0</v>
      </c>
      <c r="AB739" s="318">
        <f t="shared" si="1296"/>
        <v>0</v>
      </c>
    </row>
    <row r="740" spans="1:28" s="90" customFormat="1" ht="14.1" customHeight="1" x14ac:dyDescent="0.2">
      <c r="A740" s="301"/>
      <c r="B740" s="351" t="s">
        <v>322</v>
      </c>
      <c r="C740" s="101"/>
      <c r="D740" s="101"/>
      <c r="E740" s="101"/>
      <c r="F740" s="370"/>
      <c r="G740" s="321"/>
      <c r="H740" s="321"/>
      <c r="I740" s="321"/>
      <c r="J740" s="321"/>
      <c r="K740" s="321"/>
      <c r="L740" s="321"/>
      <c r="M740" s="321"/>
      <c r="N740" s="332"/>
      <c r="O740" s="321"/>
      <c r="P740" s="321"/>
      <c r="Q740" s="321"/>
      <c r="R740" s="321"/>
      <c r="S740" s="332"/>
      <c r="T740" s="321"/>
      <c r="U740" s="321"/>
      <c r="V740" s="321"/>
      <c r="W740" s="321"/>
      <c r="X740" s="332"/>
      <c r="Y740" s="332"/>
      <c r="Z740" s="332"/>
      <c r="AA740" s="332"/>
      <c r="AB740" s="302"/>
    </row>
    <row r="741" spans="1:28" s="90" customFormat="1" ht="14.1" customHeight="1" x14ac:dyDescent="0.2">
      <c r="A741" s="301"/>
      <c r="B741" s="350" t="s">
        <v>323</v>
      </c>
      <c r="C741" s="101"/>
      <c r="D741" s="101"/>
      <c r="E741" s="101"/>
      <c r="F741" s="370" t="s">
        <v>324</v>
      </c>
      <c r="G741" s="361">
        <f t="shared" ref="G741:H743" si="1297">G846+G953+G1029+G1135</f>
        <v>211098.15999999997</v>
      </c>
      <c r="H741" s="361">
        <f t="shared" si="1297"/>
        <v>0</v>
      </c>
      <c r="I741" s="330">
        <f t="shared" ref="I741:I743" si="1298">G741+H741</f>
        <v>211098.15999999997</v>
      </c>
      <c r="J741" s="330">
        <f t="shared" ref="J741:J743" si="1299">I741</f>
        <v>211098.15999999997</v>
      </c>
      <c r="K741" s="361">
        <f t="shared" ref="K741:M743" si="1300">K846+K953+K1029+K1135</f>
        <v>0</v>
      </c>
      <c r="L741" s="361">
        <f t="shared" si="1300"/>
        <v>0</v>
      </c>
      <c r="M741" s="361">
        <f t="shared" si="1300"/>
        <v>0</v>
      </c>
      <c r="N741" s="275">
        <f t="shared" ref="N741:N743" si="1301">J741+K741-L741+M741</f>
        <v>211098.15999999997</v>
      </c>
      <c r="O741" s="361">
        <f t="shared" ref="O741:R743" si="1302">O846+O953+O1029+O1135</f>
        <v>2400</v>
      </c>
      <c r="P741" s="361">
        <f t="shared" si="1302"/>
        <v>4800</v>
      </c>
      <c r="Q741" s="361">
        <f t="shared" si="1302"/>
        <v>42600</v>
      </c>
      <c r="R741" s="361">
        <f t="shared" si="1302"/>
        <v>161298.16</v>
      </c>
      <c r="S741" s="342">
        <f t="shared" ref="S741:S743" si="1303">SUM(O741:R741)</f>
        <v>211098.16</v>
      </c>
      <c r="T741" s="361">
        <f t="shared" ref="T741:W743" si="1304">T846+T953+T1029+T1135</f>
        <v>2400</v>
      </c>
      <c r="U741" s="361">
        <f t="shared" si="1304"/>
        <v>4800</v>
      </c>
      <c r="V741" s="361">
        <f t="shared" si="1304"/>
        <v>42600</v>
      </c>
      <c r="W741" s="361">
        <f t="shared" si="1304"/>
        <v>161298.16</v>
      </c>
      <c r="X741" s="342">
        <f t="shared" ref="X741:X743" si="1305">SUM(T741:W741)</f>
        <v>211098.16</v>
      </c>
      <c r="Y741" s="342">
        <f t="shared" ref="Y741:Y743" si="1306">I741-N741</f>
        <v>0</v>
      </c>
      <c r="Z741" s="342">
        <f t="shared" ref="Z741:Z743" si="1307">N741-S741</f>
        <v>0</v>
      </c>
      <c r="AA741" s="157">
        <f>AA846+AA953+AA1029+AA1135</f>
        <v>0</v>
      </c>
      <c r="AB741" s="318">
        <f t="shared" ref="AB741:AB743" si="1308">+S741-X741-AA741</f>
        <v>0</v>
      </c>
    </row>
    <row r="742" spans="1:28" s="90" customFormat="1" ht="14.1" hidden="1" customHeight="1" x14ac:dyDescent="0.2">
      <c r="A742" s="301"/>
      <c r="B742" s="350" t="s">
        <v>720</v>
      </c>
      <c r="C742" s="718"/>
      <c r="D742" s="718"/>
      <c r="E742" s="718"/>
      <c r="F742" s="370" t="s">
        <v>721</v>
      </c>
      <c r="G742" s="361">
        <f t="shared" si="1297"/>
        <v>0</v>
      </c>
      <c r="H742" s="361">
        <f t="shared" si="1297"/>
        <v>0</v>
      </c>
      <c r="I742" s="330">
        <f t="shared" ref="I742" si="1309">G742+H742</f>
        <v>0</v>
      </c>
      <c r="J742" s="330">
        <f t="shared" ref="J742" si="1310">I742</f>
        <v>0</v>
      </c>
      <c r="K742" s="361">
        <f t="shared" si="1300"/>
        <v>0</v>
      </c>
      <c r="L742" s="361">
        <f t="shared" si="1300"/>
        <v>0</v>
      </c>
      <c r="M742" s="361">
        <f t="shared" si="1300"/>
        <v>0</v>
      </c>
      <c r="N742" s="275">
        <f t="shared" si="1301"/>
        <v>0</v>
      </c>
      <c r="O742" s="361">
        <f t="shared" si="1302"/>
        <v>0</v>
      </c>
      <c r="P742" s="361">
        <f t="shared" si="1302"/>
        <v>0</v>
      </c>
      <c r="Q742" s="361">
        <f t="shared" si="1302"/>
        <v>0</v>
      </c>
      <c r="R742" s="361">
        <f t="shared" si="1302"/>
        <v>0</v>
      </c>
      <c r="S742" s="342">
        <f t="shared" ref="S742" si="1311">SUM(O742:R742)</f>
        <v>0</v>
      </c>
      <c r="T742" s="361">
        <f t="shared" si="1304"/>
        <v>0</v>
      </c>
      <c r="U742" s="361">
        <f t="shared" si="1304"/>
        <v>0</v>
      </c>
      <c r="V742" s="361">
        <f t="shared" si="1304"/>
        <v>0</v>
      </c>
      <c r="W742" s="361">
        <f t="shared" si="1304"/>
        <v>0</v>
      </c>
      <c r="X742" s="342">
        <f t="shared" ref="X742" si="1312">SUM(T742:W742)</f>
        <v>0</v>
      </c>
      <c r="Y742" s="342">
        <f t="shared" ref="Y742" si="1313">I742-N742</f>
        <v>0</v>
      </c>
      <c r="Z742" s="342">
        <f t="shared" ref="Z742" si="1314">N742-S742</f>
        <v>0</v>
      </c>
      <c r="AA742" s="157">
        <f>AA847+AA954+AA1030+AA1136</f>
        <v>0</v>
      </c>
      <c r="AB742" s="318">
        <f t="shared" ref="AB742" si="1315">+S742-X742-AA742</f>
        <v>0</v>
      </c>
    </row>
    <row r="743" spans="1:28" s="90" customFormat="1" ht="14.1" customHeight="1" x14ac:dyDescent="0.2">
      <c r="A743" s="301"/>
      <c r="B743" s="350" t="s">
        <v>325</v>
      </c>
      <c r="C743" s="101"/>
      <c r="D743" s="101"/>
      <c r="E743" s="101"/>
      <c r="F743" s="370" t="s">
        <v>326</v>
      </c>
      <c r="G743" s="361">
        <f t="shared" si="1297"/>
        <v>25576.37</v>
      </c>
      <c r="H743" s="361">
        <f t="shared" si="1297"/>
        <v>0</v>
      </c>
      <c r="I743" s="330">
        <f t="shared" si="1298"/>
        <v>25576.37</v>
      </c>
      <c r="J743" s="330">
        <f t="shared" si="1299"/>
        <v>25576.37</v>
      </c>
      <c r="K743" s="361">
        <f t="shared" si="1300"/>
        <v>0</v>
      </c>
      <c r="L743" s="361">
        <f t="shared" si="1300"/>
        <v>0</v>
      </c>
      <c r="M743" s="361">
        <f t="shared" si="1300"/>
        <v>0</v>
      </c>
      <c r="N743" s="275">
        <f t="shared" si="1301"/>
        <v>25576.37</v>
      </c>
      <c r="O743" s="361">
        <f t="shared" si="1302"/>
        <v>9800</v>
      </c>
      <c r="P743" s="361">
        <f t="shared" si="1302"/>
        <v>15776.369999999999</v>
      </c>
      <c r="Q743" s="361">
        <f t="shared" si="1302"/>
        <v>0</v>
      </c>
      <c r="R743" s="361">
        <f t="shared" si="1302"/>
        <v>0</v>
      </c>
      <c r="S743" s="342">
        <f t="shared" si="1303"/>
        <v>25576.37</v>
      </c>
      <c r="T743" s="361">
        <f t="shared" si="1304"/>
        <v>9800</v>
      </c>
      <c r="U743" s="361">
        <f t="shared" si="1304"/>
        <v>15776.369999999999</v>
      </c>
      <c r="V743" s="361">
        <f t="shared" si="1304"/>
        <v>0</v>
      </c>
      <c r="W743" s="361">
        <f t="shared" si="1304"/>
        <v>0</v>
      </c>
      <c r="X743" s="342">
        <f t="shared" si="1305"/>
        <v>25576.37</v>
      </c>
      <c r="Y743" s="342">
        <f t="shared" si="1306"/>
        <v>0</v>
      </c>
      <c r="Z743" s="342">
        <f t="shared" si="1307"/>
        <v>0</v>
      </c>
      <c r="AA743" s="157">
        <f>AA848+AA955+AA1031+AA1137</f>
        <v>0</v>
      </c>
      <c r="AB743" s="318">
        <f t="shared" si="1308"/>
        <v>0</v>
      </c>
    </row>
    <row r="744" spans="1:28" s="90" customFormat="1" ht="14.1" customHeight="1" x14ac:dyDescent="0.2">
      <c r="A744" s="301"/>
      <c r="B744" s="351" t="s">
        <v>327</v>
      </c>
      <c r="C744" s="101"/>
      <c r="D744" s="101"/>
      <c r="E744" s="101"/>
      <c r="F744" s="370"/>
      <c r="G744" s="321"/>
      <c r="H744" s="321"/>
      <c r="I744" s="321"/>
      <c r="J744" s="321"/>
      <c r="K744" s="321"/>
      <c r="L744" s="321"/>
      <c r="M744" s="321"/>
      <c r="N744" s="332"/>
      <c r="O744" s="321"/>
      <c r="P744" s="321"/>
      <c r="Q744" s="321"/>
      <c r="R744" s="321"/>
      <c r="S744" s="332"/>
      <c r="T744" s="321"/>
      <c r="U744" s="321"/>
      <c r="V744" s="321"/>
      <c r="W744" s="321"/>
      <c r="X744" s="332"/>
      <c r="Y744" s="332"/>
      <c r="Z744" s="332"/>
      <c r="AA744" s="332"/>
      <c r="AB744" s="302"/>
    </row>
    <row r="745" spans="1:28" s="90" customFormat="1" ht="14.1" customHeight="1" x14ac:dyDescent="0.2">
      <c r="A745" s="301"/>
      <c r="B745" s="350" t="s">
        <v>328</v>
      </c>
      <c r="C745" s="101"/>
      <c r="D745" s="101"/>
      <c r="E745" s="101"/>
      <c r="F745" s="370" t="s">
        <v>743</v>
      </c>
      <c r="G745" s="361">
        <f t="shared" ref="G745:H750" si="1316">G850+G957+G1033+G1139</f>
        <v>170253.25</v>
      </c>
      <c r="H745" s="361">
        <f t="shared" si="1316"/>
        <v>0</v>
      </c>
      <c r="I745" s="330">
        <f t="shared" ref="I745:I750" si="1317">G745+H745</f>
        <v>170253.25</v>
      </c>
      <c r="J745" s="330">
        <f t="shared" ref="J745:J750" si="1318">I745</f>
        <v>170253.25</v>
      </c>
      <c r="K745" s="361">
        <f t="shared" ref="K745:M750" si="1319">K850+K957+K1033+K1139</f>
        <v>0</v>
      </c>
      <c r="L745" s="361">
        <f t="shared" si="1319"/>
        <v>0</v>
      </c>
      <c r="M745" s="361">
        <f t="shared" si="1319"/>
        <v>0</v>
      </c>
      <c r="N745" s="275">
        <f t="shared" ref="N745:N750" si="1320">J745+K745-L745+M745</f>
        <v>170253.25</v>
      </c>
      <c r="O745" s="361">
        <f t="shared" ref="O745:R750" si="1321">O850+O957+O1033+O1139</f>
        <v>0</v>
      </c>
      <c r="P745" s="361">
        <f t="shared" si="1321"/>
        <v>99587.58</v>
      </c>
      <c r="Q745" s="361">
        <f t="shared" si="1321"/>
        <v>70665.67</v>
      </c>
      <c r="R745" s="361">
        <f t="shared" si="1321"/>
        <v>0</v>
      </c>
      <c r="S745" s="342">
        <f t="shared" ref="S745:S750" si="1322">SUM(O745:R745)</f>
        <v>170253.25</v>
      </c>
      <c r="T745" s="361">
        <f t="shared" ref="T745:W750" si="1323">T850+T957+T1033+T1139</f>
        <v>0</v>
      </c>
      <c r="U745" s="361">
        <f t="shared" si="1323"/>
        <v>68627.58</v>
      </c>
      <c r="V745" s="361">
        <f t="shared" si="1323"/>
        <v>101625.67</v>
      </c>
      <c r="W745" s="361">
        <f t="shared" si="1323"/>
        <v>0</v>
      </c>
      <c r="X745" s="342">
        <f t="shared" ref="X745:X750" si="1324">SUM(T745:W745)</f>
        <v>170253.25</v>
      </c>
      <c r="Y745" s="342">
        <f t="shared" ref="Y745:Y750" si="1325">I745-N745</f>
        <v>0</v>
      </c>
      <c r="Z745" s="342">
        <f t="shared" ref="Z745:Z750" si="1326">N745-S745</f>
        <v>0</v>
      </c>
      <c r="AA745" s="157">
        <f t="shared" ref="AA745:AA750" si="1327">AA850+AA957+AA1033+AA1139</f>
        <v>0</v>
      </c>
      <c r="AB745" s="318">
        <f t="shared" ref="AB745:AB750" si="1328">+S745-X745-AA745</f>
        <v>0</v>
      </c>
    </row>
    <row r="746" spans="1:28" s="90" customFormat="1" ht="14.1" hidden="1" customHeight="1" x14ac:dyDescent="0.2">
      <c r="A746" s="301"/>
      <c r="B746" s="350" t="s">
        <v>330</v>
      </c>
      <c r="C746" s="101"/>
      <c r="D746" s="101"/>
      <c r="E746" s="101"/>
      <c r="F746" s="370" t="s">
        <v>331</v>
      </c>
      <c r="G746" s="361">
        <f t="shared" si="1316"/>
        <v>0</v>
      </c>
      <c r="H746" s="361">
        <f t="shared" si="1316"/>
        <v>0</v>
      </c>
      <c r="I746" s="330">
        <f t="shared" si="1317"/>
        <v>0</v>
      </c>
      <c r="J746" s="330">
        <f t="shared" si="1318"/>
        <v>0</v>
      </c>
      <c r="K746" s="361">
        <f t="shared" si="1319"/>
        <v>0</v>
      </c>
      <c r="L746" s="361">
        <f t="shared" si="1319"/>
        <v>0</v>
      </c>
      <c r="M746" s="361">
        <f t="shared" si="1319"/>
        <v>0</v>
      </c>
      <c r="N746" s="275">
        <f t="shared" si="1320"/>
        <v>0</v>
      </c>
      <c r="O746" s="361">
        <f t="shared" si="1321"/>
        <v>0</v>
      </c>
      <c r="P746" s="361">
        <f t="shared" si="1321"/>
        <v>0</v>
      </c>
      <c r="Q746" s="361">
        <f t="shared" si="1321"/>
        <v>0</v>
      </c>
      <c r="R746" s="361">
        <f t="shared" si="1321"/>
        <v>0</v>
      </c>
      <c r="S746" s="342">
        <f t="shared" si="1322"/>
        <v>0</v>
      </c>
      <c r="T746" s="361">
        <f t="shared" si="1323"/>
        <v>0</v>
      </c>
      <c r="U746" s="361">
        <f t="shared" si="1323"/>
        <v>0</v>
      </c>
      <c r="V746" s="361">
        <f t="shared" si="1323"/>
        <v>0</v>
      </c>
      <c r="W746" s="361">
        <f t="shared" si="1323"/>
        <v>0</v>
      </c>
      <c r="X746" s="342">
        <f t="shared" si="1324"/>
        <v>0</v>
      </c>
      <c r="Y746" s="342">
        <f t="shared" si="1325"/>
        <v>0</v>
      </c>
      <c r="Z746" s="342">
        <f t="shared" si="1326"/>
        <v>0</v>
      </c>
      <c r="AA746" s="157">
        <f t="shared" si="1327"/>
        <v>0</v>
      </c>
      <c r="AB746" s="318">
        <f t="shared" si="1328"/>
        <v>0</v>
      </c>
    </row>
    <row r="747" spans="1:28" s="90" customFormat="1" ht="14.1" customHeight="1" x14ac:dyDescent="0.2">
      <c r="A747" s="301"/>
      <c r="B747" s="350" t="s">
        <v>332</v>
      </c>
      <c r="C747" s="101"/>
      <c r="D747" s="101"/>
      <c r="E747" s="101"/>
      <c r="F747" s="370" t="s">
        <v>333</v>
      </c>
      <c r="G747" s="361">
        <f t="shared" si="1316"/>
        <v>90999</v>
      </c>
      <c r="H747" s="361">
        <f t="shared" si="1316"/>
        <v>0</v>
      </c>
      <c r="I747" s="330">
        <f t="shared" si="1317"/>
        <v>90999</v>
      </c>
      <c r="J747" s="330">
        <f t="shared" si="1318"/>
        <v>90999</v>
      </c>
      <c r="K747" s="361">
        <f t="shared" si="1319"/>
        <v>0</v>
      </c>
      <c r="L747" s="361">
        <f t="shared" si="1319"/>
        <v>0</v>
      </c>
      <c r="M747" s="361">
        <f t="shared" si="1319"/>
        <v>0</v>
      </c>
      <c r="N747" s="275">
        <f t="shared" si="1320"/>
        <v>90999</v>
      </c>
      <c r="O747" s="361">
        <f t="shared" si="1321"/>
        <v>0</v>
      </c>
      <c r="P747" s="361">
        <f t="shared" si="1321"/>
        <v>0</v>
      </c>
      <c r="Q747" s="361">
        <f t="shared" si="1321"/>
        <v>78000</v>
      </c>
      <c r="R747" s="361">
        <f t="shared" si="1321"/>
        <v>12999</v>
      </c>
      <c r="S747" s="342">
        <f t="shared" si="1322"/>
        <v>90999</v>
      </c>
      <c r="T747" s="361">
        <f t="shared" si="1323"/>
        <v>0</v>
      </c>
      <c r="U747" s="361">
        <f t="shared" si="1323"/>
        <v>0</v>
      </c>
      <c r="V747" s="361">
        <f t="shared" si="1323"/>
        <v>78000</v>
      </c>
      <c r="W747" s="361">
        <f t="shared" si="1323"/>
        <v>12999</v>
      </c>
      <c r="X747" s="342">
        <f t="shared" si="1324"/>
        <v>90999</v>
      </c>
      <c r="Y747" s="342">
        <f t="shared" si="1325"/>
        <v>0</v>
      </c>
      <c r="Z747" s="342">
        <f t="shared" si="1326"/>
        <v>0</v>
      </c>
      <c r="AA747" s="157">
        <f t="shared" si="1327"/>
        <v>0</v>
      </c>
      <c r="AB747" s="318">
        <f t="shared" si="1328"/>
        <v>0</v>
      </c>
    </row>
    <row r="748" spans="1:28" s="90" customFormat="1" ht="14.1" hidden="1" customHeight="1" x14ac:dyDescent="0.2">
      <c r="A748" s="301"/>
      <c r="B748" s="350" t="s">
        <v>334</v>
      </c>
      <c r="C748" s="101"/>
      <c r="D748" s="101"/>
      <c r="E748" s="101"/>
      <c r="F748" s="370" t="s">
        <v>335</v>
      </c>
      <c r="G748" s="361">
        <f t="shared" si="1316"/>
        <v>0</v>
      </c>
      <c r="H748" s="361">
        <f t="shared" si="1316"/>
        <v>0</v>
      </c>
      <c r="I748" s="330">
        <f t="shared" si="1317"/>
        <v>0</v>
      </c>
      <c r="J748" s="330">
        <f t="shared" si="1318"/>
        <v>0</v>
      </c>
      <c r="K748" s="361">
        <f t="shared" si="1319"/>
        <v>0</v>
      </c>
      <c r="L748" s="361">
        <f t="shared" si="1319"/>
        <v>0</v>
      </c>
      <c r="M748" s="361">
        <f t="shared" si="1319"/>
        <v>0</v>
      </c>
      <c r="N748" s="275">
        <f t="shared" si="1320"/>
        <v>0</v>
      </c>
      <c r="O748" s="361">
        <f t="shared" si="1321"/>
        <v>0</v>
      </c>
      <c r="P748" s="361">
        <f t="shared" si="1321"/>
        <v>0</v>
      </c>
      <c r="Q748" s="361">
        <f t="shared" si="1321"/>
        <v>0</v>
      </c>
      <c r="R748" s="361">
        <f t="shared" si="1321"/>
        <v>0</v>
      </c>
      <c r="S748" s="342">
        <f t="shared" si="1322"/>
        <v>0</v>
      </c>
      <c r="T748" s="361">
        <f t="shared" si="1323"/>
        <v>0</v>
      </c>
      <c r="U748" s="361">
        <f t="shared" si="1323"/>
        <v>0</v>
      </c>
      <c r="V748" s="361">
        <f t="shared" si="1323"/>
        <v>0</v>
      </c>
      <c r="W748" s="361">
        <f t="shared" si="1323"/>
        <v>0</v>
      </c>
      <c r="X748" s="342">
        <f t="shared" si="1324"/>
        <v>0</v>
      </c>
      <c r="Y748" s="342">
        <f t="shared" si="1325"/>
        <v>0</v>
      </c>
      <c r="Z748" s="342">
        <f t="shared" si="1326"/>
        <v>0</v>
      </c>
      <c r="AA748" s="157">
        <f t="shared" si="1327"/>
        <v>0</v>
      </c>
      <c r="AB748" s="318">
        <f t="shared" si="1328"/>
        <v>0</v>
      </c>
    </row>
    <row r="749" spans="1:28" s="90" customFormat="1" ht="14.1" customHeight="1" x14ac:dyDescent="0.2">
      <c r="A749" s="301"/>
      <c r="B749" s="350" t="s">
        <v>336</v>
      </c>
      <c r="C749" s="101"/>
      <c r="D749" s="101"/>
      <c r="E749" s="101"/>
      <c r="F749" s="370" t="s">
        <v>337</v>
      </c>
      <c r="G749" s="361">
        <f t="shared" si="1316"/>
        <v>56261.74</v>
      </c>
      <c r="H749" s="361">
        <f t="shared" si="1316"/>
        <v>0</v>
      </c>
      <c r="I749" s="330">
        <f t="shared" si="1317"/>
        <v>56261.74</v>
      </c>
      <c r="J749" s="330">
        <f t="shared" si="1318"/>
        <v>56261.74</v>
      </c>
      <c r="K749" s="361">
        <f t="shared" si="1319"/>
        <v>0</v>
      </c>
      <c r="L749" s="361">
        <f t="shared" si="1319"/>
        <v>0</v>
      </c>
      <c r="M749" s="361">
        <f t="shared" si="1319"/>
        <v>0</v>
      </c>
      <c r="N749" s="275">
        <f t="shared" si="1320"/>
        <v>56261.74</v>
      </c>
      <c r="O749" s="361">
        <f t="shared" si="1321"/>
        <v>0</v>
      </c>
      <c r="P749" s="361">
        <f t="shared" si="1321"/>
        <v>21000</v>
      </c>
      <c r="Q749" s="361">
        <f t="shared" si="1321"/>
        <v>35261.740000000005</v>
      </c>
      <c r="R749" s="361">
        <f t="shared" si="1321"/>
        <v>0</v>
      </c>
      <c r="S749" s="342">
        <f t="shared" si="1322"/>
        <v>56261.740000000005</v>
      </c>
      <c r="T749" s="361">
        <f t="shared" si="1323"/>
        <v>0</v>
      </c>
      <c r="U749" s="361">
        <f t="shared" si="1323"/>
        <v>21000</v>
      </c>
      <c r="V749" s="361">
        <f t="shared" si="1323"/>
        <v>35261.740000000005</v>
      </c>
      <c r="W749" s="361">
        <f t="shared" si="1323"/>
        <v>0</v>
      </c>
      <c r="X749" s="342">
        <f t="shared" si="1324"/>
        <v>56261.740000000005</v>
      </c>
      <c r="Y749" s="342">
        <f t="shared" si="1325"/>
        <v>0</v>
      </c>
      <c r="Z749" s="342">
        <f t="shared" si="1326"/>
        <v>0</v>
      </c>
      <c r="AA749" s="157">
        <f t="shared" si="1327"/>
        <v>0</v>
      </c>
      <c r="AB749" s="318">
        <f t="shared" si="1328"/>
        <v>0</v>
      </c>
    </row>
    <row r="750" spans="1:28" s="90" customFormat="1" ht="14.1" hidden="1" customHeight="1" x14ac:dyDescent="0.2">
      <c r="A750" s="301"/>
      <c r="B750" s="350" t="s">
        <v>338</v>
      </c>
      <c r="C750" s="101"/>
      <c r="D750" s="101"/>
      <c r="E750" s="101"/>
      <c r="F750" s="370" t="s">
        <v>339</v>
      </c>
      <c r="G750" s="361">
        <f t="shared" si="1316"/>
        <v>0</v>
      </c>
      <c r="H750" s="361">
        <f t="shared" si="1316"/>
        <v>0</v>
      </c>
      <c r="I750" s="330">
        <f t="shared" si="1317"/>
        <v>0</v>
      </c>
      <c r="J750" s="330">
        <f t="shared" si="1318"/>
        <v>0</v>
      </c>
      <c r="K750" s="361">
        <f t="shared" si="1319"/>
        <v>0</v>
      </c>
      <c r="L750" s="361">
        <f t="shared" si="1319"/>
        <v>0</v>
      </c>
      <c r="M750" s="361">
        <f t="shared" si="1319"/>
        <v>0</v>
      </c>
      <c r="N750" s="275">
        <f t="shared" si="1320"/>
        <v>0</v>
      </c>
      <c r="O750" s="361">
        <f t="shared" si="1321"/>
        <v>0</v>
      </c>
      <c r="P750" s="361">
        <f t="shared" si="1321"/>
        <v>0</v>
      </c>
      <c r="Q750" s="361">
        <f t="shared" si="1321"/>
        <v>0</v>
      </c>
      <c r="R750" s="361">
        <f t="shared" si="1321"/>
        <v>0</v>
      </c>
      <c r="S750" s="342">
        <f t="shared" si="1322"/>
        <v>0</v>
      </c>
      <c r="T750" s="361">
        <f t="shared" si="1323"/>
        <v>0</v>
      </c>
      <c r="U750" s="361">
        <f t="shared" si="1323"/>
        <v>0</v>
      </c>
      <c r="V750" s="361">
        <f t="shared" si="1323"/>
        <v>0</v>
      </c>
      <c r="W750" s="361">
        <f t="shared" si="1323"/>
        <v>0</v>
      </c>
      <c r="X750" s="342">
        <f t="shared" si="1324"/>
        <v>0</v>
      </c>
      <c r="Y750" s="342">
        <f t="shared" si="1325"/>
        <v>0</v>
      </c>
      <c r="Z750" s="342">
        <f t="shared" si="1326"/>
        <v>0</v>
      </c>
      <c r="AA750" s="157">
        <f t="shared" si="1327"/>
        <v>0</v>
      </c>
      <c r="AB750" s="318">
        <f t="shared" si="1328"/>
        <v>0</v>
      </c>
    </row>
    <row r="751" spans="1:28" s="90" customFormat="1" ht="14.1" customHeight="1" x14ac:dyDescent="0.2">
      <c r="A751" s="301"/>
      <c r="B751" s="351" t="s">
        <v>340</v>
      </c>
      <c r="C751" s="101"/>
      <c r="D751" s="101"/>
      <c r="E751" s="101"/>
      <c r="F751" s="370"/>
      <c r="G751" s="321"/>
      <c r="H751" s="321"/>
      <c r="I751" s="321"/>
      <c r="J751" s="321"/>
      <c r="K751" s="321"/>
      <c r="L751" s="321"/>
      <c r="M751" s="321"/>
      <c r="N751" s="332"/>
      <c r="O751" s="321"/>
      <c r="P751" s="321"/>
      <c r="Q751" s="321"/>
      <c r="R751" s="321"/>
      <c r="S751" s="332"/>
      <c r="T751" s="321"/>
      <c r="U751" s="321"/>
      <c r="V751" s="321"/>
      <c r="W751" s="321"/>
      <c r="X751" s="332"/>
      <c r="Y751" s="332"/>
      <c r="Z751" s="332"/>
      <c r="AA751" s="332"/>
      <c r="AB751" s="302"/>
    </row>
    <row r="752" spans="1:28" s="90" customFormat="1" ht="14.1" customHeight="1" x14ac:dyDescent="0.2">
      <c r="A752" s="301"/>
      <c r="B752" s="350" t="s">
        <v>341</v>
      </c>
      <c r="C752" s="101"/>
      <c r="D752" s="101"/>
      <c r="E752" s="101"/>
      <c r="F752" s="370" t="s">
        <v>342</v>
      </c>
      <c r="G752" s="361">
        <f>G857+G964+G1040+G1146</f>
        <v>7930.62</v>
      </c>
      <c r="H752" s="361">
        <f>H857+H964+H1040+H1146</f>
        <v>0</v>
      </c>
      <c r="I752" s="330">
        <f t="shared" ref="I752:I753" si="1329">G752+H752</f>
        <v>7930.62</v>
      </c>
      <c r="J752" s="330">
        <f t="shared" ref="J752:J753" si="1330">I752</f>
        <v>7930.62</v>
      </c>
      <c r="K752" s="361">
        <f t="shared" ref="K752:M753" si="1331">K857+K964+K1040+K1146</f>
        <v>0</v>
      </c>
      <c r="L752" s="361">
        <f t="shared" si="1331"/>
        <v>0</v>
      </c>
      <c r="M752" s="361">
        <f t="shared" si="1331"/>
        <v>0</v>
      </c>
      <c r="N752" s="275">
        <f t="shared" ref="N752:N753" si="1332">J752+K752-L752+M752</f>
        <v>7930.62</v>
      </c>
      <c r="O752" s="361">
        <f t="shared" ref="O752:R753" si="1333">O857+O964+O1040+O1146</f>
        <v>0</v>
      </c>
      <c r="P752" s="361">
        <f t="shared" si="1333"/>
        <v>4622.13</v>
      </c>
      <c r="Q752" s="361">
        <f t="shared" si="1333"/>
        <v>3308.49</v>
      </c>
      <c r="R752" s="361">
        <f t="shared" si="1333"/>
        <v>0</v>
      </c>
      <c r="S752" s="342">
        <f t="shared" ref="S752:S753" si="1334">SUM(O752:R752)</f>
        <v>7930.62</v>
      </c>
      <c r="T752" s="361">
        <f t="shared" ref="T752:W753" si="1335">T857+T964+T1040+T1146</f>
        <v>0</v>
      </c>
      <c r="U752" s="361">
        <f t="shared" si="1335"/>
        <v>4622.13</v>
      </c>
      <c r="V752" s="361">
        <f t="shared" si="1335"/>
        <v>3308.49</v>
      </c>
      <c r="W752" s="361">
        <f t="shared" si="1335"/>
        <v>0</v>
      </c>
      <c r="X752" s="342">
        <f t="shared" ref="X752:X753" si="1336">SUM(T752:W752)</f>
        <v>7930.62</v>
      </c>
      <c r="Y752" s="342">
        <f t="shared" ref="Y752:Y753" si="1337">I752-N752</f>
        <v>0</v>
      </c>
      <c r="Z752" s="342">
        <f t="shared" ref="Z752:Z753" si="1338">N752-S752</f>
        <v>0</v>
      </c>
      <c r="AA752" s="157">
        <f>AA857+AA964+AA1040+AA1146</f>
        <v>0</v>
      </c>
      <c r="AB752" s="318">
        <f t="shared" ref="AB752:AB753" si="1339">+S752-X752-AA752</f>
        <v>0</v>
      </c>
    </row>
    <row r="753" spans="1:28" s="90" customFormat="1" ht="14.1" hidden="1" customHeight="1" x14ac:dyDescent="0.2">
      <c r="A753" s="301"/>
      <c r="B753" s="350" t="s">
        <v>343</v>
      </c>
      <c r="C753" s="101"/>
      <c r="D753" s="101"/>
      <c r="E753" s="101"/>
      <c r="F753" s="370" t="s">
        <v>344</v>
      </c>
      <c r="G753" s="361">
        <f>G858+G965+G1041+G1147</f>
        <v>0</v>
      </c>
      <c r="H753" s="361">
        <f>H858+H965+H1041+H1147</f>
        <v>0</v>
      </c>
      <c r="I753" s="330">
        <f t="shared" si="1329"/>
        <v>0</v>
      </c>
      <c r="J753" s="330">
        <f t="shared" si="1330"/>
        <v>0</v>
      </c>
      <c r="K753" s="361">
        <f t="shared" si="1331"/>
        <v>0</v>
      </c>
      <c r="L753" s="361">
        <f t="shared" si="1331"/>
        <v>0</v>
      </c>
      <c r="M753" s="361">
        <f t="shared" si="1331"/>
        <v>0</v>
      </c>
      <c r="N753" s="275">
        <f t="shared" si="1332"/>
        <v>0</v>
      </c>
      <c r="O753" s="361">
        <f t="shared" si="1333"/>
        <v>0</v>
      </c>
      <c r="P753" s="361">
        <f t="shared" si="1333"/>
        <v>0</v>
      </c>
      <c r="Q753" s="361">
        <f t="shared" si="1333"/>
        <v>0</v>
      </c>
      <c r="R753" s="361">
        <f t="shared" si="1333"/>
        <v>0</v>
      </c>
      <c r="S753" s="342">
        <f t="shared" si="1334"/>
        <v>0</v>
      </c>
      <c r="T753" s="361">
        <f t="shared" si="1335"/>
        <v>0</v>
      </c>
      <c r="U753" s="361">
        <f t="shared" si="1335"/>
        <v>0</v>
      </c>
      <c r="V753" s="361">
        <f t="shared" si="1335"/>
        <v>0</v>
      </c>
      <c r="W753" s="361">
        <f t="shared" si="1335"/>
        <v>0</v>
      </c>
      <c r="X753" s="342">
        <f t="shared" si="1336"/>
        <v>0</v>
      </c>
      <c r="Y753" s="342">
        <f t="shared" si="1337"/>
        <v>0</v>
      </c>
      <c r="Z753" s="342">
        <f t="shared" si="1338"/>
        <v>0</v>
      </c>
      <c r="AA753" s="157">
        <f>AA858+AA965+AA1041+AA1147</f>
        <v>0</v>
      </c>
      <c r="AB753" s="318">
        <f t="shared" si="1339"/>
        <v>0</v>
      </c>
    </row>
    <row r="754" spans="1:28" s="90" customFormat="1" ht="14.1" customHeight="1" x14ac:dyDescent="0.2">
      <c r="A754" s="301"/>
      <c r="B754" s="351" t="s">
        <v>345</v>
      </c>
      <c r="C754" s="101"/>
      <c r="D754" s="101"/>
      <c r="E754" s="101"/>
      <c r="F754" s="370"/>
      <c r="G754" s="321"/>
      <c r="H754" s="321"/>
      <c r="I754" s="321"/>
      <c r="J754" s="321"/>
      <c r="K754" s="321"/>
      <c r="L754" s="321"/>
      <c r="M754" s="321"/>
      <c r="N754" s="332"/>
      <c r="O754" s="321"/>
      <c r="P754" s="321"/>
      <c r="Q754" s="321"/>
      <c r="R754" s="321"/>
      <c r="S754" s="332"/>
      <c r="T754" s="321"/>
      <c r="U754" s="321"/>
      <c r="V754" s="321"/>
      <c r="W754" s="321"/>
      <c r="X754" s="332"/>
      <c r="Y754" s="332"/>
      <c r="Z754" s="332"/>
      <c r="AA754" s="332"/>
      <c r="AB754" s="302"/>
    </row>
    <row r="755" spans="1:28" s="90" customFormat="1" ht="14.1" customHeight="1" x14ac:dyDescent="0.2">
      <c r="A755" s="301"/>
      <c r="B755" s="350" t="s">
        <v>346</v>
      </c>
      <c r="C755" s="101"/>
      <c r="D755" s="101"/>
      <c r="E755" s="101"/>
      <c r="F755" s="370" t="s">
        <v>347</v>
      </c>
      <c r="G755" s="361">
        <f t="shared" ref="G755:H759" si="1340">G860+G967+G1043+G1149</f>
        <v>5508.2</v>
      </c>
      <c r="H755" s="361">
        <f t="shared" si="1340"/>
        <v>0</v>
      </c>
      <c r="I755" s="330">
        <f t="shared" ref="I755:I759" si="1341">G755+H755</f>
        <v>5508.2</v>
      </c>
      <c r="J755" s="330">
        <f t="shared" ref="J755:J759" si="1342">I755</f>
        <v>5508.2</v>
      </c>
      <c r="K755" s="361">
        <f t="shared" ref="K755:M759" si="1343">K860+K967+K1043+K1149</f>
        <v>0</v>
      </c>
      <c r="L755" s="361">
        <f t="shared" si="1343"/>
        <v>0</v>
      </c>
      <c r="M755" s="361">
        <f t="shared" si="1343"/>
        <v>0</v>
      </c>
      <c r="N755" s="275">
        <f t="shared" ref="N755:N759" si="1344">J755+K755-L755+M755</f>
        <v>5508.2</v>
      </c>
      <c r="O755" s="361">
        <f t="shared" ref="O755:R759" si="1345">O860+O967+O1043+O1149</f>
        <v>0</v>
      </c>
      <c r="P755" s="361">
        <f t="shared" si="1345"/>
        <v>3940</v>
      </c>
      <c r="Q755" s="361">
        <f t="shared" si="1345"/>
        <v>1568.2</v>
      </c>
      <c r="R755" s="361">
        <f t="shared" si="1345"/>
        <v>0</v>
      </c>
      <c r="S755" s="342">
        <f t="shared" ref="S755:S759" si="1346">SUM(O755:R755)</f>
        <v>5508.2</v>
      </c>
      <c r="T755" s="361">
        <f t="shared" ref="T755:W759" si="1347">T860+T967+T1043+T1149</f>
        <v>0</v>
      </c>
      <c r="U755" s="361">
        <f t="shared" si="1347"/>
        <v>3940</v>
      </c>
      <c r="V755" s="361">
        <f t="shared" si="1347"/>
        <v>1568.2</v>
      </c>
      <c r="W755" s="361">
        <f t="shared" si="1347"/>
        <v>0</v>
      </c>
      <c r="X755" s="342">
        <f t="shared" ref="X755:X759" si="1348">SUM(T755:W755)</f>
        <v>5508.2</v>
      </c>
      <c r="Y755" s="342">
        <f t="shared" ref="Y755:Y759" si="1349">I755-N755</f>
        <v>0</v>
      </c>
      <c r="Z755" s="342">
        <f t="shared" ref="Z755:Z759" si="1350">N755-S755</f>
        <v>0</v>
      </c>
      <c r="AA755" s="157">
        <f>AA860+AA967+AA1043+AA1149</f>
        <v>0</v>
      </c>
      <c r="AB755" s="318">
        <f t="shared" ref="AB755:AB759" si="1351">+S755-X755-AA755</f>
        <v>0</v>
      </c>
    </row>
    <row r="756" spans="1:28" s="90" customFormat="1" ht="14.1" customHeight="1" x14ac:dyDescent="0.2">
      <c r="A756" s="301"/>
      <c r="B756" s="350" t="s">
        <v>348</v>
      </c>
      <c r="C756" s="101"/>
      <c r="D756" s="101"/>
      <c r="E756" s="101"/>
      <c r="F756" s="370" t="s">
        <v>349</v>
      </c>
      <c r="G756" s="361">
        <f t="shared" si="1340"/>
        <v>6100</v>
      </c>
      <c r="H756" s="361">
        <f t="shared" si="1340"/>
        <v>0</v>
      </c>
      <c r="I756" s="330">
        <f t="shared" si="1341"/>
        <v>6100</v>
      </c>
      <c r="J756" s="330">
        <f t="shared" si="1342"/>
        <v>6100</v>
      </c>
      <c r="K756" s="361">
        <f t="shared" si="1343"/>
        <v>0</v>
      </c>
      <c r="L756" s="361">
        <f t="shared" si="1343"/>
        <v>0</v>
      </c>
      <c r="M756" s="361">
        <f t="shared" si="1343"/>
        <v>0</v>
      </c>
      <c r="N756" s="275">
        <f t="shared" si="1344"/>
        <v>6100</v>
      </c>
      <c r="O756" s="361">
        <f t="shared" si="1345"/>
        <v>0</v>
      </c>
      <c r="P756" s="361">
        <f t="shared" si="1345"/>
        <v>6100</v>
      </c>
      <c r="Q756" s="361">
        <f t="shared" si="1345"/>
        <v>0</v>
      </c>
      <c r="R756" s="361">
        <f t="shared" si="1345"/>
        <v>0</v>
      </c>
      <c r="S756" s="342">
        <f t="shared" si="1346"/>
        <v>6100</v>
      </c>
      <c r="T756" s="361">
        <f t="shared" si="1347"/>
        <v>0</v>
      </c>
      <c r="U756" s="361">
        <f t="shared" si="1347"/>
        <v>6100</v>
      </c>
      <c r="V756" s="361">
        <f t="shared" si="1347"/>
        <v>0</v>
      </c>
      <c r="W756" s="361">
        <f t="shared" si="1347"/>
        <v>0</v>
      </c>
      <c r="X756" s="342">
        <f t="shared" si="1348"/>
        <v>6100</v>
      </c>
      <c r="Y756" s="342">
        <f t="shared" si="1349"/>
        <v>0</v>
      </c>
      <c r="Z756" s="342">
        <f t="shared" si="1350"/>
        <v>0</v>
      </c>
      <c r="AA756" s="157">
        <f>AA861+AA968+AA1044+AA1150</f>
        <v>0</v>
      </c>
      <c r="AB756" s="318">
        <f t="shared" si="1351"/>
        <v>0</v>
      </c>
    </row>
    <row r="757" spans="1:28" s="90" customFormat="1" ht="14.1" customHeight="1" x14ac:dyDescent="0.2">
      <c r="A757" s="301"/>
      <c r="B757" s="350" t="s">
        <v>350</v>
      </c>
      <c r="C757" s="101"/>
      <c r="D757" s="101"/>
      <c r="E757" s="101"/>
      <c r="F757" s="370" t="s">
        <v>351</v>
      </c>
      <c r="G757" s="361">
        <f t="shared" si="1340"/>
        <v>7163.96</v>
      </c>
      <c r="H757" s="361">
        <f t="shared" si="1340"/>
        <v>0</v>
      </c>
      <c r="I757" s="330">
        <f t="shared" si="1341"/>
        <v>7163.96</v>
      </c>
      <c r="J757" s="330">
        <f t="shared" si="1342"/>
        <v>7163.96</v>
      </c>
      <c r="K757" s="361">
        <f t="shared" si="1343"/>
        <v>0</v>
      </c>
      <c r="L757" s="361">
        <f t="shared" si="1343"/>
        <v>0</v>
      </c>
      <c r="M757" s="361">
        <f t="shared" si="1343"/>
        <v>0</v>
      </c>
      <c r="N757" s="275">
        <f t="shared" si="1344"/>
        <v>7163.96</v>
      </c>
      <c r="O757" s="361">
        <f t="shared" si="1345"/>
        <v>0</v>
      </c>
      <c r="P757" s="361">
        <f t="shared" si="1345"/>
        <v>7163.9599999999991</v>
      </c>
      <c r="Q757" s="361">
        <f t="shared" si="1345"/>
        <v>0</v>
      </c>
      <c r="R757" s="361">
        <f t="shared" si="1345"/>
        <v>0</v>
      </c>
      <c r="S757" s="342">
        <f t="shared" si="1346"/>
        <v>7163.9599999999991</v>
      </c>
      <c r="T757" s="361">
        <f t="shared" si="1347"/>
        <v>0</v>
      </c>
      <c r="U757" s="361">
        <f t="shared" si="1347"/>
        <v>7163.9599999999991</v>
      </c>
      <c r="V757" s="361">
        <f t="shared" si="1347"/>
        <v>0</v>
      </c>
      <c r="W757" s="361">
        <f t="shared" si="1347"/>
        <v>0</v>
      </c>
      <c r="X757" s="342">
        <f t="shared" si="1348"/>
        <v>7163.9599999999991</v>
      </c>
      <c r="Y757" s="342">
        <f t="shared" si="1349"/>
        <v>0</v>
      </c>
      <c r="Z757" s="342">
        <f t="shared" si="1350"/>
        <v>0</v>
      </c>
      <c r="AA757" s="157">
        <f>AA862+AA969+AA1045+AA1151</f>
        <v>0</v>
      </c>
      <c r="AB757" s="318">
        <f t="shared" si="1351"/>
        <v>0</v>
      </c>
    </row>
    <row r="758" spans="1:28" s="90" customFormat="1" ht="14.1" hidden="1" customHeight="1" x14ac:dyDescent="0.2">
      <c r="A758" s="301"/>
      <c r="B758" s="350" t="s">
        <v>352</v>
      </c>
      <c r="C758" s="101"/>
      <c r="D758" s="101"/>
      <c r="E758" s="101"/>
      <c r="F758" s="370" t="s">
        <v>353</v>
      </c>
      <c r="G758" s="361">
        <f t="shared" si="1340"/>
        <v>0</v>
      </c>
      <c r="H758" s="361">
        <f t="shared" si="1340"/>
        <v>0</v>
      </c>
      <c r="I758" s="330">
        <f t="shared" si="1341"/>
        <v>0</v>
      </c>
      <c r="J758" s="330">
        <f t="shared" si="1342"/>
        <v>0</v>
      </c>
      <c r="K758" s="361">
        <f t="shared" si="1343"/>
        <v>0</v>
      </c>
      <c r="L758" s="361">
        <f t="shared" si="1343"/>
        <v>0</v>
      </c>
      <c r="M758" s="361">
        <f t="shared" si="1343"/>
        <v>0</v>
      </c>
      <c r="N758" s="275">
        <f t="shared" si="1344"/>
        <v>0</v>
      </c>
      <c r="O758" s="361">
        <f t="shared" si="1345"/>
        <v>0</v>
      </c>
      <c r="P758" s="361">
        <f t="shared" si="1345"/>
        <v>0</v>
      </c>
      <c r="Q758" s="361">
        <f t="shared" si="1345"/>
        <v>0</v>
      </c>
      <c r="R758" s="361">
        <f t="shared" si="1345"/>
        <v>0</v>
      </c>
      <c r="S758" s="342">
        <f t="shared" si="1346"/>
        <v>0</v>
      </c>
      <c r="T758" s="361">
        <f t="shared" si="1347"/>
        <v>0</v>
      </c>
      <c r="U758" s="361">
        <f t="shared" si="1347"/>
        <v>0</v>
      </c>
      <c r="V758" s="361">
        <f t="shared" si="1347"/>
        <v>0</v>
      </c>
      <c r="W758" s="361">
        <f t="shared" si="1347"/>
        <v>0</v>
      </c>
      <c r="X758" s="342">
        <f t="shared" si="1348"/>
        <v>0</v>
      </c>
      <c r="Y758" s="342">
        <f t="shared" si="1349"/>
        <v>0</v>
      </c>
      <c r="Z758" s="342">
        <f t="shared" si="1350"/>
        <v>0</v>
      </c>
      <c r="AA758" s="157">
        <f>AA863+AA970+AA1046+AA1152</f>
        <v>0</v>
      </c>
      <c r="AB758" s="318">
        <f t="shared" si="1351"/>
        <v>0</v>
      </c>
    </row>
    <row r="759" spans="1:28" s="90" customFormat="1" ht="14.1" hidden="1" customHeight="1" x14ac:dyDescent="0.2">
      <c r="A759" s="301"/>
      <c r="B759" s="350" t="s">
        <v>354</v>
      </c>
      <c r="C759" s="101"/>
      <c r="D759" s="101"/>
      <c r="E759" s="101"/>
      <c r="F759" s="370" t="s">
        <v>355</v>
      </c>
      <c r="G759" s="361">
        <f t="shared" si="1340"/>
        <v>0</v>
      </c>
      <c r="H759" s="361">
        <f t="shared" si="1340"/>
        <v>0</v>
      </c>
      <c r="I759" s="330">
        <f t="shared" si="1341"/>
        <v>0</v>
      </c>
      <c r="J759" s="330">
        <f t="shared" si="1342"/>
        <v>0</v>
      </c>
      <c r="K759" s="361">
        <f t="shared" si="1343"/>
        <v>0</v>
      </c>
      <c r="L759" s="361">
        <f t="shared" si="1343"/>
        <v>0</v>
      </c>
      <c r="M759" s="361">
        <f t="shared" si="1343"/>
        <v>0</v>
      </c>
      <c r="N759" s="275">
        <f t="shared" si="1344"/>
        <v>0</v>
      </c>
      <c r="O759" s="361">
        <f t="shared" si="1345"/>
        <v>0</v>
      </c>
      <c r="P759" s="361">
        <f t="shared" si="1345"/>
        <v>0</v>
      </c>
      <c r="Q759" s="361">
        <f t="shared" si="1345"/>
        <v>0</v>
      </c>
      <c r="R759" s="361">
        <f t="shared" si="1345"/>
        <v>0</v>
      </c>
      <c r="S759" s="342">
        <f t="shared" si="1346"/>
        <v>0</v>
      </c>
      <c r="T759" s="361">
        <f t="shared" si="1347"/>
        <v>0</v>
      </c>
      <c r="U759" s="361">
        <f t="shared" si="1347"/>
        <v>0</v>
      </c>
      <c r="V759" s="361">
        <f t="shared" si="1347"/>
        <v>0</v>
      </c>
      <c r="W759" s="361">
        <f t="shared" si="1347"/>
        <v>0</v>
      </c>
      <c r="X759" s="342">
        <f t="shared" si="1348"/>
        <v>0</v>
      </c>
      <c r="Y759" s="342">
        <f t="shared" si="1349"/>
        <v>0</v>
      </c>
      <c r="Z759" s="342">
        <f t="shared" si="1350"/>
        <v>0</v>
      </c>
      <c r="AA759" s="157">
        <f>AA864+AA971+AA1047+AA1153</f>
        <v>0</v>
      </c>
      <c r="AB759" s="318">
        <f t="shared" si="1351"/>
        <v>0</v>
      </c>
    </row>
    <row r="760" spans="1:28" s="90" customFormat="1" ht="14.1" customHeight="1" x14ac:dyDescent="0.2">
      <c r="A760" s="301"/>
      <c r="B760" s="351" t="s">
        <v>356</v>
      </c>
      <c r="C760" s="101"/>
      <c r="D760" s="101"/>
      <c r="E760" s="101"/>
      <c r="F760" s="370"/>
      <c r="G760" s="321"/>
      <c r="H760" s="321"/>
      <c r="I760" s="321"/>
      <c r="J760" s="321"/>
      <c r="K760" s="321"/>
      <c r="L760" s="321"/>
      <c r="M760" s="321"/>
      <c r="N760" s="332"/>
      <c r="O760" s="321"/>
      <c r="P760" s="321"/>
      <c r="Q760" s="321"/>
      <c r="R760" s="321"/>
      <c r="S760" s="332"/>
      <c r="T760" s="321"/>
      <c r="U760" s="321"/>
      <c r="V760" s="321"/>
      <c r="W760" s="321"/>
      <c r="X760" s="332"/>
      <c r="Y760" s="332"/>
      <c r="Z760" s="332"/>
      <c r="AA760" s="332"/>
      <c r="AB760" s="302"/>
    </row>
    <row r="761" spans="1:28" s="90" customFormat="1" ht="14.1" hidden="1" customHeight="1" x14ac:dyDescent="0.2">
      <c r="A761" s="301"/>
      <c r="B761" s="350" t="s">
        <v>357</v>
      </c>
      <c r="C761" s="101"/>
      <c r="D761" s="101"/>
      <c r="E761" s="101"/>
      <c r="F761" s="370" t="s">
        <v>358</v>
      </c>
      <c r="G761" s="361">
        <f>G866+G973+G1049+G1155</f>
        <v>0</v>
      </c>
      <c r="H761" s="361">
        <f>H866+H973+H1049+H1155</f>
        <v>0</v>
      </c>
      <c r="I761" s="330">
        <f t="shared" ref="I761" si="1352">G761+H761</f>
        <v>0</v>
      </c>
      <c r="J761" s="330">
        <f t="shared" ref="J761" si="1353">I761</f>
        <v>0</v>
      </c>
      <c r="K761" s="361">
        <f>K866+K973+K1049+K1155</f>
        <v>0</v>
      </c>
      <c r="L761" s="361">
        <f>L866+L973+L1049+L1155</f>
        <v>0</v>
      </c>
      <c r="M761" s="361">
        <f>M866+M973+M1049+M1155</f>
        <v>0</v>
      </c>
      <c r="N761" s="275">
        <f t="shared" ref="N761" si="1354">J761+K761-L761+M761</f>
        <v>0</v>
      </c>
      <c r="O761" s="361">
        <f>O866+O973+O1049+O1155</f>
        <v>0</v>
      </c>
      <c r="P761" s="361">
        <f>P866+P973+P1049+P1155</f>
        <v>0</v>
      </c>
      <c r="Q761" s="361">
        <f>Q866+Q973+Q1049+Q1155</f>
        <v>0</v>
      </c>
      <c r="R761" s="361">
        <f>R866+R973+R1049+R1155</f>
        <v>0</v>
      </c>
      <c r="S761" s="342">
        <f t="shared" ref="S761" si="1355">SUM(O761:R761)</f>
        <v>0</v>
      </c>
      <c r="T761" s="361">
        <f>T866+T973+T1049+T1155</f>
        <v>0</v>
      </c>
      <c r="U761" s="361">
        <f>U866+U973+U1049+U1155</f>
        <v>0</v>
      </c>
      <c r="V761" s="361">
        <f>V866+V973+V1049+V1155</f>
        <v>0</v>
      </c>
      <c r="W761" s="361">
        <f>W866+W973+W1049+W1155</f>
        <v>0</v>
      </c>
      <c r="X761" s="342">
        <f t="shared" ref="X761" si="1356">SUM(T761:W761)</f>
        <v>0</v>
      </c>
      <c r="Y761" s="342">
        <f t="shared" ref="Y761" si="1357">I761-N761</f>
        <v>0</v>
      </c>
      <c r="Z761" s="342">
        <f t="shared" ref="Z761" si="1358">N761-S761</f>
        <v>0</v>
      </c>
      <c r="AA761" s="157">
        <f>AA866+AA973+AA1049+AA1155</f>
        <v>0</v>
      </c>
      <c r="AB761" s="318">
        <f t="shared" ref="AB761" si="1359">+S761-X761-AA761</f>
        <v>0</v>
      </c>
    </row>
    <row r="762" spans="1:28" s="90" customFormat="1" ht="14.1" customHeight="1" x14ac:dyDescent="0.2">
      <c r="A762" s="301"/>
      <c r="B762" s="351" t="s">
        <v>359</v>
      </c>
      <c r="C762" s="101"/>
      <c r="D762" s="101"/>
      <c r="E762" s="101"/>
      <c r="F762" s="370"/>
      <c r="G762" s="321"/>
      <c r="H762" s="321"/>
      <c r="I762" s="321"/>
      <c r="J762" s="321"/>
      <c r="K762" s="321"/>
      <c r="L762" s="321"/>
      <c r="M762" s="321"/>
      <c r="N762" s="332"/>
      <c r="O762" s="321"/>
      <c r="P762" s="321"/>
      <c r="Q762" s="321"/>
      <c r="R762" s="321"/>
      <c r="S762" s="332"/>
      <c r="T762" s="321"/>
      <c r="U762" s="321"/>
      <c r="V762" s="321"/>
      <c r="W762" s="321"/>
      <c r="X762" s="332"/>
      <c r="Y762" s="332"/>
      <c r="Z762" s="332"/>
      <c r="AA762" s="332"/>
      <c r="AB762" s="302"/>
    </row>
    <row r="763" spans="1:28" s="90" customFormat="1" ht="14.1" hidden="1" customHeight="1" x14ac:dyDescent="0.2">
      <c r="A763" s="301"/>
      <c r="B763" s="350" t="s">
        <v>360</v>
      </c>
      <c r="C763" s="101"/>
      <c r="D763" s="101"/>
      <c r="E763" s="101"/>
      <c r="F763" s="370" t="s">
        <v>361</v>
      </c>
      <c r="G763" s="361">
        <f t="shared" ref="G763:H766" si="1360">G868+G975+G1051+G1157</f>
        <v>0</v>
      </c>
      <c r="H763" s="361">
        <f t="shared" si="1360"/>
        <v>0</v>
      </c>
      <c r="I763" s="330">
        <f t="shared" ref="I763:I766" si="1361">G763+H763</f>
        <v>0</v>
      </c>
      <c r="J763" s="330">
        <f t="shared" ref="J763:J766" si="1362">I763</f>
        <v>0</v>
      </c>
      <c r="K763" s="361">
        <f t="shared" ref="K763:M766" si="1363">K868+K975+K1051+K1157</f>
        <v>0</v>
      </c>
      <c r="L763" s="361">
        <f t="shared" si="1363"/>
        <v>0</v>
      </c>
      <c r="M763" s="361">
        <f t="shared" si="1363"/>
        <v>0</v>
      </c>
      <c r="N763" s="275">
        <f t="shared" ref="N763:N766" si="1364">J763+K763-L763+M763</f>
        <v>0</v>
      </c>
      <c r="O763" s="361">
        <f t="shared" ref="O763:R766" si="1365">O868+O975+O1051+O1157</f>
        <v>0</v>
      </c>
      <c r="P763" s="361">
        <f t="shared" si="1365"/>
        <v>0</v>
      </c>
      <c r="Q763" s="361">
        <f t="shared" si="1365"/>
        <v>0</v>
      </c>
      <c r="R763" s="361">
        <f t="shared" si="1365"/>
        <v>0</v>
      </c>
      <c r="S763" s="342">
        <f t="shared" ref="S763:S766" si="1366">SUM(O763:R763)</f>
        <v>0</v>
      </c>
      <c r="T763" s="361">
        <f t="shared" ref="T763:W766" si="1367">T868+T975+T1051+T1157</f>
        <v>0</v>
      </c>
      <c r="U763" s="361">
        <f t="shared" si="1367"/>
        <v>0</v>
      </c>
      <c r="V763" s="361">
        <f t="shared" si="1367"/>
        <v>0</v>
      </c>
      <c r="W763" s="361">
        <f t="shared" si="1367"/>
        <v>0</v>
      </c>
      <c r="X763" s="342">
        <f t="shared" ref="X763:X766" si="1368">SUM(T763:W763)</f>
        <v>0</v>
      </c>
      <c r="Y763" s="342">
        <f t="shared" ref="Y763:Y766" si="1369">I763-N763</f>
        <v>0</v>
      </c>
      <c r="Z763" s="342">
        <f t="shared" ref="Z763:Z766" si="1370">N763-S763</f>
        <v>0</v>
      </c>
      <c r="AA763" s="157">
        <f>AA868+AA975+AA1051+AA1157</f>
        <v>0</v>
      </c>
      <c r="AB763" s="318">
        <f t="shared" ref="AB763:AB766" si="1371">+S763-X763-AA763</f>
        <v>0</v>
      </c>
    </row>
    <row r="764" spans="1:28" s="90" customFormat="1" ht="14.1" hidden="1" customHeight="1" x14ac:dyDescent="0.2">
      <c r="A764" s="301"/>
      <c r="B764" s="350" t="s">
        <v>362</v>
      </c>
      <c r="C764" s="101"/>
      <c r="D764" s="101"/>
      <c r="E764" s="101"/>
      <c r="F764" s="370" t="s">
        <v>363</v>
      </c>
      <c r="G764" s="361">
        <f t="shared" si="1360"/>
        <v>0</v>
      </c>
      <c r="H764" s="361">
        <f t="shared" si="1360"/>
        <v>0</v>
      </c>
      <c r="I764" s="330">
        <f t="shared" si="1361"/>
        <v>0</v>
      </c>
      <c r="J764" s="330">
        <f t="shared" si="1362"/>
        <v>0</v>
      </c>
      <c r="K764" s="361">
        <f t="shared" si="1363"/>
        <v>0</v>
      </c>
      <c r="L764" s="361">
        <f t="shared" si="1363"/>
        <v>0</v>
      </c>
      <c r="M764" s="361">
        <f t="shared" si="1363"/>
        <v>0</v>
      </c>
      <c r="N764" s="275">
        <f t="shared" si="1364"/>
        <v>0</v>
      </c>
      <c r="O764" s="361">
        <f t="shared" si="1365"/>
        <v>0</v>
      </c>
      <c r="P764" s="361">
        <f t="shared" si="1365"/>
        <v>0</v>
      </c>
      <c r="Q764" s="361">
        <f t="shared" si="1365"/>
        <v>0</v>
      </c>
      <c r="R764" s="361">
        <f t="shared" si="1365"/>
        <v>0</v>
      </c>
      <c r="S764" s="342">
        <f t="shared" si="1366"/>
        <v>0</v>
      </c>
      <c r="T764" s="361">
        <f t="shared" si="1367"/>
        <v>0</v>
      </c>
      <c r="U764" s="361">
        <f t="shared" si="1367"/>
        <v>0</v>
      </c>
      <c r="V764" s="361">
        <f t="shared" si="1367"/>
        <v>0</v>
      </c>
      <c r="W764" s="361">
        <f t="shared" si="1367"/>
        <v>0</v>
      </c>
      <c r="X764" s="342">
        <f t="shared" si="1368"/>
        <v>0</v>
      </c>
      <c r="Y764" s="342">
        <f t="shared" si="1369"/>
        <v>0</v>
      </c>
      <c r="Z764" s="342">
        <f t="shared" si="1370"/>
        <v>0</v>
      </c>
      <c r="AA764" s="157">
        <f>AA869+AA976+AA1052+AA1158</f>
        <v>0</v>
      </c>
      <c r="AB764" s="318">
        <f t="shared" si="1371"/>
        <v>0</v>
      </c>
    </row>
    <row r="765" spans="1:28" s="90" customFormat="1" ht="14.1" hidden="1" customHeight="1" x14ac:dyDescent="0.2">
      <c r="A765" s="301"/>
      <c r="B765" s="350" t="s">
        <v>722</v>
      </c>
      <c r="C765" s="718"/>
      <c r="D765" s="718"/>
      <c r="E765" s="718"/>
      <c r="F765" s="370" t="s">
        <v>723</v>
      </c>
      <c r="G765" s="361">
        <f t="shared" si="1360"/>
        <v>0</v>
      </c>
      <c r="H765" s="361">
        <f t="shared" si="1360"/>
        <v>0</v>
      </c>
      <c r="I765" s="330">
        <f t="shared" si="1361"/>
        <v>0</v>
      </c>
      <c r="J765" s="330">
        <f t="shared" si="1362"/>
        <v>0</v>
      </c>
      <c r="K765" s="361">
        <f t="shared" si="1363"/>
        <v>0</v>
      </c>
      <c r="L765" s="361">
        <f t="shared" si="1363"/>
        <v>0</v>
      </c>
      <c r="M765" s="361">
        <f t="shared" si="1363"/>
        <v>0</v>
      </c>
      <c r="N765" s="275">
        <f t="shared" si="1364"/>
        <v>0</v>
      </c>
      <c r="O765" s="361">
        <f t="shared" si="1365"/>
        <v>0</v>
      </c>
      <c r="P765" s="361">
        <f t="shared" si="1365"/>
        <v>0</v>
      </c>
      <c r="Q765" s="361">
        <f t="shared" si="1365"/>
        <v>0</v>
      </c>
      <c r="R765" s="361">
        <f t="shared" si="1365"/>
        <v>0</v>
      </c>
      <c r="S765" s="342">
        <f t="shared" si="1366"/>
        <v>0</v>
      </c>
      <c r="T765" s="361">
        <f t="shared" si="1367"/>
        <v>0</v>
      </c>
      <c r="U765" s="361">
        <f t="shared" si="1367"/>
        <v>0</v>
      </c>
      <c r="V765" s="361">
        <f t="shared" si="1367"/>
        <v>0</v>
      </c>
      <c r="W765" s="361">
        <f t="shared" si="1367"/>
        <v>0</v>
      </c>
      <c r="X765" s="342">
        <f t="shared" si="1368"/>
        <v>0</v>
      </c>
      <c r="Y765" s="342">
        <f t="shared" si="1369"/>
        <v>0</v>
      </c>
      <c r="Z765" s="342">
        <f t="shared" si="1370"/>
        <v>0</v>
      </c>
      <c r="AA765" s="157">
        <f>AA870+AA977+AA1053+AA1159</f>
        <v>0</v>
      </c>
      <c r="AB765" s="318">
        <f t="shared" si="1371"/>
        <v>0</v>
      </c>
    </row>
    <row r="766" spans="1:28" s="90" customFormat="1" ht="14.1" hidden="1" customHeight="1" x14ac:dyDescent="0.2">
      <c r="A766" s="301"/>
      <c r="B766" s="350" t="s">
        <v>364</v>
      </c>
      <c r="C766" s="101"/>
      <c r="D766" s="101"/>
      <c r="E766" s="101"/>
      <c r="F766" s="370" t="s">
        <v>365</v>
      </c>
      <c r="G766" s="361">
        <f t="shared" si="1360"/>
        <v>0</v>
      </c>
      <c r="H766" s="361">
        <f t="shared" si="1360"/>
        <v>0</v>
      </c>
      <c r="I766" s="330">
        <f t="shared" si="1361"/>
        <v>0</v>
      </c>
      <c r="J766" s="330">
        <f t="shared" si="1362"/>
        <v>0</v>
      </c>
      <c r="K766" s="361">
        <f t="shared" si="1363"/>
        <v>0</v>
      </c>
      <c r="L766" s="361">
        <f t="shared" si="1363"/>
        <v>0</v>
      </c>
      <c r="M766" s="361">
        <f t="shared" si="1363"/>
        <v>0</v>
      </c>
      <c r="N766" s="275">
        <f t="shared" si="1364"/>
        <v>0</v>
      </c>
      <c r="O766" s="361">
        <f t="shared" si="1365"/>
        <v>0</v>
      </c>
      <c r="P766" s="361">
        <f t="shared" si="1365"/>
        <v>0</v>
      </c>
      <c r="Q766" s="361">
        <f t="shared" si="1365"/>
        <v>0</v>
      </c>
      <c r="R766" s="361">
        <f t="shared" si="1365"/>
        <v>0</v>
      </c>
      <c r="S766" s="342">
        <f t="shared" si="1366"/>
        <v>0</v>
      </c>
      <c r="T766" s="361">
        <f t="shared" si="1367"/>
        <v>0</v>
      </c>
      <c r="U766" s="361">
        <f t="shared" si="1367"/>
        <v>0</v>
      </c>
      <c r="V766" s="361">
        <f t="shared" si="1367"/>
        <v>0</v>
      </c>
      <c r="W766" s="361">
        <f t="shared" si="1367"/>
        <v>0</v>
      </c>
      <c r="X766" s="342">
        <f t="shared" si="1368"/>
        <v>0</v>
      </c>
      <c r="Y766" s="342">
        <f t="shared" si="1369"/>
        <v>0</v>
      </c>
      <c r="Z766" s="342">
        <f t="shared" si="1370"/>
        <v>0</v>
      </c>
      <c r="AA766" s="157">
        <f>AA871+AA978+AA1054+AA1160</f>
        <v>0</v>
      </c>
      <c r="AB766" s="318">
        <f t="shared" si="1371"/>
        <v>0</v>
      </c>
    </row>
    <row r="767" spans="1:28" s="90" customFormat="1" ht="14.1" customHeight="1" x14ac:dyDescent="0.2">
      <c r="A767" s="301"/>
      <c r="B767" s="351" t="s">
        <v>366</v>
      </c>
      <c r="C767" s="101"/>
      <c r="D767" s="101"/>
      <c r="E767" s="101"/>
      <c r="F767" s="370"/>
      <c r="G767" s="321"/>
      <c r="H767" s="321"/>
      <c r="I767" s="321"/>
      <c r="J767" s="321"/>
      <c r="K767" s="321"/>
      <c r="L767" s="321"/>
      <c r="M767" s="321"/>
      <c r="N767" s="332"/>
      <c r="O767" s="321"/>
      <c r="P767" s="321"/>
      <c r="Q767" s="321"/>
      <c r="R767" s="321"/>
      <c r="S767" s="332"/>
      <c r="T767" s="321"/>
      <c r="U767" s="321"/>
      <c r="V767" s="321"/>
      <c r="W767" s="321"/>
      <c r="X767" s="332"/>
      <c r="Y767" s="332"/>
      <c r="Z767" s="332"/>
      <c r="AA767" s="332"/>
      <c r="AB767" s="302"/>
    </row>
    <row r="768" spans="1:28" s="90" customFormat="1" ht="14.1" hidden="1" customHeight="1" x14ac:dyDescent="0.2">
      <c r="A768" s="301"/>
      <c r="B768" s="350" t="s">
        <v>366</v>
      </c>
      <c r="C768" s="101"/>
      <c r="D768" s="101"/>
      <c r="E768" s="101"/>
      <c r="F768" s="370" t="s">
        <v>367</v>
      </c>
      <c r="G768" s="361">
        <f t="shared" ref="G768:H772" si="1372">G873+G980+G1056+G1162</f>
        <v>0</v>
      </c>
      <c r="H768" s="361">
        <f t="shared" si="1372"/>
        <v>0</v>
      </c>
      <c r="I768" s="330">
        <f t="shared" ref="I768:I772" si="1373">G768+H768</f>
        <v>0</v>
      </c>
      <c r="J768" s="330">
        <f t="shared" ref="J768:J772" si="1374">I768</f>
        <v>0</v>
      </c>
      <c r="K768" s="361">
        <f t="shared" ref="K768:M772" si="1375">K873+K980+K1056+K1162</f>
        <v>0</v>
      </c>
      <c r="L768" s="361">
        <f t="shared" si="1375"/>
        <v>0</v>
      </c>
      <c r="M768" s="361">
        <f t="shared" si="1375"/>
        <v>0</v>
      </c>
      <c r="N768" s="275">
        <f t="shared" ref="N768:N772" si="1376">J768+K768-L768+M768</f>
        <v>0</v>
      </c>
      <c r="O768" s="361">
        <f t="shared" ref="O768:R772" si="1377">O873+O980+O1056+O1162</f>
        <v>0</v>
      </c>
      <c r="P768" s="361">
        <f t="shared" si="1377"/>
        <v>0</v>
      </c>
      <c r="Q768" s="361">
        <f t="shared" si="1377"/>
        <v>0</v>
      </c>
      <c r="R768" s="361">
        <f t="shared" si="1377"/>
        <v>0</v>
      </c>
      <c r="S768" s="342">
        <f t="shared" ref="S768:S772" si="1378">SUM(O768:R768)</f>
        <v>0</v>
      </c>
      <c r="T768" s="361">
        <f t="shared" ref="T768:W772" si="1379">T873+T980+T1056+T1162</f>
        <v>0</v>
      </c>
      <c r="U768" s="361">
        <f t="shared" si="1379"/>
        <v>0</v>
      </c>
      <c r="V768" s="361">
        <f t="shared" si="1379"/>
        <v>0</v>
      </c>
      <c r="W768" s="361">
        <f t="shared" si="1379"/>
        <v>0</v>
      </c>
      <c r="X768" s="342">
        <f t="shared" ref="X768:X772" si="1380">SUM(T768:W768)</f>
        <v>0</v>
      </c>
      <c r="Y768" s="342">
        <f t="shared" ref="Y768:Y772" si="1381">I768-N768</f>
        <v>0</v>
      </c>
      <c r="Z768" s="342">
        <f t="shared" ref="Z768:Z772" si="1382">N768-S768</f>
        <v>0</v>
      </c>
      <c r="AA768" s="157">
        <f>AA873+AA980+AA1056+AA1162</f>
        <v>0</v>
      </c>
      <c r="AB768" s="318">
        <f t="shared" ref="AB768:AB772" si="1383">+S768-X768-AA768</f>
        <v>0</v>
      </c>
    </row>
    <row r="769" spans="1:28" s="90" customFormat="1" ht="14.1" hidden="1" customHeight="1" x14ac:dyDescent="0.2">
      <c r="A769" s="301"/>
      <c r="B769" s="350" t="s">
        <v>724</v>
      </c>
      <c r="C769" s="718"/>
      <c r="D769" s="718"/>
      <c r="E769" s="718"/>
      <c r="F769" s="370" t="s">
        <v>725</v>
      </c>
      <c r="G769" s="361">
        <f t="shared" si="1372"/>
        <v>0</v>
      </c>
      <c r="H769" s="361">
        <f t="shared" si="1372"/>
        <v>0</v>
      </c>
      <c r="I769" s="330">
        <f t="shared" ref="I769" si="1384">G769+H769</f>
        <v>0</v>
      </c>
      <c r="J769" s="330">
        <f t="shared" ref="J769" si="1385">I769</f>
        <v>0</v>
      </c>
      <c r="K769" s="361">
        <f t="shared" si="1375"/>
        <v>0</v>
      </c>
      <c r="L769" s="361">
        <f t="shared" si="1375"/>
        <v>0</v>
      </c>
      <c r="M769" s="361">
        <f t="shared" si="1375"/>
        <v>0</v>
      </c>
      <c r="N769" s="275">
        <f t="shared" si="1376"/>
        <v>0</v>
      </c>
      <c r="O769" s="361">
        <f t="shared" si="1377"/>
        <v>0</v>
      </c>
      <c r="P769" s="361">
        <f t="shared" si="1377"/>
        <v>0</v>
      </c>
      <c r="Q769" s="361">
        <f t="shared" si="1377"/>
        <v>0</v>
      </c>
      <c r="R769" s="361">
        <f t="shared" si="1377"/>
        <v>0</v>
      </c>
      <c r="S769" s="342">
        <f t="shared" ref="S769" si="1386">SUM(O769:R769)</f>
        <v>0</v>
      </c>
      <c r="T769" s="361">
        <f t="shared" si="1379"/>
        <v>0</v>
      </c>
      <c r="U769" s="361">
        <f t="shared" si="1379"/>
        <v>0</v>
      </c>
      <c r="V769" s="361">
        <f t="shared" si="1379"/>
        <v>0</v>
      </c>
      <c r="W769" s="361">
        <f t="shared" si="1379"/>
        <v>0</v>
      </c>
      <c r="X769" s="342">
        <f t="shared" ref="X769" si="1387">SUM(T769:W769)</f>
        <v>0</v>
      </c>
      <c r="Y769" s="342">
        <f t="shared" ref="Y769" si="1388">I769-N769</f>
        <v>0</v>
      </c>
      <c r="Z769" s="342">
        <f t="shared" ref="Z769" si="1389">N769-S769</f>
        <v>0</v>
      </c>
      <c r="AA769" s="157">
        <f>AA874+AA981+AA1057+AA1163</f>
        <v>0</v>
      </c>
      <c r="AB769" s="318">
        <f t="shared" ref="AB769" si="1390">+S769-X769-AA769</f>
        <v>0</v>
      </c>
    </row>
    <row r="770" spans="1:28" s="90" customFormat="1" ht="14.1" customHeight="1" x14ac:dyDescent="0.2">
      <c r="A770" s="301"/>
      <c r="B770" s="350" t="s">
        <v>368</v>
      </c>
      <c r="C770" s="101"/>
      <c r="D770" s="101"/>
      <c r="E770" s="101"/>
      <c r="F770" s="370" t="s">
        <v>369</v>
      </c>
      <c r="G770" s="361">
        <f t="shared" si="1372"/>
        <v>28505.66</v>
      </c>
      <c r="H770" s="361">
        <f t="shared" si="1372"/>
        <v>0</v>
      </c>
      <c r="I770" s="330">
        <f t="shared" si="1373"/>
        <v>28505.66</v>
      </c>
      <c r="J770" s="330">
        <f t="shared" si="1374"/>
        <v>28505.66</v>
      </c>
      <c r="K770" s="361">
        <f t="shared" si="1375"/>
        <v>0</v>
      </c>
      <c r="L770" s="361">
        <f t="shared" si="1375"/>
        <v>0</v>
      </c>
      <c r="M770" s="361">
        <f t="shared" si="1375"/>
        <v>0</v>
      </c>
      <c r="N770" s="275">
        <f t="shared" si="1376"/>
        <v>28505.66</v>
      </c>
      <c r="O770" s="361">
        <f t="shared" si="1377"/>
        <v>0</v>
      </c>
      <c r="P770" s="361">
        <f t="shared" si="1377"/>
        <v>0</v>
      </c>
      <c r="Q770" s="361">
        <f t="shared" si="1377"/>
        <v>28505.659999999996</v>
      </c>
      <c r="R770" s="361">
        <f t="shared" si="1377"/>
        <v>0</v>
      </c>
      <c r="S770" s="342">
        <f t="shared" si="1378"/>
        <v>28505.659999999996</v>
      </c>
      <c r="T770" s="361">
        <f t="shared" si="1379"/>
        <v>0</v>
      </c>
      <c r="U770" s="361">
        <f t="shared" si="1379"/>
        <v>0</v>
      </c>
      <c r="V770" s="361">
        <f t="shared" si="1379"/>
        <v>28505.659999999996</v>
      </c>
      <c r="W770" s="361">
        <f t="shared" si="1379"/>
        <v>0</v>
      </c>
      <c r="X770" s="342">
        <f t="shared" si="1380"/>
        <v>28505.659999999996</v>
      </c>
      <c r="Y770" s="342">
        <f t="shared" si="1381"/>
        <v>0</v>
      </c>
      <c r="Z770" s="342">
        <f t="shared" si="1382"/>
        <v>0</v>
      </c>
      <c r="AA770" s="157">
        <f>AA875+AA982+AA1058+AA1164</f>
        <v>0</v>
      </c>
      <c r="AB770" s="318">
        <f t="shared" si="1383"/>
        <v>0</v>
      </c>
    </row>
    <row r="771" spans="1:28" s="90" customFormat="1" ht="14.1" customHeight="1" x14ac:dyDescent="0.2">
      <c r="A771" s="301"/>
      <c r="B771" s="350" t="s">
        <v>370</v>
      </c>
      <c r="C771" s="101"/>
      <c r="D771" s="101"/>
      <c r="E771" s="101"/>
      <c r="F771" s="370" t="s">
        <v>371</v>
      </c>
      <c r="G771" s="361">
        <f t="shared" si="1372"/>
        <v>9366.36</v>
      </c>
      <c r="H771" s="361">
        <f t="shared" si="1372"/>
        <v>0</v>
      </c>
      <c r="I771" s="330">
        <f t="shared" si="1373"/>
        <v>9366.36</v>
      </c>
      <c r="J771" s="330">
        <f t="shared" si="1374"/>
        <v>9366.36</v>
      </c>
      <c r="K771" s="361">
        <f t="shared" si="1375"/>
        <v>0</v>
      </c>
      <c r="L771" s="361">
        <f t="shared" si="1375"/>
        <v>0</v>
      </c>
      <c r="M771" s="361">
        <f t="shared" si="1375"/>
        <v>0</v>
      </c>
      <c r="N771" s="275">
        <f t="shared" si="1376"/>
        <v>9366.36</v>
      </c>
      <c r="O771" s="361">
        <f t="shared" si="1377"/>
        <v>0</v>
      </c>
      <c r="P771" s="361">
        <f t="shared" si="1377"/>
        <v>0</v>
      </c>
      <c r="Q771" s="361">
        <f t="shared" si="1377"/>
        <v>9366.36</v>
      </c>
      <c r="R771" s="361">
        <f t="shared" si="1377"/>
        <v>0</v>
      </c>
      <c r="S771" s="342">
        <f t="shared" si="1378"/>
        <v>9366.36</v>
      </c>
      <c r="T771" s="361">
        <f t="shared" si="1379"/>
        <v>0</v>
      </c>
      <c r="U771" s="361">
        <f t="shared" si="1379"/>
        <v>0</v>
      </c>
      <c r="V771" s="361">
        <f t="shared" si="1379"/>
        <v>9366.36</v>
      </c>
      <c r="W771" s="361">
        <f t="shared" si="1379"/>
        <v>0</v>
      </c>
      <c r="X771" s="342">
        <f t="shared" si="1380"/>
        <v>9366.36</v>
      </c>
      <c r="Y771" s="342">
        <f t="shared" si="1381"/>
        <v>0</v>
      </c>
      <c r="Z771" s="342">
        <f t="shared" si="1382"/>
        <v>0</v>
      </c>
      <c r="AA771" s="157">
        <f>AA876+AA983+AA1059+AA1165</f>
        <v>0</v>
      </c>
      <c r="AB771" s="318">
        <f t="shared" si="1383"/>
        <v>0</v>
      </c>
    </row>
    <row r="772" spans="1:28" s="90" customFormat="1" ht="14.1" hidden="1" customHeight="1" x14ac:dyDescent="0.2">
      <c r="A772" s="301"/>
      <c r="B772" s="350" t="s">
        <v>372</v>
      </c>
      <c r="C772" s="101"/>
      <c r="D772" s="101"/>
      <c r="E772" s="101"/>
      <c r="F772" s="370" t="s">
        <v>373</v>
      </c>
      <c r="G772" s="361">
        <f t="shared" si="1372"/>
        <v>0</v>
      </c>
      <c r="H772" s="361">
        <f t="shared" si="1372"/>
        <v>0</v>
      </c>
      <c r="I772" s="330">
        <f t="shared" si="1373"/>
        <v>0</v>
      </c>
      <c r="J772" s="330">
        <f t="shared" si="1374"/>
        <v>0</v>
      </c>
      <c r="K772" s="361">
        <f t="shared" si="1375"/>
        <v>0</v>
      </c>
      <c r="L772" s="361">
        <f t="shared" si="1375"/>
        <v>0</v>
      </c>
      <c r="M772" s="361">
        <f t="shared" si="1375"/>
        <v>0</v>
      </c>
      <c r="N772" s="275">
        <f t="shared" si="1376"/>
        <v>0</v>
      </c>
      <c r="O772" s="361">
        <f t="shared" si="1377"/>
        <v>0</v>
      </c>
      <c r="P772" s="361">
        <f t="shared" si="1377"/>
        <v>0</v>
      </c>
      <c r="Q772" s="361">
        <f t="shared" si="1377"/>
        <v>0</v>
      </c>
      <c r="R772" s="361">
        <f t="shared" si="1377"/>
        <v>0</v>
      </c>
      <c r="S772" s="342">
        <f t="shared" si="1378"/>
        <v>0</v>
      </c>
      <c r="T772" s="361">
        <f t="shared" si="1379"/>
        <v>0</v>
      </c>
      <c r="U772" s="361">
        <f t="shared" si="1379"/>
        <v>0</v>
      </c>
      <c r="V772" s="361">
        <f t="shared" si="1379"/>
        <v>0</v>
      </c>
      <c r="W772" s="361">
        <f t="shared" si="1379"/>
        <v>0</v>
      </c>
      <c r="X772" s="342">
        <f t="shared" si="1380"/>
        <v>0</v>
      </c>
      <c r="Y772" s="342">
        <f t="shared" si="1381"/>
        <v>0</v>
      </c>
      <c r="Z772" s="342">
        <f t="shared" si="1382"/>
        <v>0</v>
      </c>
      <c r="AA772" s="157">
        <f>AA877+AA984+AA1060+AA1166</f>
        <v>0</v>
      </c>
      <c r="AB772" s="318">
        <f t="shared" si="1383"/>
        <v>0</v>
      </c>
    </row>
    <row r="773" spans="1:28" s="90" customFormat="1" ht="14.1" hidden="1" customHeight="1" x14ac:dyDescent="0.2">
      <c r="A773" s="301"/>
      <c r="B773" s="351" t="s">
        <v>374</v>
      </c>
      <c r="C773" s="101"/>
      <c r="D773" s="101"/>
      <c r="E773" s="101"/>
      <c r="F773" s="370"/>
      <c r="G773" s="321"/>
      <c r="H773" s="321"/>
      <c r="I773" s="321"/>
      <c r="J773" s="321"/>
      <c r="K773" s="321"/>
      <c r="L773" s="321"/>
      <c r="M773" s="321"/>
      <c r="N773" s="332"/>
      <c r="O773" s="321"/>
      <c r="P773" s="321"/>
      <c r="Q773" s="321"/>
      <c r="R773" s="321"/>
      <c r="S773" s="332"/>
      <c r="T773" s="321"/>
      <c r="U773" s="321"/>
      <c r="V773" s="321"/>
      <c r="W773" s="321"/>
      <c r="X773" s="332"/>
      <c r="Y773" s="332"/>
      <c r="Z773" s="332"/>
      <c r="AA773" s="332"/>
      <c r="AB773" s="302"/>
    </row>
    <row r="774" spans="1:28" s="90" customFormat="1" ht="14.1" hidden="1" customHeight="1" x14ac:dyDescent="0.2">
      <c r="A774" s="301"/>
      <c r="B774" s="350" t="s">
        <v>375</v>
      </c>
      <c r="C774" s="101"/>
      <c r="D774" s="101"/>
      <c r="E774" s="101"/>
      <c r="F774" s="370" t="s">
        <v>376</v>
      </c>
      <c r="G774" s="361">
        <f t="shared" ref="G774:H791" si="1391">G879+G986+G1062+G1168</f>
        <v>0</v>
      </c>
      <c r="H774" s="361">
        <f t="shared" si="1391"/>
        <v>0</v>
      </c>
      <c r="I774" s="330">
        <f t="shared" ref="I774:I791" si="1392">G774+H774</f>
        <v>0</v>
      </c>
      <c r="J774" s="330">
        <f t="shared" ref="J774:J791" si="1393">I774</f>
        <v>0</v>
      </c>
      <c r="K774" s="361">
        <f t="shared" ref="K774:M791" si="1394">K879+K986+K1062+K1168</f>
        <v>0</v>
      </c>
      <c r="L774" s="361">
        <f t="shared" si="1394"/>
        <v>0</v>
      </c>
      <c r="M774" s="361">
        <f t="shared" si="1394"/>
        <v>0</v>
      </c>
      <c r="N774" s="275">
        <f t="shared" ref="N774:N791" si="1395">J774+K774-L774+M774</f>
        <v>0</v>
      </c>
      <c r="O774" s="361">
        <f t="shared" ref="O774:R791" si="1396">O879+O986+O1062+O1168</f>
        <v>0</v>
      </c>
      <c r="P774" s="361">
        <f t="shared" si="1396"/>
        <v>0</v>
      </c>
      <c r="Q774" s="361">
        <f t="shared" si="1396"/>
        <v>0</v>
      </c>
      <c r="R774" s="361">
        <f t="shared" si="1396"/>
        <v>0</v>
      </c>
      <c r="S774" s="342">
        <f t="shared" ref="S774:S791" si="1397">SUM(O774:R774)</f>
        <v>0</v>
      </c>
      <c r="T774" s="361">
        <f t="shared" ref="T774:W791" si="1398">T879+T986+T1062+T1168</f>
        <v>0</v>
      </c>
      <c r="U774" s="361">
        <f t="shared" si="1398"/>
        <v>0</v>
      </c>
      <c r="V774" s="361">
        <f t="shared" si="1398"/>
        <v>0</v>
      </c>
      <c r="W774" s="361">
        <f t="shared" si="1398"/>
        <v>0</v>
      </c>
      <c r="X774" s="342">
        <f t="shared" ref="X774:X791" si="1399">SUM(T774:W774)</f>
        <v>0</v>
      </c>
      <c r="Y774" s="342">
        <f t="shared" ref="Y774:Y791" si="1400">I774-N774</f>
        <v>0</v>
      </c>
      <c r="Z774" s="342">
        <f t="shared" ref="Z774:Z791" si="1401">N774-S774</f>
        <v>0</v>
      </c>
      <c r="AA774" s="157">
        <f t="shared" ref="AA774:AA791" si="1402">AA879+AA986+AA1062+AA1168</f>
        <v>0</v>
      </c>
      <c r="AB774" s="318">
        <f t="shared" ref="AB774:AB791" si="1403">+S774-X774-AA774</f>
        <v>0</v>
      </c>
    </row>
    <row r="775" spans="1:28" s="90" customFormat="1" ht="14.1" hidden="1" customHeight="1" x14ac:dyDescent="0.2">
      <c r="A775" s="301"/>
      <c r="B775" s="350" t="s">
        <v>377</v>
      </c>
      <c r="C775" s="101"/>
      <c r="D775" s="101"/>
      <c r="E775" s="101"/>
      <c r="F775" s="370" t="s">
        <v>378</v>
      </c>
      <c r="G775" s="361">
        <f t="shared" si="1391"/>
        <v>0</v>
      </c>
      <c r="H775" s="361">
        <f t="shared" si="1391"/>
        <v>0</v>
      </c>
      <c r="I775" s="330">
        <f t="shared" si="1392"/>
        <v>0</v>
      </c>
      <c r="J775" s="330">
        <f t="shared" si="1393"/>
        <v>0</v>
      </c>
      <c r="K775" s="361">
        <f t="shared" si="1394"/>
        <v>0</v>
      </c>
      <c r="L775" s="361">
        <f t="shared" si="1394"/>
        <v>0</v>
      </c>
      <c r="M775" s="361">
        <f t="shared" si="1394"/>
        <v>0</v>
      </c>
      <c r="N775" s="275">
        <f t="shared" si="1395"/>
        <v>0</v>
      </c>
      <c r="O775" s="361">
        <f t="shared" si="1396"/>
        <v>0</v>
      </c>
      <c r="P775" s="361">
        <f t="shared" si="1396"/>
        <v>0</v>
      </c>
      <c r="Q775" s="361">
        <f t="shared" si="1396"/>
        <v>0</v>
      </c>
      <c r="R775" s="361">
        <f t="shared" si="1396"/>
        <v>0</v>
      </c>
      <c r="S775" s="342">
        <f t="shared" si="1397"/>
        <v>0</v>
      </c>
      <c r="T775" s="361">
        <f t="shared" si="1398"/>
        <v>0</v>
      </c>
      <c r="U775" s="361">
        <f t="shared" si="1398"/>
        <v>0</v>
      </c>
      <c r="V775" s="361">
        <f t="shared" si="1398"/>
        <v>0</v>
      </c>
      <c r="W775" s="361">
        <f t="shared" si="1398"/>
        <v>0</v>
      </c>
      <c r="X775" s="342">
        <f t="shared" si="1399"/>
        <v>0</v>
      </c>
      <c r="Y775" s="342">
        <f t="shared" si="1400"/>
        <v>0</v>
      </c>
      <c r="Z775" s="342">
        <f t="shared" si="1401"/>
        <v>0</v>
      </c>
      <c r="AA775" s="157">
        <f t="shared" si="1402"/>
        <v>0</v>
      </c>
      <c r="AB775" s="318">
        <f t="shared" si="1403"/>
        <v>0</v>
      </c>
    </row>
    <row r="776" spans="1:28" s="90" customFormat="1" ht="14.1" hidden="1" customHeight="1" x14ac:dyDescent="0.2">
      <c r="A776" s="301"/>
      <c r="B776" s="350" t="s">
        <v>379</v>
      </c>
      <c r="C776" s="101"/>
      <c r="D776" s="101"/>
      <c r="E776" s="101"/>
      <c r="F776" s="370" t="s">
        <v>380</v>
      </c>
      <c r="G776" s="361">
        <f t="shared" si="1391"/>
        <v>0</v>
      </c>
      <c r="H776" s="361">
        <f t="shared" si="1391"/>
        <v>0</v>
      </c>
      <c r="I776" s="330">
        <f t="shared" si="1392"/>
        <v>0</v>
      </c>
      <c r="J776" s="330">
        <f t="shared" si="1393"/>
        <v>0</v>
      </c>
      <c r="K776" s="361">
        <f t="shared" si="1394"/>
        <v>0</v>
      </c>
      <c r="L776" s="361">
        <f t="shared" si="1394"/>
        <v>0</v>
      </c>
      <c r="M776" s="361">
        <f t="shared" si="1394"/>
        <v>0</v>
      </c>
      <c r="N776" s="275">
        <f t="shared" si="1395"/>
        <v>0</v>
      </c>
      <c r="O776" s="361">
        <f t="shared" si="1396"/>
        <v>0</v>
      </c>
      <c r="P776" s="361">
        <f t="shared" si="1396"/>
        <v>0</v>
      </c>
      <c r="Q776" s="361">
        <f t="shared" si="1396"/>
        <v>0</v>
      </c>
      <c r="R776" s="361">
        <f t="shared" si="1396"/>
        <v>0</v>
      </c>
      <c r="S776" s="342">
        <f t="shared" si="1397"/>
        <v>0</v>
      </c>
      <c r="T776" s="361">
        <f t="shared" si="1398"/>
        <v>0</v>
      </c>
      <c r="U776" s="361">
        <f t="shared" si="1398"/>
        <v>0</v>
      </c>
      <c r="V776" s="361">
        <f t="shared" si="1398"/>
        <v>0</v>
      </c>
      <c r="W776" s="361">
        <f t="shared" si="1398"/>
        <v>0</v>
      </c>
      <c r="X776" s="342">
        <f t="shared" si="1399"/>
        <v>0</v>
      </c>
      <c r="Y776" s="342">
        <f t="shared" si="1400"/>
        <v>0</v>
      </c>
      <c r="Z776" s="342">
        <f t="shared" si="1401"/>
        <v>0</v>
      </c>
      <c r="AA776" s="157">
        <f t="shared" si="1402"/>
        <v>0</v>
      </c>
      <c r="AB776" s="318">
        <f t="shared" si="1403"/>
        <v>0</v>
      </c>
    </row>
    <row r="777" spans="1:28" s="90" customFormat="1" ht="14.1" hidden="1" customHeight="1" x14ac:dyDescent="0.2">
      <c r="A777" s="301"/>
      <c r="B777" s="350" t="s">
        <v>381</v>
      </c>
      <c r="C777" s="101"/>
      <c r="D777" s="101"/>
      <c r="E777" s="101"/>
      <c r="F777" s="370" t="s">
        <v>382</v>
      </c>
      <c r="G777" s="361">
        <f t="shared" si="1391"/>
        <v>0</v>
      </c>
      <c r="H777" s="361">
        <f t="shared" si="1391"/>
        <v>0</v>
      </c>
      <c r="I777" s="330">
        <f t="shared" si="1392"/>
        <v>0</v>
      </c>
      <c r="J777" s="330">
        <f t="shared" si="1393"/>
        <v>0</v>
      </c>
      <c r="K777" s="361">
        <f t="shared" si="1394"/>
        <v>0</v>
      </c>
      <c r="L777" s="361">
        <f t="shared" si="1394"/>
        <v>0</v>
      </c>
      <c r="M777" s="361">
        <f t="shared" si="1394"/>
        <v>0</v>
      </c>
      <c r="N777" s="275">
        <f t="shared" si="1395"/>
        <v>0</v>
      </c>
      <c r="O777" s="361">
        <f t="shared" si="1396"/>
        <v>0</v>
      </c>
      <c r="P777" s="361">
        <f t="shared" si="1396"/>
        <v>0</v>
      </c>
      <c r="Q777" s="361">
        <f t="shared" si="1396"/>
        <v>0</v>
      </c>
      <c r="R777" s="361">
        <f t="shared" si="1396"/>
        <v>0</v>
      </c>
      <c r="S777" s="342">
        <f t="shared" si="1397"/>
        <v>0</v>
      </c>
      <c r="T777" s="361">
        <f t="shared" si="1398"/>
        <v>0</v>
      </c>
      <c r="U777" s="361">
        <f t="shared" si="1398"/>
        <v>0</v>
      </c>
      <c r="V777" s="361">
        <f t="shared" si="1398"/>
        <v>0</v>
      </c>
      <c r="W777" s="361">
        <f t="shared" si="1398"/>
        <v>0</v>
      </c>
      <c r="X777" s="342">
        <f t="shared" si="1399"/>
        <v>0</v>
      </c>
      <c r="Y777" s="342">
        <f t="shared" si="1400"/>
        <v>0</v>
      </c>
      <c r="Z777" s="342">
        <f t="shared" si="1401"/>
        <v>0</v>
      </c>
      <c r="AA777" s="157">
        <f t="shared" si="1402"/>
        <v>0</v>
      </c>
      <c r="AB777" s="318">
        <f t="shared" si="1403"/>
        <v>0</v>
      </c>
    </row>
    <row r="778" spans="1:28" s="90" customFormat="1" ht="14.1" hidden="1" customHeight="1" x14ac:dyDescent="0.2">
      <c r="A778" s="301"/>
      <c r="B778" s="350" t="s">
        <v>383</v>
      </c>
      <c r="C778" s="101"/>
      <c r="D778" s="101"/>
      <c r="E778" s="101"/>
      <c r="F778" s="370" t="s">
        <v>384</v>
      </c>
      <c r="G778" s="361">
        <f t="shared" si="1391"/>
        <v>0</v>
      </c>
      <c r="H778" s="361">
        <f t="shared" si="1391"/>
        <v>0</v>
      </c>
      <c r="I778" s="330">
        <f t="shared" si="1392"/>
        <v>0</v>
      </c>
      <c r="J778" s="330">
        <f t="shared" si="1393"/>
        <v>0</v>
      </c>
      <c r="K778" s="361">
        <f t="shared" si="1394"/>
        <v>0</v>
      </c>
      <c r="L778" s="361">
        <f t="shared" si="1394"/>
        <v>0</v>
      </c>
      <c r="M778" s="361">
        <f t="shared" si="1394"/>
        <v>0</v>
      </c>
      <c r="N778" s="275">
        <f t="shared" si="1395"/>
        <v>0</v>
      </c>
      <c r="O778" s="361">
        <f t="shared" si="1396"/>
        <v>0</v>
      </c>
      <c r="P778" s="361">
        <f t="shared" si="1396"/>
        <v>0</v>
      </c>
      <c r="Q778" s="361">
        <f t="shared" si="1396"/>
        <v>0</v>
      </c>
      <c r="R778" s="361">
        <f t="shared" si="1396"/>
        <v>0</v>
      </c>
      <c r="S778" s="342">
        <f t="shared" si="1397"/>
        <v>0</v>
      </c>
      <c r="T778" s="361">
        <f t="shared" si="1398"/>
        <v>0</v>
      </c>
      <c r="U778" s="361">
        <f t="shared" si="1398"/>
        <v>0</v>
      </c>
      <c r="V778" s="361">
        <f t="shared" si="1398"/>
        <v>0</v>
      </c>
      <c r="W778" s="361">
        <f t="shared" si="1398"/>
        <v>0</v>
      </c>
      <c r="X778" s="342">
        <f t="shared" si="1399"/>
        <v>0</v>
      </c>
      <c r="Y778" s="342">
        <f t="shared" si="1400"/>
        <v>0</v>
      </c>
      <c r="Z778" s="342">
        <f t="shared" si="1401"/>
        <v>0</v>
      </c>
      <c r="AA778" s="157">
        <f t="shared" si="1402"/>
        <v>0</v>
      </c>
      <c r="AB778" s="318">
        <f t="shared" si="1403"/>
        <v>0</v>
      </c>
    </row>
    <row r="779" spans="1:28" s="90" customFormat="1" ht="14.1" hidden="1" customHeight="1" x14ac:dyDescent="0.2">
      <c r="A779" s="301"/>
      <c r="B779" s="350" t="s">
        <v>385</v>
      </c>
      <c r="C779" s="101"/>
      <c r="D779" s="101"/>
      <c r="E779" s="101"/>
      <c r="F779" s="370" t="s">
        <v>386</v>
      </c>
      <c r="G779" s="361">
        <f t="shared" si="1391"/>
        <v>0</v>
      </c>
      <c r="H779" s="361">
        <f t="shared" si="1391"/>
        <v>0</v>
      </c>
      <c r="I779" s="330">
        <f t="shared" si="1392"/>
        <v>0</v>
      </c>
      <c r="J779" s="330">
        <f t="shared" si="1393"/>
        <v>0</v>
      </c>
      <c r="K779" s="361">
        <f t="shared" si="1394"/>
        <v>0</v>
      </c>
      <c r="L779" s="361">
        <f t="shared" si="1394"/>
        <v>0</v>
      </c>
      <c r="M779" s="361">
        <f t="shared" si="1394"/>
        <v>0</v>
      </c>
      <c r="N779" s="275">
        <f t="shared" si="1395"/>
        <v>0</v>
      </c>
      <c r="O779" s="361">
        <f t="shared" si="1396"/>
        <v>0</v>
      </c>
      <c r="P779" s="361">
        <f t="shared" si="1396"/>
        <v>0</v>
      </c>
      <c r="Q779" s="361">
        <f t="shared" si="1396"/>
        <v>0</v>
      </c>
      <c r="R779" s="361">
        <f t="shared" si="1396"/>
        <v>0</v>
      </c>
      <c r="S779" s="342">
        <f t="shared" si="1397"/>
        <v>0</v>
      </c>
      <c r="T779" s="361">
        <f t="shared" si="1398"/>
        <v>0</v>
      </c>
      <c r="U779" s="361">
        <f t="shared" si="1398"/>
        <v>0</v>
      </c>
      <c r="V779" s="361">
        <f t="shared" si="1398"/>
        <v>0</v>
      </c>
      <c r="W779" s="361">
        <f t="shared" si="1398"/>
        <v>0</v>
      </c>
      <c r="X779" s="342">
        <f t="shared" si="1399"/>
        <v>0</v>
      </c>
      <c r="Y779" s="342">
        <f t="shared" si="1400"/>
        <v>0</v>
      </c>
      <c r="Z779" s="342">
        <f t="shared" si="1401"/>
        <v>0</v>
      </c>
      <c r="AA779" s="157">
        <f t="shared" si="1402"/>
        <v>0</v>
      </c>
      <c r="AB779" s="318">
        <f t="shared" si="1403"/>
        <v>0</v>
      </c>
    </row>
    <row r="780" spans="1:28" s="90" customFormat="1" ht="14.1" hidden="1" customHeight="1" x14ac:dyDescent="0.2">
      <c r="A780" s="301"/>
      <c r="B780" s="350" t="s">
        <v>726</v>
      </c>
      <c r="C780" s="718"/>
      <c r="D780" s="718"/>
      <c r="E780" s="718"/>
      <c r="F780" s="370" t="s">
        <v>387</v>
      </c>
      <c r="G780" s="361">
        <f t="shared" si="1391"/>
        <v>0</v>
      </c>
      <c r="H780" s="361">
        <f t="shared" si="1391"/>
        <v>0</v>
      </c>
      <c r="I780" s="330">
        <f t="shared" si="1392"/>
        <v>0</v>
      </c>
      <c r="J780" s="330">
        <f t="shared" si="1393"/>
        <v>0</v>
      </c>
      <c r="K780" s="361">
        <f t="shared" si="1394"/>
        <v>0</v>
      </c>
      <c r="L780" s="361">
        <f t="shared" si="1394"/>
        <v>0</v>
      </c>
      <c r="M780" s="361">
        <f t="shared" si="1394"/>
        <v>0</v>
      </c>
      <c r="N780" s="275">
        <f t="shared" si="1395"/>
        <v>0</v>
      </c>
      <c r="O780" s="361">
        <f t="shared" si="1396"/>
        <v>0</v>
      </c>
      <c r="P780" s="361">
        <f t="shared" si="1396"/>
        <v>0</v>
      </c>
      <c r="Q780" s="361">
        <f t="shared" si="1396"/>
        <v>0</v>
      </c>
      <c r="R780" s="361">
        <f t="shared" si="1396"/>
        <v>0</v>
      </c>
      <c r="S780" s="342">
        <f t="shared" si="1397"/>
        <v>0</v>
      </c>
      <c r="T780" s="361">
        <f t="shared" si="1398"/>
        <v>0</v>
      </c>
      <c r="U780" s="361">
        <f t="shared" si="1398"/>
        <v>0</v>
      </c>
      <c r="V780" s="361">
        <f t="shared" si="1398"/>
        <v>0</v>
      </c>
      <c r="W780" s="361">
        <f t="shared" si="1398"/>
        <v>0</v>
      </c>
      <c r="X780" s="342">
        <f t="shared" si="1399"/>
        <v>0</v>
      </c>
      <c r="Y780" s="342">
        <f t="shared" si="1400"/>
        <v>0</v>
      </c>
      <c r="Z780" s="342">
        <f t="shared" si="1401"/>
        <v>0</v>
      </c>
      <c r="AA780" s="157">
        <f t="shared" si="1402"/>
        <v>0</v>
      </c>
      <c r="AB780" s="318">
        <f t="shared" si="1403"/>
        <v>0</v>
      </c>
    </row>
    <row r="781" spans="1:28" s="90" customFormat="1" ht="14.1" hidden="1" customHeight="1" x14ac:dyDescent="0.2">
      <c r="A781" s="301"/>
      <c r="B781" s="350" t="s">
        <v>388</v>
      </c>
      <c r="C781" s="101"/>
      <c r="D781" s="101"/>
      <c r="E781" s="101"/>
      <c r="F781" s="370" t="s">
        <v>389</v>
      </c>
      <c r="G781" s="361">
        <f t="shared" si="1391"/>
        <v>0</v>
      </c>
      <c r="H781" s="361">
        <f t="shared" si="1391"/>
        <v>0</v>
      </c>
      <c r="I781" s="330">
        <f t="shared" si="1392"/>
        <v>0</v>
      </c>
      <c r="J781" s="330">
        <f t="shared" si="1393"/>
        <v>0</v>
      </c>
      <c r="K781" s="361">
        <f t="shared" si="1394"/>
        <v>0</v>
      </c>
      <c r="L781" s="361">
        <f t="shared" si="1394"/>
        <v>0</v>
      </c>
      <c r="M781" s="361">
        <f t="shared" si="1394"/>
        <v>0</v>
      </c>
      <c r="N781" s="275">
        <f t="shared" si="1395"/>
        <v>0</v>
      </c>
      <c r="O781" s="361">
        <f t="shared" si="1396"/>
        <v>0</v>
      </c>
      <c r="P781" s="361">
        <f t="shared" si="1396"/>
        <v>0</v>
      </c>
      <c r="Q781" s="361">
        <f t="shared" si="1396"/>
        <v>0</v>
      </c>
      <c r="R781" s="361">
        <f t="shared" si="1396"/>
        <v>0</v>
      </c>
      <c r="S781" s="342">
        <f t="shared" si="1397"/>
        <v>0</v>
      </c>
      <c r="T781" s="361">
        <f t="shared" si="1398"/>
        <v>0</v>
      </c>
      <c r="U781" s="361">
        <f t="shared" si="1398"/>
        <v>0</v>
      </c>
      <c r="V781" s="361">
        <f t="shared" si="1398"/>
        <v>0</v>
      </c>
      <c r="W781" s="361">
        <f t="shared" si="1398"/>
        <v>0</v>
      </c>
      <c r="X781" s="342">
        <f t="shared" si="1399"/>
        <v>0</v>
      </c>
      <c r="Y781" s="342">
        <f t="shared" si="1400"/>
        <v>0</v>
      </c>
      <c r="Z781" s="342">
        <f t="shared" si="1401"/>
        <v>0</v>
      </c>
      <c r="AA781" s="157">
        <f t="shared" si="1402"/>
        <v>0</v>
      </c>
      <c r="AB781" s="318">
        <f t="shared" si="1403"/>
        <v>0</v>
      </c>
    </row>
    <row r="782" spans="1:28" s="90" customFormat="1" ht="14.1" hidden="1" customHeight="1" x14ac:dyDescent="0.2">
      <c r="A782" s="301"/>
      <c r="B782" s="350" t="s">
        <v>390</v>
      </c>
      <c r="C782" s="101"/>
      <c r="D782" s="101"/>
      <c r="E782" s="101"/>
      <c r="F782" s="370" t="s">
        <v>391</v>
      </c>
      <c r="G782" s="361">
        <f t="shared" si="1391"/>
        <v>0</v>
      </c>
      <c r="H782" s="361">
        <f t="shared" si="1391"/>
        <v>0</v>
      </c>
      <c r="I782" s="330">
        <f t="shared" si="1392"/>
        <v>0</v>
      </c>
      <c r="J782" s="330">
        <f t="shared" si="1393"/>
        <v>0</v>
      </c>
      <c r="K782" s="361">
        <f t="shared" si="1394"/>
        <v>0</v>
      </c>
      <c r="L782" s="361">
        <f t="shared" si="1394"/>
        <v>0</v>
      </c>
      <c r="M782" s="361">
        <f t="shared" si="1394"/>
        <v>0</v>
      </c>
      <c r="N782" s="275">
        <f t="shared" si="1395"/>
        <v>0</v>
      </c>
      <c r="O782" s="361">
        <f t="shared" si="1396"/>
        <v>0</v>
      </c>
      <c r="P782" s="361">
        <f t="shared" si="1396"/>
        <v>0</v>
      </c>
      <c r="Q782" s="361">
        <f t="shared" si="1396"/>
        <v>0</v>
      </c>
      <c r="R782" s="361">
        <f t="shared" si="1396"/>
        <v>0</v>
      </c>
      <c r="S782" s="342">
        <f t="shared" si="1397"/>
        <v>0</v>
      </c>
      <c r="T782" s="361">
        <f t="shared" si="1398"/>
        <v>0</v>
      </c>
      <c r="U782" s="361">
        <f t="shared" si="1398"/>
        <v>0</v>
      </c>
      <c r="V782" s="361">
        <f t="shared" si="1398"/>
        <v>0</v>
      </c>
      <c r="W782" s="361">
        <f t="shared" si="1398"/>
        <v>0</v>
      </c>
      <c r="X782" s="342">
        <f t="shared" si="1399"/>
        <v>0</v>
      </c>
      <c r="Y782" s="342">
        <f t="shared" si="1400"/>
        <v>0</v>
      </c>
      <c r="Z782" s="342">
        <f t="shared" si="1401"/>
        <v>0</v>
      </c>
      <c r="AA782" s="157">
        <f t="shared" si="1402"/>
        <v>0</v>
      </c>
      <c r="AB782" s="318">
        <f t="shared" si="1403"/>
        <v>0</v>
      </c>
    </row>
    <row r="783" spans="1:28" s="90" customFormat="1" ht="14.1" hidden="1" customHeight="1" x14ac:dyDescent="0.2">
      <c r="A783" s="301"/>
      <c r="B783" s="350" t="s">
        <v>392</v>
      </c>
      <c r="C783" s="101"/>
      <c r="D783" s="101"/>
      <c r="E783" s="101"/>
      <c r="F783" s="370" t="s">
        <v>393</v>
      </c>
      <c r="G783" s="361">
        <f t="shared" si="1391"/>
        <v>0</v>
      </c>
      <c r="H783" s="361">
        <f t="shared" si="1391"/>
        <v>0</v>
      </c>
      <c r="I783" s="330">
        <f t="shared" si="1392"/>
        <v>0</v>
      </c>
      <c r="J783" s="330">
        <f t="shared" si="1393"/>
        <v>0</v>
      </c>
      <c r="K783" s="361">
        <f t="shared" si="1394"/>
        <v>0</v>
      </c>
      <c r="L783" s="361">
        <f t="shared" si="1394"/>
        <v>0</v>
      </c>
      <c r="M783" s="361">
        <f t="shared" si="1394"/>
        <v>0</v>
      </c>
      <c r="N783" s="275">
        <f t="shared" si="1395"/>
        <v>0</v>
      </c>
      <c r="O783" s="361">
        <f t="shared" si="1396"/>
        <v>0</v>
      </c>
      <c r="P783" s="361">
        <f t="shared" si="1396"/>
        <v>0</v>
      </c>
      <c r="Q783" s="361">
        <f t="shared" si="1396"/>
        <v>0</v>
      </c>
      <c r="R783" s="361">
        <f t="shared" si="1396"/>
        <v>0</v>
      </c>
      <c r="S783" s="342">
        <f t="shared" si="1397"/>
        <v>0</v>
      </c>
      <c r="T783" s="361">
        <f t="shared" si="1398"/>
        <v>0</v>
      </c>
      <c r="U783" s="361">
        <f t="shared" si="1398"/>
        <v>0</v>
      </c>
      <c r="V783" s="361">
        <f t="shared" si="1398"/>
        <v>0</v>
      </c>
      <c r="W783" s="361">
        <f t="shared" si="1398"/>
        <v>0</v>
      </c>
      <c r="X783" s="342">
        <f t="shared" si="1399"/>
        <v>0</v>
      </c>
      <c r="Y783" s="342">
        <f t="shared" si="1400"/>
        <v>0</v>
      </c>
      <c r="Z783" s="342">
        <f t="shared" si="1401"/>
        <v>0</v>
      </c>
      <c r="AA783" s="157">
        <f t="shared" si="1402"/>
        <v>0</v>
      </c>
      <c r="AB783" s="318">
        <f t="shared" si="1403"/>
        <v>0</v>
      </c>
    </row>
    <row r="784" spans="1:28" s="90" customFormat="1" ht="14.1" hidden="1" customHeight="1" x14ac:dyDescent="0.2">
      <c r="A784" s="301"/>
      <c r="B784" s="350" t="s">
        <v>394</v>
      </c>
      <c r="C784" s="101"/>
      <c r="D784" s="101"/>
      <c r="E784" s="101"/>
      <c r="F784" s="370" t="s">
        <v>395</v>
      </c>
      <c r="G784" s="361">
        <f t="shared" si="1391"/>
        <v>0</v>
      </c>
      <c r="H784" s="361">
        <f t="shared" si="1391"/>
        <v>0</v>
      </c>
      <c r="I784" s="330">
        <f t="shared" si="1392"/>
        <v>0</v>
      </c>
      <c r="J784" s="330">
        <f t="shared" si="1393"/>
        <v>0</v>
      </c>
      <c r="K784" s="361">
        <f t="shared" si="1394"/>
        <v>0</v>
      </c>
      <c r="L784" s="361">
        <f t="shared" si="1394"/>
        <v>0</v>
      </c>
      <c r="M784" s="361">
        <f t="shared" si="1394"/>
        <v>0</v>
      </c>
      <c r="N784" s="275">
        <f t="shared" si="1395"/>
        <v>0</v>
      </c>
      <c r="O784" s="361">
        <f t="shared" si="1396"/>
        <v>0</v>
      </c>
      <c r="P784" s="361">
        <f t="shared" si="1396"/>
        <v>0</v>
      </c>
      <c r="Q784" s="361">
        <f t="shared" si="1396"/>
        <v>0</v>
      </c>
      <c r="R784" s="361">
        <f t="shared" si="1396"/>
        <v>0</v>
      </c>
      <c r="S784" s="342">
        <f t="shared" si="1397"/>
        <v>0</v>
      </c>
      <c r="T784" s="361">
        <f t="shared" si="1398"/>
        <v>0</v>
      </c>
      <c r="U784" s="361">
        <f t="shared" si="1398"/>
        <v>0</v>
      </c>
      <c r="V784" s="361">
        <f t="shared" si="1398"/>
        <v>0</v>
      </c>
      <c r="W784" s="361">
        <f t="shared" si="1398"/>
        <v>0</v>
      </c>
      <c r="X784" s="342">
        <f t="shared" si="1399"/>
        <v>0</v>
      </c>
      <c r="Y784" s="342">
        <f t="shared" si="1400"/>
        <v>0</v>
      </c>
      <c r="Z784" s="342">
        <f t="shared" si="1401"/>
        <v>0</v>
      </c>
      <c r="AA784" s="157">
        <f t="shared" si="1402"/>
        <v>0</v>
      </c>
      <c r="AB784" s="318">
        <f t="shared" si="1403"/>
        <v>0</v>
      </c>
    </row>
    <row r="785" spans="1:28" s="90" customFormat="1" ht="14.1" hidden="1" customHeight="1" x14ac:dyDescent="0.2">
      <c r="A785" s="301"/>
      <c r="B785" s="350" t="s">
        <v>396</v>
      </c>
      <c r="C785" s="101"/>
      <c r="D785" s="101"/>
      <c r="E785" s="101"/>
      <c r="F785" s="370" t="s">
        <v>397</v>
      </c>
      <c r="G785" s="361">
        <f t="shared" si="1391"/>
        <v>0</v>
      </c>
      <c r="H785" s="361">
        <f t="shared" si="1391"/>
        <v>0</v>
      </c>
      <c r="I785" s="330">
        <f t="shared" si="1392"/>
        <v>0</v>
      </c>
      <c r="J785" s="330">
        <f t="shared" si="1393"/>
        <v>0</v>
      </c>
      <c r="K785" s="361">
        <f t="shared" si="1394"/>
        <v>0</v>
      </c>
      <c r="L785" s="361">
        <f t="shared" si="1394"/>
        <v>0</v>
      </c>
      <c r="M785" s="361">
        <f t="shared" si="1394"/>
        <v>0</v>
      </c>
      <c r="N785" s="275">
        <f t="shared" si="1395"/>
        <v>0</v>
      </c>
      <c r="O785" s="361">
        <f t="shared" si="1396"/>
        <v>0</v>
      </c>
      <c r="P785" s="361">
        <f t="shared" si="1396"/>
        <v>0</v>
      </c>
      <c r="Q785" s="361">
        <f t="shared" si="1396"/>
        <v>0</v>
      </c>
      <c r="R785" s="361">
        <f t="shared" si="1396"/>
        <v>0</v>
      </c>
      <c r="S785" s="342">
        <f t="shared" si="1397"/>
        <v>0</v>
      </c>
      <c r="T785" s="361">
        <f t="shared" si="1398"/>
        <v>0</v>
      </c>
      <c r="U785" s="361">
        <f t="shared" si="1398"/>
        <v>0</v>
      </c>
      <c r="V785" s="361">
        <f t="shared" si="1398"/>
        <v>0</v>
      </c>
      <c r="W785" s="361">
        <f t="shared" si="1398"/>
        <v>0</v>
      </c>
      <c r="X785" s="342">
        <f t="shared" si="1399"/>
        <v>0</v>
      </c>
      <c r="Y785" s="342">
        <f t="shared" si="1400"/>
        <v>0</v>
      </c>
      <c r="Z785" s="342">
        <f t="shared" si="1401"/>
        <v>0</v>
      </c>
      <c r="AA785" s="157">
        <f t="shared" si="1402"/>
        <v>0</v>
      </c>
      <c r="AB785" s="318">
        <f t="shared" si="1403"/>
        <v>0</v>
      </c>
    </row>
    <row r="786" spans="1:28" s="90" customFormat="1" ht="14.1" hidden="1" customHeight="1" x14ac:dyDescent="0.2">
      <c r="A786" s="301"/>
      <c r="B786" s="350" t="s">
        <v>398</v>
      </c>
      <c r="C786" s="101"/>
      <c r="D786" s="101"/>
      <c r="E786" s="101"/>
      <c r="F786" s="370" t="s">
        <v>399</v>
      </c>
      <c r="G786" s="361">
        <f t="shared" si="1391"/>
        <v>0</v>
      </c>
      <c r="H786" s="361">
        <f t="shared" si="1391"/>
        <v>0</v>
      </c>
      <c r="I786" s="330">
        <f t="shared" si="1392"/>
        <v>0</v>
      </c>
      <c r="J786" s="330">
        <f t="shared" si="1393"/>
        <v>0</v>
      </c>
      <c r="K786" s="361">
        <f t="shared" si="1394"/>
        <v>0</v>
      </c>
      <c r="L786" s="361">
        <f t="shared" si="1394"/>
        <v>0</v>
      </c>
      <c r="M786" s="361">
        <f t="shared" si="1394"/>
        <v>0</v>
      </c>
      <c r="N786" s="275">
        <f t="shared" si="1395"/>
        <v>0</v>
      </c>
      <c r="O786" s="361">
        <f t="shared" si="1396"/>
        <v>0</v>
      </c>
      <c r="P786" s="361">
        <f t="shared" si="1396"/>
        <v>0</v>
      </c>
      <c r="Q786" s="361">
        <f t="shared" si="1396"/>
        <v>0</v>
      </c>
      <c r="R786" s="361">
        <f t="shared" si="1396"/>
        <v>0</v>
      </c>
      <c r="S786" s="342">
        <f t="shared" si="1397"/>
        <v>0</v>
      </c>
      <c r="T786" s="361">
        <f t="shared" si="1398"/>
        <v>0</v>
      </c>
      <c r="U786" s="361">
        <f t="shared" si="1398"/>
        <v>0</v>
      </c>
      <c r="V786" s="361">
        <f t="shared" si="1398"/>
        <v>0</v>
      </c>
      <c r="W786" s="361">
        <f t="shared" si="1398"/>
        <v>0</v>
      </c>
      <c r="X786" s="342">
        <f t="shared" si="1399"/>
        <v>0</v>
      </c>
      <c r="Y786" s="342">
        <f t="shared" si="1400"/>
        <v>0</v>
      </c>
      <c r="Z786" s="342">
        <f t="shared" si="1401"/>
        <v>0</v>
      </c>
      <c r="AA786" s="157">
        <f t="shared" si="1402"/>
        <v>0</v>
      </c>
      <c r="AB786" s="318">
        <f t="shared" si="1403"/>
        <v>0</v>
      </c>
    </row>
    <row r="787" spans="1:28" s="90" customFormat="1" ht="14.1" hidden="1" customHeight="1" x14ac:dyDescent="0.2">
      <c r="A787" s="301"/>
      <c r="B787" s="350" t="s">
        <v>400</v>
      </c>
      <c r="C787" s="101"/>
      <c r="D787" s="101"/>
      <c r="E787" s="101"/>
      <c r="F787" s="370" t="s">
        <v>401</v>
      </c>
      <c r="G787" s="361">
        <f t="shared" si="1391"/>
        <v>0</v>
      </c>
      <c r="H787" s="361">
        <f t="shared" si="1391"/>
        <v>0</v>
      </c>
      <c r="I787" s="330">
        <f t="shared" si="1392"/>
        <v>0</v>
      </c>
      <c r="J787" s="330">
        <f t="shared" si="1393"/>
        <v>0</v>
      </c>
      <c r="K787" s="361">
        <f t="shared" si="1394"/>
        <v>0</v>
      </c>
      <c r="L787" s="361">
        <f t="shared" si="1394"/>
        <v>0</v>
      </c>
      <c r="M787" s="361">
        <f t="shared" si="1394"/>
        <v>0</v>
      </c>
      <c r="N787" s="275">
        <f t="shared" si="1395"/>
        <v>0</v>
      </c>
      <c r="O787" s="361">
        <f t="shared" si="1396"/>
        <v>0</v>
      </c>
      <c r="P787" s="361">
        <f t="shared" si="1396"/>
        <v>0</v>
      </c>
      <c r="Q787" s="361">
        <f t="shared" si="1396"/>
        <v>0</v>
      </c>
      <c r="R787" s="361">
        <f t="shared" si="1396"/>
        <v>0</v>
      </c>
      <c r="S787" s="342">
        <f t="shared" si="1397"/>
        <v>0</v>
      </c>
      <c r="T787" s="361">
        <f t="shared" si="1398"/>
        <v>0</v>
      </c>
      <c r="U787" s="361">
        <f t="shared" si="1398"/>
        <v>0</v>
      </c>
      <c r="V787" s="361">
        <f t="shared" si="1398"/>
        <v>0</v>
      </c>
      <c r="W787" s="361">
        <f t="shared" si="1398"/>
        <v>0</v>
      </c>
      <c r="X787" s="342">
        <f t="shared" si="1399"/>
        <v>0</v>
      </c>
      <c r="Y787" s="342">
        <f t="shared" si="1400"/>
        <v>0</v>
      </c>
      <c r="Z787" s="342">
        <f t="shared" si="1401"/>
        <v>0</v>
      </c>
      <c r="AA787" s="157">
        <f t="shared" si="1402"/>
        <v>0</v>
      </c>
      <c r="AB787" s="318">
        <f t="shared" si="1403"/>
        <v>0</v>
      </c>
    </row>
    <row r="788" spans="1:28" s="90" customFormat="1" ht="14.1" hidden="1" customHeight="1" x14ac:dyDescent="0.2">
      <c r="A788" s="301"/>
      <c r="B788" s="350" t="s">
        <v>402</v>
      </c>
      <c r="C788" s="101"/>
      <c r="D788" s="101"/>
      <c r="E788" s="101"/>
      <c r="F788" s="370" t="s">
        <v>403</v>
      </c>
      <c r="G788" s="361">
        <f t="shared" si="1391"/>
        <v>0</v>
      </c>
      <c r="H788" s="361">
        <f t="shared" si="1391"/>
        <v>0</v>
      </c>
      <c r="I788" s="330">
        <f t="shared" si="1392"/>
        <v>0</v>
      </c>
      <c r="J788" s="330">
        <f t="shared" si="1393"/>
        <v>0</v>
      </c>
      <c r="K788" s="361">
        <f t="shared" si="1394"/>
        <v>0</v>
      </c>
      <c r="L788" s="361">
        <f t="shared" si="1394"/>
        <v>0</v>
      </c>
      <c r="M788" s="361">
        <f t="shared" si="1394"/>
        <v>0</v>
      </c>
      <c r="N788" s="275">
        <f t="shared" si="1395"/>
        <v>0</v>
      </c>
      <c r="O788" s="361">
        <f t="shared" si="1396"/>
        <v>0</v>
      </c>
      <c r="P788" s="361">
        <f t="shared" si="1396"/>
        <v>0</v>
      </c>
      <c r="Q788" s="361">
        <f t="shared" si="1396"/>
        <v>0</v>
      </c>
      <c r="R788" s="361">
        <f t="shared" si="1396"/>
        <v>0</v>
      </c>
      <c r="S788" s="342">
        <f t="shared" si="1397"/>
        <v>0</v>
      </c>
      <c r="T788" s="361">
        <f t="shared" si="1398"/>
        <v>0</v>
      </c>
      <c r="U788" s="361">
        <f t="shared" si="1398"/>
        <v>0</v>
      </c>
      <c r="V788" s="361">
        <f t="shared" si="1398"/>
        <v>0</v>
      </c>
      <c r="W788" s="361">
        <f t="shared" si="1398"/>
        <v>0</v>
      </c>
      <c r="X788" s="342">
        <f t="shared" si="1399"/>
        <v>0</v>
      </c>
      <c r="Y788" s="342">
        <f t="shared" si="1400"/>
        <v>0</v>
      </c>
      <c r="Z788" s="342">
        <f t="shared" si="1401"/>
        <v>0</v>
      </c>
      <c r="AA788" s="157">
        <f t="shared" si="1402"/>
        <v>0</v>
      </c>
      <c r="AB788" s="318">
        <f t="shared" si="1403"/>
        <v>0</v>
      </c>
    </row>
    <row r="789" spans="1:28" s="90" customFormat="1" ht="14.1" hidden="1" customHeight="1" x14ac:dyDescent="0.2">
      <c r="A789" s="301"/>
      <c r="B789" s="350" t="s">
        <v>404</v>
      </c>
      <c r="C789" s="101"/>
      <c r="D789" s="101"/>
      <c r="E789" s="101"/>
      <c r="F789" s="370" t="s">
        <v>405</v>
      </c>
      <c r="G789" s="361">
        <f t="shared" si="1391"/>
        <v>0</v>
      </c>
      <c r="H789" s="361">
        <f t="shared" si="1391"/>
        <v>0</v>
      </c>
      <c r="I789" s="330">
        <f t="shared" si="1392"/>
        <v>0</v>
      </c>
      <c r="J789" s="330">
        <f t="shared" si="1393"/>
        <v>0</v>
      </c>
      <c r="K789" s="361">
        <f t="shared" si="1394"/>
        <v>0</v>
      </c>
      <c r="L789" s="361">
        <f t="shared" si="1394"/>
        <v>0</v>
      </c>
      <c r="M789" s="361">
        <f t="shared" si="1394"/>
        <v>0</v>
      </c>
      <c r="N789" s="275">
        <f t="shared" si="1395"/>
        <v>0</v>
      </c>
      <c r="O789" s="361">
        <f t="shared" si="1396"/>
        <v>0</v>
      </c>
      <c r="P789" s="361">
        <f t="shared" si="1396"/>
        <v>0</v>
      </c>
      <c r="Q789" s="361">
        <f t="shared" si="1396"/>
        <v>0</v>
      </c>
      <c r="R789" s="361">
        <f t="shared" si="1396"/>
        <v>0</v>
      </c>
      <c r="S789" s="342">
        <f t="shared" si="1397"/>
        <v>0</v>
      </c>
      <c r="T789" s="361">
        <f t="shared" si="1398"/>
        <v>0</v>
      </c>
      <c r="U789" s="361">
        <f t="shared" si="1398"/>
        <v>0</v>
      </c>
      <c r="V789" s="361">
        <f t="shared" si="1398"/>
        <v>0</v>
      </c>
      <c r="W789" s="361">
        <f t="shared" si="1398"/>
        <v>0</v>
      </c>
      <c r="X789" s="342">
        <f t="shared" si="1399"/>
        <v>0</v>
      </c>
      <c r="Y789" s="342">
        <f t="shared" si="1400"/>
        <v>0</v>
      </c>
      <c r="Z789" s="342">
        <f t="shared" si="1401"/>
        <v>0</v>
      </c>
      <c r="AA789" s="157">
        <f t="shared" si="1402"/>
        <v>0</v>
      </c>
      <c r="AB789" s="318">
        <f t="shared" si="1403"/>
        <v>0</v>
      </c>
    </row>
    <row r="790" spans="1:28" s="90" customFormat="1" ht="14.1" hidden="1" customHeight="1" x14ac:dyDescent="0.2">
      <c r="A790" s="301"/>
      <c r="B790" s="350" t="s">
        <v>727</v>
      </c>
      <c r="C790" s="718"/>
      <c r="D790" s="718"/>
      <c r="E790" s="718"/>
      <c r="F790" s="370" t="s">
        <v>728</v>
      </c>
      <c r="G790" s="361">
        <f t="shared" si="1391"/>
        <v>0</v>
      </c>
      <c r="H790" s="361">
        <f t="shared" si="1391"/>
        <v>0</v>
      </c>
      <c r="I790" s="330">
        <f t="shared" ref="I790" si="1404">G790+H790</f>
        <v>0</v>
      </c>
      <c r="J790" s="330">
        <f t="shared" ref="J790" si="1405">I790</f>
        <v>0</v>
      </c>
      <c r="K790" s="361">
        <f t="shared" si="1394"/>
        <v>0</v>
      </c>
      <c r="L790" s="361">
        <f t="shared" si="1394"/>
        <v>0</v>
      </c>
      <c r="M790" s="361">
        <f t="shared" si="1394"/>
        <v>0</v>
      </c>
      <c r="N790" s="275">
        <f t="shared" si="1395"/>
        <v>0</v>
      </c>
      <c r="O790" s="361">
        <f t="shared" si="1396"/>
        <v>0</v>
      </c>
      <c r="P790" s="361">
        <f t="shared" si="1396"/>
        <v>0</v>
      </c>
      <c r="Q790" s="361">
        <f t="shared" si="1396"/>
        <v>0</v>
      </c>
      <c r="R790" s="361">
        <f t="shared" si="1396"/>
        <v>0</v>
      </c>
      <c r="S790" s="342">
        <f t="shared" ref="S790" si="1406">SUM(O790:R790)</f>
        <v>0</v>
      </c>
      <c r="T790" s="361">
        <f t="shared" si="1398"/>
        <v>0</v>
      </c>
      <c r="U790" s="361">
        <f t="shared" si="1398"/>
        <v>0</v>
      </c>
      <c r="V790" s="361">
        <f t="shared" si="1398"/>
        <v>0</v>
      </c>
      <c r="W790" s="361">
        <f t="shared" si="1398"/>
        <v>0</v>
      </c>
      <c r="X790" s="342">
        <f t="shared" ref="X790" si="1407">SUM(T790:W790)</f>
        <v>0</v>
      </c>
      <c r="Y790" s="342">
        <f t="shared" ref="Y790" si="1408">I790-N790</f>
        <v>0</v>
      </c>
      <c r="Z790" s="342">
        <f t="shared" ref="Z790" si="1409">N790-S790</f>
        <v>0</v>
      </c>
      <c r="AA790" s="157">
        <f t="shared" si="1402"/>
        <v>0</v>
      </c>
      <c r="AB790" s="318">
        <f t="shared" ref="AB790" si="1410">+S790-X790-AA790</f>
        <v>0</v>
      </c>
    </row>
    <row r="791" spans="1:28" s="90" customFormat="1" ht="14.1" hidden="1" customHeight="1" x14ac:dyDescent="0.2">
      <c r="A791" s="301"/>
      <c r="B791" s="350" t="s">
        <v>406</v>
      </c>
      <c r="C791" s="101"/>
      <c r="D791" s="101"/>
      <c r="E791" s="101"/>
      <c r="F791" s="370" t="s">
        <v>407</v>
      </c>
      <c r="G791" s="361">
        <f t="shared" si="1391"/>
        <v>0</v>
      </c>
      <c r="H791" s="361">
        <f t="shared" si="1391"/>
        <v>0</v>
      </c>
      <c r="I791" s="330">
        <f t="shared" si="1392"/>
        <v>0</v>
      </c>
      <c r="J791" s="330">
        <f t="shared" si="1393"/>
        <v>0</v>
      </c>
      <c r="K791" s="361">
        <f t="shared" si="1394"/>
        <v>0</v>
      </c>
      <c r="L791" s="361">
        <f t="shared" si="1394"/>
        <v>0</v>
      </c>
      <c r="M791" s="361">
        <f t="shared" si="1394"/>
        <v>0</v>
      </c>
      <c r="N791" s="275">
        <f t="shared" si="1395"/>
        <v>0</v>
      </c>
      <c r="O791" s="361">
        <f t="shared" si="1396"/>
        <v>0</v>
      </c>
      <c r="P791" s="361">
        <f t="shared" si="1396"/>
        <v>0</v>
      </c>
      <c r="Q791" s="361">
        <f t="shared" si="1396"/>
        <v>0</v>
      </c>
      <c r="R791" s="361">
        <f t="shared" si="1396"/>
        <v>0</v>
      </c>
      <c r="S791" s="342">
        <f t="shared" si="1397"/>
        <v>0</v>
      </c>
      <c r="T791" s="361">
        <f t="shared" si="1398"/>
        <v>0</v>
      </c>
      <c r="U791" s="361">
        <f t="shared" si="1398"/>
        <v>0</v>
      </c>
      <c r="V791" s="361">
        <f t="shared" si="1398"/>
        <v>0</v>
      </c>
      <c r="W791" s="361">
        <f t="shared" si="1398"/>
        <v>0</v>
      </c>
      <c r="X791" s="342">
        <f t="shared" si="1399"/>
        <v>0</v>
      </c>
      <c r="Y791" s="342">
        <f t="shared" si="1400"/>
        <v>0</v>
      </c>
      <c r="Z791" s="342">
        <f t="shared" si="1401"/>
        <v>0</v>
      </c>
      <c r="AA791" s="157">
        <f t="shared" si="1402"/>
        <v>0</v>
      </c>
      <c r="AB791" s="318">
        <f t="shared" si="1403"/>
        <v>0</v>
      </c>
    </row>
    <row r="792" spans="1:28" s="90" customFormat="1" ht="14.1" customHeight="1" x14ac:dyDescent="0.2">
      <c r="A792" s="301"/>
      <c r="B792" s="351" t="s">
        <v>408</v>
      </c>
      <c r="C792" s="101"/>
      <c r="D792" s="101"/>
      <c r="E792" s="101"/>
      <c r="F792" s="370"/>
      <c r="G792" s="321"/>
      <c r="H792" s="321"/>
      <c r="I792" s="321"/>
      <c r="J792" s="321"/>
      <c r="K792" s="321"/>
      <c r="L792" s="321"/>
      <c r="M792" s="321"/>
      <c r="N792" s="332"/>
      <c r="O792" s="321"/>
      <c r="P792" s="321"/>
      <c r="Q792" s="321"/>
      <c r="R792" s="321"/>
      <c r="S792" s="332"/>
      <c r="T792" s="321"/>
      <c r="U792" s="321"/>
      <c r="V792" s="321"/>
      <c r="W792" s="321"/>
      <c r="X792" s="332"/>
      <c r="Y792" s="332"/>
      <c r="Z792" s="332"/>
      <c r="AA792" s="332"/>
      <c r="AB792" s="302"/>
    </row>
    <row r="793" spans="1:28" s="90" customFormat="1" ht="14.1" customHeight="1" x14ac:dyDescent="0.2">
      <c r="A793" s="301"/>
      <c r="B793" s="350" t="s">
        <v>409</v>
      </c>
      <c r="C793" s="101"/>
      <c r="D793" s="101"/>
      <c r="E793" s="101"/>
      <c r="F793" s="370" t="s">
        <v>410</v>
      </c>
      <c r="G793" s="361">
        <f t="shared" ref="G793:H795" si="1411">G898+G1005+G1081+G1187</f>
        <v>2601.88</v>
      </c>
      <c r="H793" s="361">
        <f t="shared" si="1411"/>
        <v>0</v>
      </c>
      <c r="I793" s="330">
        <f t="shared" ref="I793:I795" si="1412">G793+H793</f>
        <v>2601.88</v>
      </c>
      <c r="J793" s="330">
        <f t="shared" ref="J793:J795" si="1413">I793</f>
        <v>2601.88</v>
      </c>
      <c r="K793" s="361">
        <f t="shared" ref="K793:M795" si="1414">K898+K1005+K1081+K1187</f>
        <v>0</v>
      </c>
      <c r="L793" s="361">
        <f t="shared" si="1414"/>
        <v>0</v>
      </c>
      <c r="M793" s="361">
        <f t="shared" si="1414"/>
        <v>0</v>
      </c>
      <c r="N793" s="275">
        <f t="shared" ref="N793:N795" si="1415">J793+K793-L793+M793</f>
        <v>2601.88</v>
      </c>
      <c r="O793" s="361">
        <f t="shared" ref="O793:R795" si="1416">O898+O1005+O1081+O1187</f>
        <v>0</v>
      </c>
      <c r="P793" s="361">
        <f t="shared" si="1416"/>
        <v>0</v>
      </c>
      <c r="Q793" s="361">
        <f t="shared" si="1416"/>
        <v>2229.06</v>
      </c>
      <c r="R793" s="361">
        <f t="shared" si="1416"/>
        <v>372.82</v>
      </c>
      <c r="S793" s="342">
        <f t="shared" ref="S793:S795" si="1417">SUM(O793:R793)</f>
        <v>2601.88</v>
      </c>
      <c r="T793" s="361">
        <f t="shared" ref="T793:W795" si="1418">T898+T1005+T1081+T1187</f>
        <v>0</v>
      </c>
      <c r="U793" s="361">
        <f t="shared" si="1418"/>
        <v>0</v>
      </c>
      <c r="V793" s="361">
        <f t="shared" si="1418"/>
        <v>2229.06</v>
      </c>
      <c r="W793" s="361">
        <f t="shared" si="1418"/>
        <v>372.82</v>
      </c>
      <c r="X793" s="342">
        <f t="shared" ref="X793:X795" si="1419">SUM(T793:W793)</f>
        <v>2601.88</v>
      </c>
      <c r="Y793" s="342">
        <f t="shared" ref="Y793:Y795" si="1420">I793-N793</f>
        <v>0</v>
      </c>
      <c r="Z793" s="342">
        <f t="shared" ref="Z793:Z795" si="1421">N793-S793</f>
        <v>0</v>
      </c>
      <c r="AA793" s="157">
        <f>AA898+AA1005+AA1081+AA1187</f>
        <v>0</v>
      </c>
      <c r="AB793" s="318">
        <f t="shared" ref="AB793:AB795" si="1422">+S793-X793-AA793</f>
        <v>0</v>
      </c>
    </row>
    <row r="794" spans="1:28" s="90" customFormat="1" ht="14.1" customHeight="1" x14ac:dyDescent="0.2">
      <c r="A794" s="301"/>
      <c r="B794" s="350" t="s">
        <v>411</v>
      </c>
      <c r="C794" s="101"/>
      <c r="D794" s="101"/>
      <c r="E794" s="101"/>
      <c r="F794" s="370" t="s">
        <v>412</v>
      </c>
      <c r="G794" s="361">
        <f t="shared" si="1411"/>
        <v>20746.25</v>
      </c>
      <c r="H794" s="361">
        <f t="shared" si="1411"/>
        <v>0</v>
      </c>
      <c r="I794" s="330">
        <f t="shared" si="1412"/>
        <v>20746.25</v>
      </c>
      <c r="J794" s="330">
        <f t="shared" si="1413"/>
        <v>20746.25</v>
      </c>
      <c r="K794" s="361">
        <f t="shared" si="1414"/>
        <v>0</v>
      </c>
      <c r="L794" s="361">
        <f t="shared" si="1414"/>
        <v>0</v>
      </c>
      <c r="M794" s="361">
        <f t="shared" si="1414"/>
        <v>0</v>
      </c>
      <c r="N794" s="275">
        <f t="shared" si="1415"/>
        <v>20746.25</v>
      </c>
      <c r="O794" s="361">
        <f t="shared" si="1416"/>
        <v>0</v>
      </c>
      <c r="P794" s="361">
        <f t="shared" si="1416"/>
        <v>0</v>
      </c>
      <c r="Q794" s="361">
        <f t="shared" si="1416"/>
        <v>2311.25</v>
      </c>
      <c r="R794" s="361">
        <f t="shared" si="1416"/>
        <v>1500</v>
      </c>
      <c r="S794" s="342">
        <f t="shared" si="1417"/>
        <v>3811.25</v>
      </c>
      <c r="T794" s="361">
        <f t="shared" si="1418"/>
        <v>0</v>
      </c>
      <c r="U794" s="361">
        <f t="shared" si="1418"/>
        <v>0</v>
      </c>
      <c r="V794" s="361">
        <f t="shared" si="1418"/>
        <v>2311.25</v>
      </c>
      <c r="W794" s="361">
        <f t="shared" si="1418"/>
        <v>1500</v>
      </c>
      <c r="X794" s="342">
        <f t="shared" si="1419"/>
        <v>3811.25</v>
      </c>
      <c r="Y794" s="342">
        <f t="shared" si="1420"/>
        <v>0</v>
      </c>
      <c r="Z794" s="342">
        <f t="shared" si="1421"/>
        <v>16935</v>
      </c>
      <c r="AA794" s="157">
        <f>AA899+AA1006+AA1082+AA1188</f>
        <v>0</v>
      </c>
      <c r="AB794" s="318">
        <f t="shared" si="1422"/>
        <v>0</v>
      </c>
    </row>
    <row r="795" spans="1:28" s="90" customFormat="1" ht="14.1" customHeight="1" x14ac:dyDescent="0.2">
      <c r="A795" s="301"/>
      <c r="B795" s="350" t="s">
        <v>413</v>
      </c>
      <c r="C795" s="101"/>
      <c r="D795" s="101"/>
      <c r="E795" s="101"/>
      <c r="F795" s="370" t="s">
        <v>414</v>
      </c>
      <c r="G795" s="361">
        <f t="shared" si="1411"/>
        <v>33056.720000000001</v>
      </c>
      <c r="H795" s="361">
        <f t="shared" si="1411"/>
        <v>0</v>
      </c>
      <c r="I795" s="330">
        <f t="shared" si="1412"/>
        <v>33056.720000000001</v>
      </c>
      <c r="J795" s="330">
        <f t="shared" si="1413"/>
        <v>33056.720000000001</v>
      </c>
      <c r="K795" s="361">
        <f t="shared" si="1414"/>
        <v>0</v>
      </c>
      <c r="L795" s="361">
        <f t="shared" si="1414"/>
        <v>0</v>
      </c>
      <c r="M795" s="361">
        <f t="shared" si="1414"/>
        <v>0</v>
      </c>
      <c r="N795" s="275">
        <f t="shared" si="1415"/>
        <v>33056.720000000001</v>
      </c>
      <c r="O795" s="361">
        <f t="shared" si="1416"/>
        <v>0</v>
      </c>
      <c r="P795" s="361">
        <f t="shared" si="1416"/>
        <v>0</v>
      </c>
      <c r="Q795" s="361">
        <f t="shared" si="1416"/>
        <v>33056.720000000001</v>
      </c>
      <c r="R795" s="361">
        <f t="shared" si="1416"/>
        <v>0</v>
      </c>
      <c r="S795" s="342">
        <f t="shared" si="1417"/>
        <v>33056.720000000001</v>
      </c>
      <c r="T795" s="361">
        <f t="shared" si="1418"/>
        <v>0</v>
      </c>
      <c r="U795" s="361">
        <f t="shared" si="1418"/>
        <v>0</v>
      </c>
      <c r="V795" s="361">
        <f t="shared" si="1418"/>
        <v>33056.720000000001</v>
      </c>
      <c r="W795" s="361">
        <f t="shared" si="1418"/>
        <v>0</v>
      </c>
      <c r="X795" s="342">
        <f t="shared" si="1419"/>
        <v>33056.720000000001</v>
      </c>
      <c r="Y795" s="342">
        <f t="shared" si="1420"/>
        <v>0</v>
      </c>
      <c r="Z795" s="342">
        <f t="shared" si="1421"/>
        <v>0</v>
      </c>
      <c r="AA795" s="157">
        <f>AA900+AA1007+AA1083+AA1189</f>
        <v>0</v>
      </c>
      <c r="AB795" s="318">
        <f t="shared" si="1422"/>
        <v>0</v>
      </c>
    </row>
    <row r="796" spans="1:28" s="90" customFormat="1" ht="14.1" customHeight="1" x14ac:dyDescent="0.2">
      <c r="A796" s="301"/>
      <c r="B796" s="351" t="s">
        <v>415</v>
      </c>
      <c r="C796" s="101"/>
      <c r="D796" s="101"/>
      <c r="E796" s="101"/>
      <c r="F796" s="370"/>
      <c r="G796" s="321"/>
      <c r="H796" s="321"/>
      <c r="I796" s="321"/>
      <c r="J796" s="321"/>
      <c r="K796" s="321"/>
      <c r="L796" s="321"/>
      <c r="M796" s="321"/>
      <c r="N796" s="332"/>
      <c r="O796" s="321"/>
      <c r="P796" s="321"/>
      <c r="Q796" s="321"/>
      <c r="R796" s="321"/>
      <c r="S796" s="332"/>
      <c r="T796" s="321"/>
      <c r="U796" s="321"/>
      <c r="V796" s="321"/>
      <c r="W796" s="321"/>
      <c r="X796" s="332"/>
      <c r="Y796" s="332"/>
      <c r="Z796" s="332"/>
      <c r="AA796" s="332"/>
      <c r="AB796" s="302"/>
    </row>
    <row r="797" spans="1:28" s="90" customFormat="1" ht="14.1" hidden="1" customHeight="1" x14ac:dyDescent="0.2">
      <c r="A797" s="301"/>
      <c r="B797" s="350" t="s">
        <v>416</v>
      </c>
      <c r="C797" s="101"/>
      <c r="D797" s="101"/>
      <c r="E797" s="101"/>
      <c r="F797" s="370" t="s">
        <v>417</v>
      </c>
      <c r="G797" s="361">
        <f t="shared" ref="G797:H809" si="1423">G902+G1009+G1085+G1191</f>
        <v>16596.43</v>
      </c>
      <c r="H797" s="361">
        <f t="shared" si="1423"/>
        <v>0</v>
      </c>
      <c r="I797" s="330">
        <f t="shared" ref="I797:I806" si="1424">G797+H797</f>
        <v>16596.43</v>
      </c>
      <c r="J797" s="330">
        <f t="shared" ref="J797:J806" si="1425">I797</f>
        <v>16596.43</v>
      </c>
      <c r="K797" s="361">
        <f t="shared" ref="K797:M809" si="1426">K902+K1009+K1085+K1191</f>
        <v>0</v>
      </c>
      <c r="L797" s="361">
        <f t="shared" si="1426"/>
        <v>0</v>
      </c>
      <c r="M797" s="361">
        <f t="shared" si="1426"/>
        <v>0</v>
      </c>
      <c r="N797" s="275">
        <f t="shared" ref="N797:N809" si="1427">J797+K797-L797+M797</f>
        <v>16596.43</v>
      </c>
      <c r="O797" s="361">
        <f t="shared" ref="O797:R809" si="1428">O902+O1009+O1085+O1191</f>
        <v>0</v>
      </c>
      <c r="P797" s="361">
        <f t="shared" si="1428"/>
        <v>0</v>
      </c>
      <c r="Q797" s="361">
        <f t="shared" si="1428"/>
        <v>0</v>
      </c>
      <c r="R797" s="361">
        <f t="shared" si="1428"/>
        <v>0</v>
      </c>
      <c r="S797" s="342">
        <f t="shared" ref="S797:S806" si="1429">SUM(O797:R797)</f>
        <v>0</v>
      </c>
      <c r="T797" s="361">
        <f t="shared" ref="T797:W809" si="1430">T902+T1009+T1085+T1191</f>
        <v>0</v>
      </c>
      <c r="U797" s="361">
        <f t="shared" si="1430"/>
        <v>0</v>
      </c>
      <c r="V797" s="361">
        <f t="shared" si="1430"/>
        <v>0</v>
      </c>
      <c r="W797" s="361">
        <f t="shared" si="1430"/>
        <v>0</v>
      </c>
      <c r="X797" s="342">
        <f t="shared" ref="X797:X806" si="1431">SUM(T797:W797)</f>
        <v>0</v>
      </c>
      <c r="Y797" s="342">
        <f t="shared" ref="Y797:Y806" si="1432">I797-N797</f>
        <v>0</v>
      </c>
      <c r="Z797" s="342">
        <f t="shared" ref="Z797:Z806" si="1433">N797-S797</f>
        <v>16596.43</v>
      </c>
      <c r="AA797" s="157">
        <f t="shared" ref="AA797:AA809" si="1434">AA902+AA1009+AA1085+AA1191</f>
        <v>0</v>
      </c>
      <c r="AB797" s="318">
        <f t="shared" ref="AB797:AB806" si="1435">+S797-X797-AA797</f>
        <v>0</v>
      </c>
    </row>
    <row r="798" spans="1:28" s="90" customFormat="1" ht="14.1" customHeight="1" x14ac:dyDescent="0.2">
      <c r="A798" s="301"/>
      <c r="B798" s="350" t="s">
        <v>418</v>
      </c>
      <c r="C798" s="101"/>
      <c r="D798" s="101"/>
      <c r="E798" s="101"/>
      <c r="F798" s="370" t="s">
        <v>419</v>
      </c>
      <c r="G798" s="361">
        <f t="shared" si="1423"/>
        <v>52000</v>
      </c>
      <c r="H798" s="361">
        <f t="shared" si="1423"/>
        <v>0</v>
      </c>
      <c r="I798" s="330">
        <f t="shared" si="1424"/>
        <v>52000</v>
      </c>
      <c r="J798" s="330">
        <f t="shared" si="1425"/>
        <v>52000</v>
      </c>
      <c r="K798" s="361">
        <f t="shared" si="1426"/>
        <v>0</v>
      </c>
      <c r="L798" s="361">
        <f t="shared" si="1426"/>
        <v>0</v>
      </c>
      <c r="M798" s="361">
        <f t="shared" si="1426"/>
        <v>0</v>
      </c>
      <c r="N798" s="275">
        <f t="shared" si="1427"/>
        <v>52000</v>
      </c>
      <c r="O798" s="361">
        <f t="shared" si="1428"/>
        <v>0</v>
      </c>
      <c r="P798" s="361">
        <f t="shared" si="1428"/>
        <v>0</v>
      </c>
      <c r="Q798" s="361">
        <f t="shared" si="1428"/>
        <v>0</v>
      </c>
      <c r="R798" s="361">
        <f t="shared" si="1428"/>
        <v>30000</v>
      </c>
      <c r="S798" s="342">
        <f t="shared" si="1429"/>
        <v>30000</v>
      </c>
      <c r="T798" s="361">
        <f t="shared" si="1430"/>
        <v>0</v>
      </c>
      <c r="U798" s="361">
        <f t="shared" si="1430"/>
        <v>0</v>
      </c>
      <c r="V798" s="361">
        <f t="shared" si="1430"/>
        <v>0</v>
      </c>
      <c r="W798" s="361">
        <f t="shared" si="1430"/>
        <v>30000</v>
      </c>
      <c r="X798" s="342">
        <f t="shared" si="1431"/>
        <v>30000</v>
      </c>
      <c r="Y798" s="342">
        <f t="shared" si="1432"/>
        <v>0</v>
      </c>
      <c r="Z798" s="342">
        <f t="shared" si="1433"/>
        <v>22000</v>
      </c>
      <c r="AA798" s="157">
        <f t="shared" si="1434"/>
        <v>0</v>
      </c>
      <c r="AB798" s="318">
        <f t="shared" si="1435"/>
        <v>0</v>
      </c>
    </row>
    <row r="799" spans="1:28" s="90" customFormat="1" ht="14.1" hidden="1" customHeight="1" x14ac:dyDescent="0.2">
      <c r="A799" s="301"/>
      <c r="B799" s="350" t="s">
        <v>420</v>
      </c>
      <c r="C799" s="101"/>
      <c r="D799" s="101"/>
      <c r="E799" s="101"/>
      <c r="F799" s="370" t="s">
        <v>421</v>
      </c>
      <c r="G799" s="361">
        <f t="shared" si="1423"/>
        <v>0</v>
      </c>
      <c r="H799" s="361">
        <f t="shared" si="1423"/>
        <v>0</v>
      </c>
      <c r="I799" s="330">
        <f t="shared" si="1424"/>
        <v>0</v>
      </c>
      <c r="J799" s="330">
        <f t="shared" si="1425"/>
        <v>0</v>
      </c>
      <c r="K799" s="361">
        <f t="shared" si="1426"/>
        <v>0</v>
      </c>
      <c r="L799" s="361">
        <f t="shared" si="1426"/>
        <v>0</v>
      </c>
      <c r="M799" s="361">
        <f t="shared" si="1426"/>
        <v>0</v>
      </c>
      <c r="N799" s="275">
        <f t="shared" si="1427"/>
        <v>0</v>
      </c>
      <c r="O799" s="361">
        <f t="shared" si="1428"/>
        <v>0</v>
      </c>
      <c r="P799" s="361">
        <f t="shared" si="1428"/>
        <v>0</v>
      </c>
      <c r="Q799" s="361">
        <f t="shared" si="1428"/>
        <v>0</v>
      </c>
      <c r="R799" s="361">
        <f t="shared" si="1428"/>
        <v>0</v>
      </c>
      <c r="S799" s="342">
        <f t="shared" si="1429"/>
        <v>0</v>
      </c>
      <c r="T799" s="361">
        <f t="shared" si="1430"/>
        <v>0</v>
      </c>
      <c r="U799" s="361">
        <f t="shared" si="1430"/>
        <v>0</v>
      </c>
      <c r="V799" s="361">
        <f t="shared" si="1430"/>
        <v>0</v>
      </c>
      <c r="W799" s="361">
        <f t="shared" si="1430"/>
        <v>0</v>
      </c>
      <c r="X799" s="342">
        <f t="shared" si="1431"/>
        <v>0</v>
      </c>
      <c r="Y799" s="342">
        <f t="shared" si="1432"/>
        <v>0</v>
      </c>
      <c r="Z799" s="342">
        <f t="shared" si="1433"/>
        <v>0</v>
      </c>
      <c r="AA799" s="157">
        <f t="shared" si="1434"/>
        <v>0</v>
      </c>
      <c r="AB799" s="318">
        <f t="shared" si="1435"/>
        <v>0</v>
      </c>
    </row>
    <row r="800" spans="1:28" s="90" customFormat="1" ht="14.1" customHeight="1" x14ac:dyDescent="0.2">
      <c r="A800" s="301"/>
      <c r="B800" s="350" t="s">
        <v>422</v>
      </c>
      <c r="C800" s="101"/>
      <c r="D800" s="101"/>
      <c r="E800" s="101"/>
      <c r="F800" s="370" t="s">
        <v>423</v>
      </c>
      <c r="G800" s="361">
        <f t="shared" si="1423"/>
        <v>27000</v>
      </c>
      <c r="H800" s="361">
        <f t="shared" si="1423"/>
        <v>0</v>
      </c>
      <c r="I800" s="330">
        <f t="shared" si="1424"/>
        <v>27000</v>
      </c>
      <c r="J800" s="330">
        <f t="shared" si="1425"/>
        <v>27000</v>
      </c>
      <c r="K800" s="361">
        <f t="shared" si="1426"/>
        <v>0</v>
      </c>
      <c r="L800" s="361">
        <f t="shared" si="1426"/>
        <v>0</v>
      </c>
      <c r="M800" s="361">
        <f t="shared" si="1426"/>
        <v>0</v>
      </c>
      <c r="N800" s="275">
        <f t="shared" si="1427"/>
        <v>27000</v>
      </c>
      <c r="O800" s="361">
        <f t="shared" si="1428"/>
        <v>0</v>
      </c>
      <c r="P800" s="361">
        <f t="shared" si="1428"/>
        <v>12650</v>
      </c>
      <c r="Q800" s="361">
        <f t="shared" si="1428"/>
        <v>14350</v>
      </c>
      <c r="R800" s="361">
        <f t="shared" si="1428"/>
        <v>0</v>
      </c>
      <c r="S800" s="342">
        <f t="shared" si="1429"/>
        <v>27000</v>
      </c>
      <c r="T800" s="361">
        <f t="shared" si="1430"/>
        <v>0</v>
      </c>
      <c r="U800" s="361">
        <f t="shared" si="1430"/>
        <v>12650</v>
      </c>
      <c r="V800" s="361">
        <f t="shared" si="1430"/>
        <v>14350</v>
      </c>
      <c r="W800" s="361">
        <f t="shared" si="1430"/>
        <v>0</v>
      </c>
      <c r="X800" s="342">
        <f t="shared" si="1431"/>
        <v>27000</v>
      </c>
      <c r="Y800" s="342">
        <f t="shared" si="1432"/>
        <v>0</v>
      </c>
      <c r="Z800" s="342">
        <f t="shared" si="1433"/>
        <v>0</v>
      </c>
      <c r="AA800" s="157">
        <f t="shared" si="1434"/>
        <v>0</v>
      </c>
      <c r="AB800" s="318">
        <f t="shared" si="1435"/>
        <v>0</v>
      </c>
    </row>
    <row r="801" spans="1:28" s="90" customFormat="1" ht="14.1" customHeight="1" x14ac:dyDescent="0.2">
      <c r="A801" s="301"/>
      <c r="B801" s="350" t="s">
        <v>424</v>
      </c>
      <c r="C801" s="101"/>
      <c r="D801" s="101"/>
      <c r="E801" s="101"/>
      <c r="F801" s="370" t="s">
        <v>425</v>
      </c>
      <c r="G801" s="361">
        <f t="shared" si="1423"/>
        <v>5871.4</v>
      </c>
      <c r="H801" s="361">
        <f t="shared" si="1423"/>
        <v>0</v>
      </c>
      <c r="I801" s="330">
        <f t="shared" si="1424"/>
        <v>5871.4</v>
      </c>
      <c r="J801" s="330">
        <f t="shared" si="1425"/>
        <v>5871.4</v>
      </c>
      <c r="K801" s="361">
        <f t="shared" si="1426"/>
        <v>0</v>
      </c>
      <c r="L801" s="361">
        <f t="shared" si="1426"/>
        <v>0</v>
      </c>
      <c r="M801" s="361">
        <f t="shared" si="1426"/>
        <v>0</v>
      </c>
      <c r="N801" s="275">
        <f t="shared" si="1427"/>
        <v>5871.4</v>
      </c>
      <c r="O801" s="361">
        <f t="shared" si="1428"/>
        <v>0</v>
      </c>
      <c r="P801" s="361">
        <f t="shared" si="1428"/>
        <v>5090</v>
      </c>
      <c r="Q801" s="361">
        <f t="shared" si="1428"/>
        <v>781.4</v>
      </c>
      <c r="R801" s="361">
        <f t="shared" si="1428"/>
        <v>0</v>
      </c>
      <c r="S801" s="342">
        <f t="shared" si="1429"/>
        <v>5871.4</v>
      </c>
      <c r="T801" s="361">
        <f t="shared" si="1430"/>
        <v>0</v>
      </c>
      <c r="U801" s="361">
        <f t="shared" si="1430"/>
        <v>5090</v>
      </c>
      <c r="V801" s="361">
        <f t="shared" si="1430"/>
        <v>781.4</v>
      </c>
      <c r="W801" s="361">
        <f t="shared" si="1430"/>
        <v>0</v>
      </c>
      <c r="X801" s="342">
        <f t="shared" si="1431"/>
        <v>5871.4</v>
      </c>
      <c r="Y801" s="342">
        <f t="shared" si="1432"/>
        <v>0</v>
      </c>
      <c r="Z801" s="342">
        <f t="shared" si="1433"/>
        <v>0</v>
      </c>
      <c r="AA801" s="157">
        <f t="shared" si="1434"/>
        <v>0</v>
      </c>
      <c r="AB801" s="318">
        <f t="shared" si="1435"/>
        <v>0</v>
      </c>
    </row>
    <row r="802" spans="1:28" s="90" customFormat="1" ht="14.1" hidden="1" customHeight="1" x14ac:dyDescent="0.2">
      <c r="A802" s="301"/>
      <c r="B802" s="350" t="s">
        <v>426</v>
      </c>
      <c r="C802" s="101"/>
      <c r="D802" s="101"/>
      <c r="E802" s="101"/>
      <c r="F802" s="370" t="s">
        <v>427</v>
      </c>
      <c r="G802" s="361">
        <f t="shared" si="1423"/>
        <v>0</v>
      </c>
      <c r="H802" s="361">
        <f t="shared" si="1423"/>
        <v>0</v>
      </c>
      <c r="I802" s="330">
        <f t="shared" si="1424"/>
        <v>0</v>
      </c>
      <c r="J802" s="330">
        <f t="shared" si="1425"/>
        <v>0</v>
      </c>
      <c r="K802" s="361">
        <f t="shared" si="1426"/>
        <v>0</v>
      </c>
      <c r="L802" s="361">
        <f t="shared" si="1426"/>
        <v>0</v>
      </c>
      <c r="M802" s="361">
        <f t="shared" si="1426"/>
        <v>0</v>
      </c>
      <c r="N802" s="275">
        <f t="shared" si="1427"/>
        <v>0</v>
      </c>
      <c r="O802" s="361">
        <f t="shared" si="1428"/>
        <v>0</v>
      </c>
      <c r="P802" s="361">
        <f t="shared" si="1428"/>
        <v>0</v>
      </c>
      <c r="Q802" s="361">
        <f t="shared" si="1428"/>
        <v>0</v>
      </c>
      <c r="R802" s="361">
        <f t="shared" si="1428"/>
        <v>0</v>
      </c>
      <c r="S802" s="342">
        <f t="shared" si="1429"/>
        <v>0</v>
      </c>
      <c r="T802" s="361">
        <f t="shared" si="1430"/>
        <v>0</v>
      </c>
      <c r="U802" s="361">
        <f t="shared" si="1430"/>
        <v>0</v>
      </c>
      <c r="V802" s="361">
        <f t="shared" si="1430"/>
        <v>0</v>
      </c>
      <c r="W802" s="361">
        <f t="shared" si="1430"/>
        <v>0</v>
      </c>
      <c r="X802" s="342">
        <f t="shared" si="1431"/>
        <v>0</v>
      </c>
      <c r="Y802" s="342">
        <f t="shared" si="1432"/>
        <v>0</v>
      </c>
      <c r="Z802" s="342">
        <f t="shared" si="1433"/>
        <v>0</v>
      </c>
      <c r="AA802" s="157">
        <f t="shared" si="1434"/>
        <v>0</v>
      </c>
      <c r="AB802" s="318">
        <f t="shared" si="1435"/>
        <v>0</v>
      </c>
    </row>
    <row r="803" spans="1:28" s="90" customFormat="1" ht="14.1" hidden="1" customHeight="1" x14ac:dyDescent="0.2">
      <c r="A803" s="301"/>
      <c r="B803" s="350" t="s">
        <v>428</v>
      </c>
      <c r="C803" s="101"/>
      <c r="D803" s="101"/>
      <c r="E803" s="101"/>
      <c r="F803" s="370" t="s">
        <v>429</v>
      </c>
      <c r="G803" s="361">
        <f t="shared" si="1423"/>
        <v>0</v>
      </c>
      <c r="H803" s="361">
        <f t="shared" si="1423"/>
        <v>0</v>
      </c>
      <c r="I803" s="330">
        <f t="shared" si="1424"/>
        <v>0</v>
      </c>
      <c r="J803" s="330">
        <f t="shared" si="1425"/>
        <v>0</v>
      </c>
      <c r="K803" s="361">
        <f t="shared" si="1426"/>
        <v>0</v>
      </c>
      <c r="L803" s="361">
        <f t="shared" si="1426"/>
        <v>0</v>
      </c>
      <c r="M803" s="361">
        <f t="shared" si="1426"/>
        <v>0</v>
      </c>
      <c r="N803" s="275">
        <f t="shared" si="1427"/>
        <v>0</v>
      </c>
      <c r="O803" s="361">
        <f t="shared" si="1428"/>
        <v>0</v>
      </c>
      <c r="P803" s="361">
        <f t="shared" si="1428"/>
        <v>0</v>
      </c>
      <c r="Q803" s="361">
        <f t="shared" si="1428"/>
        <v>0</v>
      </c>
      <c r="R803" s="361">
        <f t="shared" si="1428"/>
        <v>0</v>
      </c>
      <c r="S803" s="342">
        <f t="shared" si="1429"/>
        <v>0</v>
      </c>
      <c r="T803" s="361">
        <f t="shared" si="1430"/>
        <v>0</v>
      </c>
      <c r="U803" s="361">
        <f t="shared" si="1430"/>
        <v>0</v>
      </c>
      <c r="V803" s="361">
        <f t="shared" si="1430"/>
        <v>0</v>
      </c>
      <c r="W803" s="361">
        <f t="shared" si="1430"/>
        <v>0</v>
      </c>
      <c r="X803" s="342">
        <f t="shared" si="1431"/>
        <v>0</v>
      </c>
      <c r="Y803" s="342">
        <f t="shared" si="1432"/>
        <v>0</v>
      </c>
      <c r="Z803" s="342">
        <f t="shared" si="1433"/>
        <v>0</v>
      </c>
      <c r="AA803" s="157">
        <f t="shared" si="1434"/>
        <v>0</v>
      </c>
      <c r="AB803" s="318">
        <f t="shared" si="1435"/>
        <v>0</v>
      </c>
    </row>
    <row r="804" spans="1:28" s="90" customFormat="1" ht="14.1" hidden="1" customHeight="1" x14ac:dyDescent="0.2">
      <c r="A804" s="301"/>
      <c r="B804" s="350" t="s">
        <v>718</v>
      </c>
      <c r="C804" s="615"/>
      <c r="D804" s="615"/>
      <c r="E804" s="615"/>
      <c r="F804" s="370" t="s">
        <v>719</v>
      </c>
      <c r="G804" s="361">
        <f t="shared" si="1423"/>
        <v>0</v>
      </c>
      <c r="H804" s="361">
        <f t="shared" si="1423"/>
        <v>0</v>
      </c>
      <c r="I804" s="330">
        <f t="shared" si="1424"/>
        <v>0</v>
      </c>
      <c r="J804" s="330">
        <f t="shared" si="1425"/>
        <v>0</v>
      </c>
      <c r="K804" s="361">
        <f t="shared" si="1426"/>
        <v>0</v>
      </c>
      <c r="L804" s="361">
        <f t="shared" si="1426"/>
        <v>0</v>
      </c>
      <c r="M804" s="361">
        <f t="shared" si="1426"/>
        <v>0</v>
      </c>
      <c r="N804" s="275">
        <f t="shared" si="1427"/>
        <v>0</v>
      </c>
      <c r="O804" s="361">
        <f t="shared" si="1428"/>
        <v>0</v>
      </c>
      <c r="P804" s="361">
        <f t="shared" si="1428"/>
        <v>0</v>
      </c>
      <c r="Q804" s="361">
        <f t="shared" si="1428"/>
        <v>0</v>
      </c>
      <c r="R804" s="361">
        <f t="shared" si="1428"/>
        <v>0</v>
      </c>
      <c r="S804" s="342">
        <f t="shared" si="1429"/>
        <v>0</v>
      </c>
      <c r="T804" s="361">
        <f t="shared" si="1430"/>
        <v>0</v>
      </c>
      <c r="U804" s="361">
        <f t="shared" si="1430"/>
        <v>0</v>
      </c>
      <c r="V804" s="361">
        <f t="shared" si="1430"/>
        <v>0</v>
      </c>
      <c r="W804" s="361">
        <f t="shared" si="1430"/>
        <v>0</v>
      </c>
      <c r="X804" s="342">
        <f t="shared" si="1431"/>
        <v>0</v>
      </c>
      <c r="Y804" s="342">
        <f t="shared" si="1432"/>
        <v>0</v>
      </c>
      <c r="Z804" s="342">
        <f t="shared" si="1433"/>
        <v>0</v>
      </c>
      <c r="AA804" s="157">
        <f t="shared" si="1434"/>
        <v>0</v>
      </c>
      <c r="AB804" s="318">
        <f t="shared" si="1435"/>
        <v>0</v>
      </c>
    </row>
    <row r="805" spans="1:28" s="90" customFormat="1" ht="14.1" hidden="1" customHeight="1" x14ac:dyDescent="0.2">
      <c r="A805" s="301"/>
      <c r="B805" s="350" t="s">
        <v>432</v>
      </c>
      <c r="C805" s="101"/>
      <c r="D805" s="101"/>
      <c r="E805" s="101"/>
      <c r="F805" s="370" t="s">
        <v>433</v>
      </c>
      <c r="G805" s="361">
        <f t="shared" si="1423"/>
        <v>0</v>
      </c>
      <c r="H805" s="361">
        <f t="shared" si="1423"/>
        <v>0</v>
      </c>
      <c r="I805" s="330">
        <f t="shared" si="1424"/>
        <v>0</v>
      </c>
      <c r="J805" s="330">
        <f t="shared" si="1425"/>
        <v>0</v>
      </c>
      <c r="K805" s="361">
        <f t="shared" si="1426"/>
        <v>0</v>
      </c>
      <c r="L805" s="361">
        <f t="shared" si="1426"/>
        <v>0</v>
      </c>
      <c r="M805" s="361">
        <f t="shared" si="1426"/>
        <v>0</v>
      </c>
      <c r="N805" s="275">
        <f t="shared" si="1427"/>
        <v>0</v>
      </c>
      <c r="O805" s="361">
        <f t="shared" si="1428"/>
        <v>0</v>
      </c>
      <c r="P805" s="361">
        <f t="shared" si="1428"/>
        <v>0</v>
      </c>
      <c r="Q805" s="361">
        <f t="shared" si="1428"/>
        <v>0</v>
      </c>
      <c r="R805" s="361">
        <f t="shared" si="1428"/>
        <v>0</v>
      </c>
      <c r="S805" s="342">
        <f t="shared" si="1429"/>
        <v>0</v>
      </c>
      <c r="T805" s="361">
        <f t="shared" si="1430"/>
        <v>0</v>
      </c>
      <c r="U805" s="361">
        <f t="shared" si="1430"/>
        <v>0</v>
      </c>
      <c r="V805" s="361">
        <f t="shared" si="1430"/>
        <v>0</v>
      </c>
      <c r="W805" s="361">
        <f t="shared" si="1430"/>
        <v>0</v>
      </c>
      <c r="X805" s="342">
        <f t="shared" si="1431"/>
        <v>0</v>
      </c>
      <c r="Y805" s="342">
        <f t="shared" si="1432"/>
        <v>0</v>
      </c>
      <c r="Z805" s="342">
        <f t="shared" si="1433"/>
        <v>0</v>
      </c>
      <c r="AA805" s="157">
        <f t="shared" si="1434"/>
        <v>0</v>
      </c>
      <c r="AB805" s="318">
        <f t="shared" si="1435"/>
        <v>0</v>
      </c>
    </row>
    <row r="806" spans="1:28" s="90" customFormat="1" ht="14.1" hidden="1" customHeight="1" x14ac:dyDescent="0.2">
      <c r="A806" s="301"/>
      <c r="B806" s="350" t="s">
        <v>730</v>
      </c>
      <c r="C806" s="744"/>
      <c r="D806" s="744"/>
      <c r="E806" s="744"/>
      <c r="F806" s="370" t="s">
        <v>733</v>
      </c>
      <c r="G806" s="361">
        <f t="shared" si="1423"/>
        <v>0</v>
      </c>
      <c r="H806" s="361">
        <f t="shared" si="1423"/>
        <v>0</v>
      </c>
      <c r="I806" s="330">
        <f t="shared" si="1424"/>
        <v>0</v>
      </c>
      <c r="J806" s="330">
        <f t="shared" si="1425"/>
        <v>0</v>
      </c>
      <c r="K806" s="361">
        <f t="shared" si="1426"/>
        <v>0</v>
      </c>
      <c r="L806" s="361">
        <f t="shared" si="1426"/>
        <v>0</v>
      </c>
      <c r="M806" s="361">
        <f t="shared" si="1426"/>
        <v>0</v>
      </c>
      <c r="N806" s="275">
        <f t="shared" si="1427"/>
        <v>0</v>
      </c>
      <c r="O806" s="361">
        <f t="shared" si="1428"/>
        <v>0</v>
      </c>
      <c r="P806" s="361">
        <f t="shared" si="1428"/>
        <v>0</v>
      </c>
      <c r="Q806" s="361">
        <f t="shared" si="1428"/>
        <v>0</v>
      </c>
      <c r="R806" s="361">
        <f t="shared" si="1428"/>
        <v>0</v>
      </c>
      <c r="S806" s="342">
        <f t="shared" si="1429"/>
        <v>0</v>
      </c>
      <c r="T806" s="361">
        <f t="shared" si="1430"/>
        <v>0</v>
      </c>
      <c r="U806" s="361">
        <f t="shared" si="1430"/>
        <v>0</v>
      </c>
      <c r="V806" s="361">
        <f t="shared" si="1430"/>
        <v>0</v>
      </c>
      <c r="W806" s="361">
        <f t="shared" si="1430"/>
        <v>0</v>
      </c>
      <c r="X806" s="342">
        <f t="shared" si="1431"/>
        <v>0</v>
      </c>
      <c r="Y806" s="342">
        <f t="shared" si="1432"/>
        <v>0</v>
      </c>
      <c r="Z806" s="342">
        <f t="shared" si="1433"/>
        <v>0</v>
      </c>
      <c r="AA806" s="157">
        <f t="shared" si="1434"/>
        <v>0</v>
      </c>
      <c r="AB806" s="318">
        <f t="shared" si="1435"/>
        <v>0</v>
      </c>
    </row>
    <row r="807" spans="1:28" s="90" customFormat="1" ht="14.1" customHeight="1" x14ac:dyDescent="0.2">
      <c r="A807" s="301"/>
      <c r="B807" s="350" t="s">
        <v>737</v>
      </c>
      <c r="C807" s="744"/>
      <c r="D807" s="744"/>
      <c r="E807" s="744"/>
      <c r="F807" s="370" t="s">
        <v>738</v>
      </c>
      <c r="G807" s="361">
        <f t="shared" si="1423"/>
        <v>11590</v>
      </c>
      <c r="H807" s="361">
        <f t="shared" si="1423"/>
        <v>0</v>
      </c>
      <c r="I807" s="330">
        <f t="shared" ref="I807:I809" si="1436">G807+H807</f>
        <v>11590</v>
      </c>
      <c r="J807" s="330">
        <f t="shared" ref="J807:J809" si="1437">I807</f>
        <v>11590</v>
      </c>
      <c r="K807" s="361">
        <f t="shared" si="1426"/>
        <v>0</v>
      </c>
      <c r="L807" s="361">
        <f t="shared" si="1426"/>
        <v>0</v>
      </c>
      <c r="M807" s="361">
        <f t="shared" si="1426"/>
        <v>0</v>
      </c>
      <c r="N807" s="275">
        <f t="shared" si="1427"/>
        <v>11590</v>
      </c>
      <c r="O807" s="361">
        <f t="shared" si="1428"/>
        <v>0</v>
      </c>
      <c r="P807" s="361">
        <f t="shared" si="1428"/>
        <v>1680</v>
      </c>
      <c r="Q807" s="361">
        <f t="shared" si="1428"/>
        <v>5375</v>
      </c>
      <c r="R807" s="361">
        <f t="shared" si="1428"/>
        <v>4535</v>
      </c>
      <c r="S807" s="342">
        <f t="shared" ref="S807:S809" si="1438">SUM(O807:R807)</f>
        <v>11590</v>
      </c>
      <c r="T807" s="361">
        <f t="shared" si="1430"/>
        <v>0</v>
      </c>
      <c r="U807" s="361">
        <f t="shared" si="1430"/>
        <v>1680</v>
      </c>
      <c r="V807" s="361">
        <f t="shared" si="1430"/>
        <v>5375</v>
      </c>
      <c r="W807" s="361">
        <f t="shared" si="1430"/>
        <v>4535</v>
      </c>
      <c r="X807" s="342">
        <f t="shared" ref="X807:X809" si="1439">SUM(T807:W807)</f>
        <v>11590</v>
      </c>
      <c r="Y807" s="342">
        <f t="shared" ref="Y807:Y809" si="1440">I807-N807</f>
        <v>0</v>
      </c>
      <c r="Z807" s="342">
        <f t="shared" ref="Z807:Z809" si="1441">N807-S807</f>
        <v>0</v>
      </c>
      <c r="AA807" s="157">
        <f t="shared" si="1434"/>
        <v>0</v>
      </c>
      <c r="AB807" s="318">
        <f t="shared" ref="AB807:AB809" si="1442">+S807-X807-AA807</f>
        <v>0</v>
      </c>
    </row>
    <row r="808" spans="1:28" s="90" customFormat="1" ht="14.1" hidden="1" customHeight="1" x14ac:dyDescent="0.2">
      <c r="A808" s="301"/>
      <c r="B808" s="350" t="s">
        <v>434</v>
      </c>
      <c r="C808" s="718"/>
      <c r="D808" s="718"/>
      <c r="E808" s="718"/>
      <c r="F808" s="370" t="s">
        <v>435</v>
      </c>
      <c r="G808" s="361">
        <f t="shared" si="1423"/>
        <v>0</v>
      </c>
      <c r="H808" s="361">
        <f t="shared" si="1423"/>
        <v>0</v>
      </c>
      <c r="I808" s="330">
        <f t="shared" si="1436"/>
        <v>0</v>
      </c>
      <c r="J808" s="330">
        <f t="shared" si="1437"/>
        <v>0</v>
      </c>
      <c r="K808" s="361">
        <f t="shared" si="1426"/>
        <v>0</v>
      </c>
      <c r="L808" s="361">
        <f t="shared" si="1426"/>
        <v>0</v>
      </c>
      <c r="M808" s="361">
        <f t="shared" si="1426"/>
        <v>0</v>
      </c>
      <c r="N808" s="275">
        <f t="shared" si="1427"/>
        <v>0</v>
      </c>
      <c r="O808" s="361">
        <f t="shared" si="1428"/>
        <v>0</v>
      </c>
      <c r="P808" s="361">
        <f t="shared" si="1428"/>
        <v>0</v>
      </c>
      <c r="Q808" s="361">
        <f t="shared" si="1428"/>
        <v>0</v>
      </c>
      <c r="R808" s="361">
        <f t="shared" si="1428"/>
        <v>0</v>
      </c>
      <c r="S808" s="342">
        <f t="shared" si="1438"/>
        <v>0</v>
      </c>
      <c r="T808" s="361">
        <f t="shared" si="1430"/>
        <v>0</v>
      </c>
      <c r="U808" s="361">
        <f t="shared" si="1430"/>
        <v>0</v>
      </c>
      <c r="V808" s="361">
        <f t="shared" si="1430"/>
        <v>0</v>
      </c>
      <c r="W808" s="361">
        <f t="shared" si="1430"/>
        <v>0</v>
      </c>
      <c r="X808" s="342">
        <f t="shared" si="1439"/>
        <v>0</v>
      </c>
      <c r="Y808" s="342">
        <f t="shared" si="1440"/>
        <v>0</v>
      </c>
      <c r="Z808" s="342">
        <f t="shared" si="1441"/>
        <v>0</v>
      </c>
      <c r="AA808" s="157">
        <f t="shared" si="1434"/>
        <v>0</v>
      </c>
      <c r="AB808" s="318">
        <f t="shared" si="1442"/>
        <v>0</v>
      </c>
    </row>
    <row r="809" spans="1:28" s="90" customFormat="1" ht="14.1" hidden="1" customHeight="1" x14ac:dyDescent="0.2">
      <c r="A809" s="301"/>
      <c r="B809" s="350" t="s">
        <v>732</v>
      </c>
      <c r="C809" s="718"/>
      <c r="D809" s="718"/>
      <c r="E809" s="718"/>
      <c r="F809" s="370" t="s">
        <v>731</v>
      </c>
      <c r="G809" s="361">
        <f t="shared" si="1423"/>
        <v>0</v>
      </c>
      <c r="H809" s="361">
        <f t="shared" si="1423"/>
        <v>0</v>
      </c>
      <c r="I809" s="330">
        <f t="shared" si="1436"/>
        <v>0</v>
      </c>
      <c r="J809" s="330">
        <f t="shared" si="1437"/>
        <v>0</v>
      </c>
      <c r="K809" s="361">
        <f t="shared" si="1426"/>
        <v>0</v>
      </c>
      <c r="L809" s="361">
        <f t="shared" si="1426"/>
        <v>0</v>
      </c>
      <c r="M809" s="361">
        <f t="shared" si="1426"/>
        <v>0</v>
      </c>
      <c r="N809" s="275">
        <f t="shared" si="1427"/>
        <v>0</v>
      </c>
      <c r="O809" s="361">
        <f t="shared" si="1428"/>
        <v>0</v>
      </c>
      <c r="P809" s="361">
        <f t="shared" si="1428"/>
        <v>0</v>
      </c>
      <c r="Q809" s="361">
        <f t="shared" si="1428"/>
        <v>0</v>
      </c>
      <c r="R809" s="361">
        <f t="shared" si="1428"/>
        <v>0</v>
      </c>
      <c r="S809" s="342">
        <f t="shared" si="1438"/>
        <v>0</v>
      </c>
      <c r="T809" s="361">
        <f t="shared" si="1430"/>
        <v>0</v>
      </c>
      <c r="U809" s="361">
        <f t="shared" si="1430"/>
        <v>0</v>
      </c>
      <c r="V809" s="361">
        <f t="shared" si="1430"/>
        <v>0</v>
      </c>
      <c r="W809" s="361">
        <f t="shared" si="1430"/>
        <v>0</v>
      </c>
      <c r="X809" s="342">
        <f t="shared" si="1439"/>
        <v>0</v>
      </c>
      <c r="Y809" s="342">
        <f t="shared" si="1440"/>
        <v>0</v>
      </c>
      <c r="Z809" s="342">
        <f t="shared" si="1441"/>
        <v>0</v>
      </c>
      <c r="AA809" s="157">
        <f t="shared" si="1434"/>
        <v>0</v>
      </c>
      <c r="AB809" s="318">
        <f t="shared" si="1442"/>
        <v>0</v>
      </c>
    </row>
    <row r="810" spans="1:28" s="90" customFormat="1" ht="14.1" customHeight="1" x14ac:dyDescent="0.2">
      <c r="A810" s="301"/>
      <c r="B810" s="15"/>
      <c r="C810" s="101"/>
      <c r="D810" s="101"/>
      <c r="E810" s="101"/>
      <c r="F810" s="370"/>
      <c r="G810" s="321"/>
      <c r="H810" s="321"/>
      <c r="I810" s="321"/>
      <c r="J810" s="321"/>
      <c r="K810" s="321"/>
      <c r="L810" s="321"/>
      <c r="M810" s="321"/>
      <c r="N810" s="332"/>
      <c r="O810" s="321"/>
      <c r="P810" s="321"/>
      <c r="Q810" s="321"/>
      <c r="R810" s="321"/>
      <c r="S810" s="332"/>
      <c r="T810" s="321"/>
      <c r="U810" s="321"/>
      <c r="V810" s="321"/>
      <c r="W810" s="321"/>
      <c r="X810" s="332"/>
      <c r="Y810" s="332"/>
      <c r="Z810" s="332"/>
      <c r="AA810" s="332"/>
      <c r="AB810" s="302"/>
    </row>
    <row r="811" spans="1:28" s="360" customFormat="1" ht="14.1" customHeight="1" x14ac:dyDescent="0.2">
      <c r="A811" s="356"/>
      <c r="B811" s="357" t="s">
        <v>436</v>
      </c>
      <c r="C811" s="358"/>
      <c r="D811" s="358"/>
      <c r="E811" s="358"/>
      <c r="F811" s="369"/>
      <c r="G811" s="359">
        <f>SUM(G814:G838)</f>
        <v>0</v>
      </c>
      <c r="H811" s="359">
        <f>SUM(H814:H838)</f>
        <v>0</v>
      </c>
      <c r="I811" s="359">
        <f t="shared" ref="I811:AB811" si="1443">SUM(I814:I838)</f>
        <v>0</v>
      </c>
      <c r="J811" s="359">
        <f t="shared" si="1443"/>
        <v>0</v>
      </c>
      <c r="K811" s="359">
        <f t="shared" si="1443"/>
        <v>0</v>
      </c>
      <c r="L811" s="359">
        <f t="shared" si="1443"/>
        <v>0</v>
      </c>
      <c r="M811" s="359">
        <f t="shared" si="1443"/>
        <v>0</v>
      </c>
      <c r="N811" s="359">
        <f t="shared" si="1443"/>
        <v>0</v>
      </c>
      <c r="O811" s="359">
        <f t="shared" si="1443"/>
        <v>0</v>
      </c>
      <c r="P811" s="359">
        <f t="shared" si="1443"/>
        <v>0</v>
      </c>
      <c r="Q811" s="359">
        <f t="shared" si="1443"/>
        <v>0</v>
      </c>
      <c r="R811" s="359">
        <f t="shared" si="1443"/>
        <v>0</v>
      </c>
      <c r="S811" s="359">
        <f t="shared" si="1443"/>
        <v>0</v>
      </c>
      <c r="T811" s="359">
        <f t="shared" si="1443"/>
        <v>0</v>
      </c>
      <c r="U811" s="359">
        <f t="shared" si="1443"/>
        <v>0</v>
      </c>
      <c r="V811" s="359">
        <f t="shared" si="1443"/>
        <v>0</v>
      </c>
      <c r="W811" s="359">
        <f t="shared" si="1443"/>
        <v>0</v>
      </c>
      <c r="X811" s="359">
        <f t="shared" si="1443"/>
        <v>0</v>
      </c>
      <c r="Y811" s="359">
        <f t="shared" si="1443"/>
        <v>0</v>
      </c>
      <c r="Z811" s="359">
        <f t="shared" si="1443"/>
        <v>0</v>
      </c>
      <c r="AA811" s="741">
        <f t="shared" ref="AA811" si="1444">SUM(AA814:AA838)</f>
        <v>0</v>
      </c>
      <c r="AB811" s="736">
        <f t="shared" si="1443"/>
        <v>0</v>
      </c>
    </row>
    <row r="812" spans="1:28" s="90" customFormat="1" ht="14.1" customHeight="1" x14ac:dyDescent="0.2">
      <c r="A812" s="301"/>
      <c r="B812" s="347" t="s">
        <v>437</v>
      </c>
      <c r="C812" s="101"/>
      <c r="D812" s="101"/>
      <c r="E812" s="101"/>
      <c r="F812" s="370"/>
      <c r="G812" s="321"/>
      <c r="H812" s="321"/>
      <c r="I812" s="321"/>
      <c r="J812" s="321"/>
      <c r="K812" s="321"/>
      <c r="L812" s="321"/>
      <c r="M812" s="321"/>
      <c r="N812" s="332"/>
      <c r="O812" s="321"/>
      <c r="P812" s="321"/>
      <c r="Q812" s="321"/>
      <c r="R812" s="321"/>
      <c r="S812" s="332"/>
      <c r="T812" s="321"/>
      <c r="U812" s="321"/>
      <c r="V812" s="321"/>
      <c r="W812" s="321"/>
      <c r="X812" s="332"/>
      <c r="Y812" s="332"/>
      <c r="Z812" s="332"/>
      <c r="AA812" s="332"/>
      <c r="AB812" s="302"/>
    </row>
    <row r="813" spans="1:28" s="90" customFormat="1" ht="14.1" hidden="1" customHeight="1" x14ac:dyDescent="0.2">
      <c r="A813" s="301"/>
      <c r="B813" s="348" t="s">
        <v>438</v>
      </c>
      <c r="C813" s="101"/>
      <c r="D813" s="101"/>
      <c r="E813" s="101"/>
      <c r="F813" s="370"/>
      <c r="G813" s="321"/>
      <c r="H813" s="321"/>
      <c r="I813" s="321"/>
      <c r="J813" s="321"/>
      <c r="K813" s="321"/>
      <c r="L813" s="321"/>
      <c r="M813" s="321"/>
      <c r="N813" s="332"/>
      <c r="O813" s="321"/>
      <c r="P813" s="321"/>
      <c r="Q813" s="321"/>
      <c r="R813" s="321"/>
      <c r="S813" s="332"/>
      <c r="T813" s="321"/>
      <c r="U813" s="321"/>
      <c r="V813" s="321"/>
      <c r="W813" s="321"/>
      <c r="X813" s="332"/>
      <c r="Y813" s="332"/>
      <c r="Z813" s="332"/>
      <c r="AA813" s="332"/>
      <c r="AB813" s="302"/>
    </row>
    <row r="814" spans="1:28" s="90" customFormat="1" ht="14.1" hidden="1" customHeight="1" x14ac:dyDescent="0.2">
      <c r="A814" s="301"/>
      <c r="B814" s="349" t="s">
        <v>439</v>
      </c>
      <c r="C814" s="101"/>
      <c r="D814" s="101"/>
      <c r="E814" s="101"/>
      <c r="F814" s="370" t="s">
        <v>440</v>
      </c>
      <c r="G814" s="361">
        <f>G919+G1102+G1208</f>
        <v>0</v>
      </c>
      <c r="H814" s="361">
        <f>H919+H1102+H1208</f>
        <v>0</v>
      </c>
      <c r="I814" s="330">
        <f t="shared" ref="I814:I815" si="1445">G814+H814</f>
        <v>0</v>
      </c>
      <c r="J814" s="330">
        <f t="shared" ref="J814:J815" si="1446">I814</f>
        <v>0</v>
      </c>
      <c r="K814" s="361">
        <f t="shared" ref="K814:M815" si="1447">K919+K1102+K1208</f>
        <v>0</v>
      </c>
      <c r="L814" s="361">
        <f t="shared" si="1447"/>
        <v>0</v>
      </c>
      <c r="M814" s="361">
        <f t="shared" si="1447"/>
        <v>0</v>
      </c>
      <c r="N814" s="275">
        <f t="shared" ref="N814:N815" si="1448">J814+K814-L814+M814</f>
        <v>0</v>
      </c>
      <c r="O814" s="361">
        <f t="shared" ref="O814:R815" si="1449">O919+O1102+O1208</f>
        <v>0</v>
      </c>
      <c r="P814" s="361">
        <f t="shared" si="1449"/>
        <v>0</v>
      </c>
      <c r="Q814" s="361">
        <f t="shared" si="1449"/>
        <v>0</v>
      </c>
      <c r="R814" s="361">
        <f t="shared" si="1449"/>
        <v>0</v>
      </c>
      <c r="S814" s="342">
        <f t="shared" ref="S814:S815" si="1450">SUM(O814:R814)</f>
        <v>0</v>
      </c>
      <c r="T814" s="361">
        <f t="shared" ref="T814:W815" si="1451">T919+T1102+T1208</f>
        <v>0</v>
      </c>
      <c r="U814" s="361">
        <f t="shared" si="1451"/>
        <v>0</v>
      </c>
      <c r="V814" s="361">
        <f t="shared" si="1451"/>
        <v>0</v>
      </c>
      <c r="W814" s="361">
        <f t="shared" si="1451"/>
        <v>0</v>
      </c>
      <c r="X814" s="342">
        <f t="shared" ref="X814:X815" si="1452">SUM(T814:W814)</f>
        <v>0</v>
      </c>
      <c r="Y814" s="342">
        <f t="shared" ref="Y814:Y815" si="1453">I814-N814</f>
        <v>0</v>
      </c>
      <c r="Z814" s="342">
        <f t="shared" ref="Z814:Z815" si="1454">N814-S814</f>
        <v>0</v>
      </c>
      <c r="AA814" s="157">
        <f>AA919+AA1102+AA1208</f>
        <v>0</v>
      </c>
      <c r="AB814" s="318">
        <f t="shared" ref="AB814:AB815" si="1455">+S814-X814-AA814</f>
        <v>0</v>
      </c>
    </row>
    <row r="815" spans="1:28" s="90" customFormat="1" ht="14.1" hidden="1" customHeight="1" x14ac:dyDescent="0.2">
      <c r="A815" s="301"/>
      <c r="B815" s="349" t="s">
        <v>441</v>
      </c>
      <c r="C815" s="101"/>
      <c r="D815" s="101"/>
      <c r="E815" s="101"/>
      <c r="F815" s="370" t="s">
        <v>442</v>
      </c>
      <c r="G815" s="361">
        <f>G920+G1103+G1209</f>
        <v>0</v>
      </c>
      <c r="H815" s="361">
        <f>H920+H1103+H1209</f>
        <v>0</v>
      </c>
      <c r="I815" s="330">
        <f t="shared" si="1445"/>
        <v>0</v>
      </c>
      <c r="J815" s="330">
        <f t="shared" si="1446"/>
        <v>0</v>
      </c>
      <c r="K815" s="361">
        <f t="shared" si="1447"/>
        <v>0</v>
      </c>
      <c r="L815" s="361">
        <f t="shared" si="1447"/>
        <v>0</v>
      </c>
      <c r="M815" s="361">
        <f t="shared" si="1447"/>
        <v>0</v>
      </c>
      <c r="N815" s="275">
        <f t="shared" si="1448"/>
        <v>0</v>
      </c>
      <c r="O815" s="361">
        <f t="shared" si="1449"/>
        <v>0</v>
      </c>
      <c r="P815" s="361">
        <f t="shared" si="1449"/>
        <v>0</v>
      </c>
      <c r="Q815" s="361">
        <f t="shared" si="1449"/>
        <v>0</v>
      </c>
      <c r="R815" s="361">
        <f t="shared" si="1449"/>
        <v>0</v>
      </c>
      <c r="S815" s="342">
        <f t="shared" si="1450"/>
        <v>0</v>
      </c>
      <c r="T815" s="361">
        <f t="shared" si="1451"/>
        <v>0</v>
      </c>
      <c r="U815" s="361">
        <f t="shared" si="1451"/>
        <v>0</v>
      </c>
      <c r="V815" s="361">
        <f t="shared" si="1451"/>
        <v>0</v>
      </c>
      <c r="W815" s="361">
        <f t="shared" si="1451"/>
        <v>0</v>
      </c>
      <c r="X815" s="342">
        <f t="shared" si="1452"/>
        <v>0</v>
      </c>
      <c r="Y815" s="342">
        <f t="shared" si="1453"/>
        <v>0</v>
      </c>
      <c r="Z815" s="342">
        <f t="shared" si="1454"/>
        <v>0</v>
      </c>
      <c r="AA815" s="157">
        <f>AA920+AA1103+AA1209</f>
        <v>0</v>
      </c>
      <c r="AB815" s="318">
        <f t="shared" si="1455"/>
        <v>0</v>
      </c>
    </row>
    <row r="816" spans="1:28" s="90" customFormat="1" ht="14.1" hidden="1" customHeight="1" x14ac:dyDescent="0.2">
      <c r="A816" s="301"/>
      <c r="B816" s="348" t="s">
        <v>443</v>
      </c>
      <c r="C816" s="101"/>
      <c r="D816" s="101"/>
      <c r="E816" s="101"/>
      <c r="F816" s="370"/>
      <c r="G816" s="321"/>
      <c r="H816" s="321"/>
      <c r="I816" s="321"/>
      <c r="J816" s="321"/>
      <c r="K816" s="321"/>
      <c r="L816" s="321"/>
      <c r="M816" s="321"/>
      <c r="N816" s="332"/>
      <c r="O816" s="321"/>
      <c r="P816" s="321"/>
      <c r="Q816" s="321"/>
      <c r="R816" s="321"/>
      <c r="S816" s="332"/>
      <c r="T816" s="321"/>
      <c r="U816" s="321"/>
      <c r="V816" s="321"/>
      <c r="W816" s="321"/>
      <c r="X816" s="332"/>
      <c r="Y816" s="332"/>
      <c r="Z816" s="332"/>
      <c r="AA816" s="332"/>
      <c r="AB816" s="302"/>
    </row>
    <row r="817" spans="1:28" s="90" customFormat="1" ht="14.1" hidden="1" customHeight="1" x14ac:dyDescent="0.2">
      <c r="A817" s="301"/>
      <c r="B817" s="349" t="s">
        <v>444</v>
      </c>
      <c r="C817" s="101"/>
      <c r="D817" s="101"/>
      <c r="E817" s="101"/>
      <c r="F817" s="370" t="s">
        <v>445</v>
      </c>
      <c r="G817" s="361">
        <f t="shared" ref="G817:H819" si="1456">G922+G1105+G1211</f>
        <v>0</v>
      </c>
      <c r="H817" s="361">
        <f t="shared" si="1456"/>
        <v>0</v>
      </c>
      <c r="I817" s="330">
        <f t="shared" ref="I817:I819" si="1457">G817+H817</f>
        <v>0</v>
      </c>
      <c r="J817" s="330">
        <f t="shared" ref="J817:J819" si="1458">I817</f>
        <v>0</v>
      </c>
      <c r="K817" s="361">
        <f t="shared" ref="K817:M819" si="1459">K922+K1105+K1211</f>
        <v>0</v>
      </c>
      <c r="L817" s="361">
        <f t="shared" si="1459"/>
        <v>0</v>
      </c>
      <c r="M817" s="361">
        <f t="shared" si="1459"/>
        <v>0</v>
      </c>
      <c r="N817" s="275">
        <f t="shared" ref="N817:N819" si="1460">J817+K817-L817+M817</f>
        <v>0</v>
      </c>
      <c r="O817" s="361">
        <f t="shared" ref="O817:R819" si="1461">O922+O1105+O1211</f>
        <v>0</v>
      </c>
      <c r="P817" s="361">
        <f t="shared" si="1461"/>
        <v>0</v>
      </c>
      <c r="Q817" s="361">
        <f t="shared" si="1461"/>
        <v>0</v>
      </c>
      <c r="R817" s="361">
        <f t="shared" si="1461"/>
        <v>0</v>
      </c>
      <c r="S817" s="342">
        <f t="shared" ref="S817:S819" si="1462">SUM(O817:R817)</f>
        <v>0</v>
      </c>
      <c r="T817" s="361">
        <f t="shared" ref="T817:W819" si="1463">T922+T1105+T1211</f>
        <v>0</v>
      </c>
      <c r="U817" s="361">
        <f t="shared" si="1463"/>
        <v>0</v>
      </c>
      <c r="V817" s="361">
        <f t="shared" si="1463"/>
        <v>0</v>
      </c>
      <c r="W817" s="361">
        <f t="shared" si="1463"/>
        <v>0</v>
      </c>
      <c r="X817" s="342">
        <f t="shared" ref="X817:X819" si="1464">SUM(T817:W817)</f>
        <v>0</v>
      </c>
      <c r="Y817" s="342">
        <f t="shared" ref="Y817:Y819" si="1465">I817-N817</f>
        <v>0</v>
      </c>
      <c r="Z817" s="342">
        <f t="shared" ref="Z817:Z819" si="1466">N817-S817</f>
        <v>0</v>
      </c>
      <c r="AA817" s="157">
        <f>AA922+AA1105+AA1211</f>
        <v>0</v>
      </c>
      <c r="AB817" s="318">
        <f t="shared" ref="AB817:AB819" si="1467">+S817-X817-AA817</f>
        <v>0</v>
      </c>
    </row>
    <row r="818" spans="1:28" s="90" customFormat="1" ht="14.1" hidden="1" customHeight="1" x14ac:dyDescent="0.2">
      <c r="A818" s="301"/>
      <c r="B818" s="349" t="s">
        <v>446</v>
      </c>
      <c r="C818" s="101"/>
      <c r="D818" s="101"/>
      <c r="E818" s="101"/>
      <c r="F818" s="370" t="s">
        <v>447</v>
      </c>
      <c r="G818" s="361">
        <f t="shared" si="1456"/>
        <v>0</v>
      </c>
      <c r="H818" s="361">
        <f t="shared" si="1456"/>
        <v>0</v>
      </c>
      <c r="I818" s="330">
        <f t="shared" si="1457"/>
        <v>0</v>
      </c>
      <c r="J818" s="330">
        <f t="shared" si="1458"/>
        <v>0</v>
      </c>
      <c r="K818" s="361">
        <f t="shared" si="1459"/>
        <v>0</v>
      </c>
      <c r="L818" s="361">
        <f t="shared" si="1459"/>
        <v>0</v>
      </c>
      <c r="M818" s="361">
        <f t="shared" si="1459"/>
        <v>0</v>
      </c>
      <c r="N818" s="275">
        <f t="shared" si="1460"/>
        <v>0</v>
      </c>
      <c r="O818" s="361">
        <f t="shared" si="1461"/>
        <v>0</v>
      </c>
      <c r="P818" s="361">
        <f t="shared" si="1461"/>
        <v>0</v>
      </c>
      <c r="Q818" s="361">
        <f t="shared" si="1461"/>
        <v>0</v>
      </c>
      <c r="R818" s="361">
        <f t="shared" si="1461"/>
        <v>0</v>
      </c>
      <c r="S818" s="342">
        <f t="shared" si="1462"/>
        <v>0</v>
      </c>
      <c r="T818" s="361">
        <f t="shared" si="1463"/>
        <v>0</v>
      </c>
      <c r="U818" s="361">
        <f t="shared" si="1463"/>
        <v>0</v>
      </c>
      <c r="V818" s="361">
        <f t="shared" si="1463"/>
        <v>0</v>
      </c>
      <c r="W818" s="361">
        <f t="shared" si="1463"/>
        <v>0</v>
      </c>
      <c r="X818" s="342">
        <f t="shared" si="1464"/>
        <v>0</v>
      </c>
      <c r="Y818" s="342">
        <f t="shared" si="1465"/>
        <v>0</v>
      </c>
      <c r="Z818" s="342">
        <f t="shared" si="1466"/>
        <v>0</v>
      </c>
      <c r="AA818" s="157">
        <f>AA923+AA1106+AA1212</f>
        <v>0</v>
      </c>
      <c r="AB818" s="318">
        <f t="shared" si="1467"/>
        <v>0</v>
      </c>
    </row>
    <row r="819" spans="1:28" s="90" customFormat="1" ht="14.1" hidden="1" customHeight="1" x14ac:dyDescent="0.2">
      <c r="A819" s="301"/>
      <c r="B819" s="349" t="s">
        <v>448</v>
      </c>
      <c r="C819" s="101"/>
      <c r="D819" s="101"/>
      <c r="E819" s="101"/>
      <c r="F819" s="370" t="s">
        <v>449</v>
      </c>
      <c r="G819" s="361">
        <f t="shared" si="1456"/>
        <v>0</v>
      </c>
      <c r="H819" s="361">
        <f t="shared" si="1456"/>
        <v>0</v>
      </c>
      <c r="I819" s="330">
        <f t="shared" si="1457"/>
        <v>0</v>
      </c>
      <c r="J819" s="330">
        <f t="shared" si="1458"/>
        <v>0</v>
      </c>
      <c r="K819" s="361">
        <f t="shared" si="1459"/>
        <v>0</v>
      </c>
      <c r="L819" s="361">
        <f t="shared" si="1459"/>
        <v>0</v>
      </c>
      <c r="M819" s="361">
        <f t="shared" si="1459"/>
        <v>0</v>
      </c>
      <c r="N819" s="275">
        <f t="shared" si="1460"/>
        <v>0</v>
      </c>
      <c r="O819" s="361">
        <f t="shared" si="1461"/>
        <v>0</v>
      </c>
      <c r="P819" s="361">
        <f t="shared" si="1461"/>
        <v>0</v>
      </c>
      <c r="Q819" s="361">
        <f t="shared" si="1461"/>
        <v>0</v>
      </c>
      <c r="R819" s="361">
        <f t="shared" si="1461"/>
        <v>0</v>
      </c>
      <c r="S819" s="342">
        <f t="shared" si="1462"/>
        <v>0</v>
      </c>
      <c r="T819" s="361">
        <f t="shared" si="1463"/>
        <v>0</v>
      </c>
      <c r="U819" s="361">
        <f t="shared" si="1463"/>
        <v>0</v>
      </c>
      <c r="V819" s="361">
        <f t="shared" si="1463"/>
        <v>0</v>
      </c>
      <c r="W819" s="361">
        <f t="shared" si="1463"/>
        <v>0</v>
      </c>
      <c r="X819" s="342">
        <f t="shared" si="1464"/>
        <v>0</v>
      </c>
      <c r="Y819" s="342">
        <f t="shared" si="1465"/>
        <v>0</v>
      </c>
      <c r="Z819" s="342">
        <f t="shared" si="1466"/>
        <v>0</v>
      </c>
      <c r="AA819" s="157">
        <f>AA924+AA1107+AA1213</f>
        <v>0</v>
      </c>
      <c r="AB819" s="318">
        <f t="shared" si="1467"/>
        <v>0</v>
      </c>
    </row>
    <row r="820" spans="1:28" s="90" customFormat="1" ht="14.1" hidden="1" customHeight="1" x14ac:dyDescent="0.2">
      <c r="A820" s="301"/>
      <c r="B820" s="348" t="s">
        <v>450</v>
      </c>
      <c r="C820" s="101"/>
      <c r="D820" s="101"/>
      <c r="E820" s="101"/>
      <c r="F820" s="370"/>
      <c r="G820" s="321"/>
      <c r="H820" s="321"/>
      <c r="I820" s="321"/>
      <c r="J820" s="321"/>
      <c r="K820" s="321"/>
      <c r="L820" s="321"/>
      <c r="M820" s="321"/>
      <c r="N820" s="332"/>
      <c r="O820" s="321"/>
      <c r="P820" s="321"/>
      <c r="Q820" s="321"/>
      <c r="R820" s="321"/>
      <c r="S820" s="332"/>
      <c r="T820" s="321"/>
      <c r="U820" s="321"/>
      <c r="V820" s="321"/>
      <c r="W820" s="321"/>
      <c r="X820" s="332"/>
      <c r="Y820" s="332"/>
      <c r="Z820" s="332"/>
      <c r="AA820" s="332"/>
      <c r="AB820" s="302"/>
    </row>
    <row r="821" spans="1:28" s="90" customFormat="1" ht="14.1" hidden="1" customHeight="1" x14ac:dyDescent="0.2">
      <c r="A821" s="301"/>
      <c r="B821" s="349" t="s">
        <v>451</v>
      </c>
      <c r="C821" s="101"/>
      <c r="D821" s="101"/>
      <c r="E821" s="101"/>
      <c r="F821" s="370" t="s">
        <v>452</v>
      </c>
      <c r="G821" s="361">
        <f t="shared" ref="G821:H827" si="1468">G926+G1109+G1215</f>
        <v>0</v>
      </c>
      <c r="H821" s="361">
        <f t="shared" si="1468"/>
        <v>0</v>
      </c>
      <c r="I821" s="330">
        <f t="shared" ref="I821:I827" si="1469">G821+H821</f>
        <v>0</v>
      </c>
      <c r="J821" s="330">
        <f t="shared" ref="J821:J827" si="1470">I821</f>
        <v>0</v>
      </c>
      <c r="K821" s="361">
        <f t="shared" ref="K821:M827" si="1471">K926+K1109+K1215</f>
        <v>0</v>
      </c>
      <c r="L821" s="361">
        <f t="shared" si="1471"/>
        <v>0</v>
      </c>
      <c r="M821" s="361">
        <f t="shared" si="1471"/>
        <v>0</v>
      </c>
      <c r="N821" s="275">
        <f t="shared" ref="N821:N827" si="1472">J821+K821-L821+M821</f>
        <v>0</v>
      </c>
      <c r="O821" s="361">
        <f t="shared" ref="O821:R827" si="1473">O926+O1109+O1215</f>
        <v>0</v>
      </c>
      <c r="P821" s="361">
        <f t="shared" si="1473"/>
        <v>0</v>
      </c>
      <c r="Q821" s="361">
        <f t="shared" si="1473"/>
        <v>0</v>
      </c>
      <c r="R821" s="361">
        <f t="shared" si="1473"/>
        <v>0</v>
      </c>
      <c r="S821" s="342">
        <f t="shared" ref="S821:S827" si="1474">SUM(O821:R821)</f>
        <v>0</v>
      </c>
      <c r="T821" s="361">
        <f t="shared" ref="T821:W827" si="1475">T926+T1109+T1215</f>
        <v>0</v>
      </c>
      <c r="U821" s="361">
        <f t="shared" si="1475"/>
        <v>0</v>
      </c>
      <c r="V821" s="361">
        <f t="shared" si="1475"/>
        <v>0</v>
      </c>
      <c r="W821" s="361">
        <f t="shared" si="1475"/>
        <v>0</v>
      </c>
      <c r="X821" s="342">
        <f t="shared" ref="X821:X827" si="1476">SUM(T821:W821)</f>
        <v>0</v>
      </c>
      <c r="Y821" s="342">
        <f t="shared" ref="Y821:Y827" si="1477">I821-N821</f>
        <v>0</v>
      </c>
      <c r="Z821" s="342">
        <f t="shared" ref="Z821:Z827" si="1478">N821-S821</f>
        <v>0</v>
      </c>
      <c r="AA821" s="157">
        <f t="shared" ref="AA821:AA827" si="1479">AA926+AA1109+AA1215</f>
        <v>0</v>
      </c>
      <c r="AB821" s="318">
        <f t="shared" ref="AB821:AB827" si="1480">+S821-X821-AA821</f>
        <v>0</v>
      </c>
    </row>
    <row r="822" spans="1:28" s="90" customFormat="1" ht="14.1" hidden="1" customHeight="1" x14ac:dyDescent="0.2">
      <c r="A822" s="301"/>
      <c r="B822" s="349" t="s">
        <v>453</v>
      </c>
      <c r="C822" s="101"/>
      <c r="D822" s="101"/>
      <c r="E822" s="101"/>
      <c r="F822" s="370" t="s">
        <v>454</v>
      </c>
      <c r="G822" s="361">
        <f t="shared" si="1468"/>
        <v>0</v>
      </c>
      <c r="H822" s="361">
        <f t="shared" si="1468"/>
        <v>0</v>
      </c>
      <c r="I822" s="330">
        <f t="shared" si="1469"/>
        <v>0</v>
      </c>
      <c r="J822" s="330">
        <f t="shared" si="1470"/>
        <v>0</v>
      </c>
      <c r="K822" s="361">
        <f t="shared" si="1471"/>
        <v>0</v>
      </c>
      <c r="L822" s="361">
        <f t="shared" si="1471"/>
        <v>0</v>
      </c>
      <c r="M822" s="361">
        <f t="shared" si="1471"/>
        <v>0</v>
      </c>
      <c r="N822" s="275">
        <f t="shared" si="1472"/>
        <v>0</v>
      </c>
      <c r="O822" s="361">
        <f t="shared" si="1473"/>
        <v>0</v>
      </c>
      <c r="P822" s="361">
        <f t="shared" si="1473"/>
        <v>0</v>
      </c>
      <c r="Q822" s="361">
        <f t="shared" si="1473"/>
        <v>0</v>
      </c>
      <c r="R822" s="361">
        <f t="shared" si="1473"/>
        <v>0</v>
      </c>
      <c r="S822" s="342">
        <f t="shared" si="1474"/>
        <v>0</v>
      </c>
      <c r="T822" s="361">
        <f t="shared" si="1475"/>
        <v>0</v>
      </c>
      <c r="U822" s="361">
        <f t="shared" si="1475"/>
        <v>0</v>
      </c>
      <c r="V822" s="361">
        <f t="shared" si="1475"/>
        <v>0</v>
      </c>
      <c r="W822" s="361">
        <f t="shared" si="1475"/>
        <v>0</v>
      </c>
      <c r="X822" s="342">
        <f t="shared" si="1476"/>
        <v>0</v>
      </c>
      <c r="Y822" s="342">
        <f t="shared" si="1477"/>
        <v>0</v>
      </c>
      <c r="Z822" s="342">
        <f t="shared" si="1478"/>
        <v>0</v>
      </c>
      <c r="AA822" s="157">
        <f t="shared" si="1479"/>
        <v>0</v>
      </c>
      <c r="AB822" s="318">
        <f t="shared" si="1480"/>
        <v>0</v>
      </c>
    </row>
    <row r="823" spans="1:28" s="90" customFormat="1" ht="14.1" hidden="1" customHeight="1" x14ac:dyDescent="0.2">
      <c r="A823" s="301"/>
      <c r="B823" s="349" t="s">
        <v>455</v>
      </c>
      <c r="C823" s="101"/>
      <c r="D823" s="101"/>
      <c r="E823" s="101"/>
      <c r="F823" s="370" t="s">
        <v>456</v>
      </c>
      <c r="G823" s="361">
        <f t="shared" si="1468"/>
        <v>0</v>
      </c>
      <c r="H823" s="361">
        <f t="shared" si="1468"/>
        <v>0</v>
      </c>
      <c r="I823" s="330">
        <f t="shared" si="1469"/>
        <v>0</v>
      </c>
      <c r="J823" s="330">
        <f t="shared" si="1470"/>
        <v>0</v>
      </c>
      <c r="K823" s="361">
        <f t="shared" si="1471"/>
        <v>0</v>
      </c>
      <c r="L823" s="361">
        <f t="shared" si="1471"/>
        <v>0</v>
      </c>
      <c r="M823" s="361">
        <f t="shared" si="1471"/>
        <v>0</v>
      </c>
      <c r="N823" s="275">
        <f t="shared" si="1472"/>
        <v>0</v>
      </c>
      <c r="O823" s="361">
        <f t="shared" si="1473"/>
        <v>0</v>
      </c>
      <c r="P823" s="361">
        <f t="shared" si="1473"/>
        <v>0</v>
      </c>
      <c r="Q823" s="361">
        <f t="shared" si="1473"/>
        <v>0</v>
      </c>
      <c r="R823" s="361">
        <f t="shared" si="1473"/>
        <v>0</v>
      </c>
      <c r="S823" s="342">
        <f t="shared" si="1474"/>
        <v>0</v>
      </c>
      <c r="T823" s="361">
        <f t="shared" si="1475"/>
        <v>0</v>
      </c>
      <c r="U823" s="361">
        <f t="shared" si="1475"/>
        <v>0</v>
      </c>
      <c r="V823" s="361">
        <f t="shared" si="1475"/>
        <v>0</v>
      </c>
      <c r="W823" s="361">
        <f t="shared" si="1475"/>
        <v>0</v>
      </c>
      <c r="X823" s="342">
        <f t="shared" si="1476"/>
        <v>0</v>
      </c>
      <c r="Y823" s="342">
        <f t="shared" si="1477"/>
        <v>0</v>
      </c>
      <c r="Z823" s="342">
        <f t="shared" si="1478"/>
        <v>0</v>
      </c>
      <c r="AA823" s="157">
        <f t="shared" si="1479"/>
        <v>0</v>
      </c>
      <c r="AB823" s="318">
        <f t="shared" si="1480"/>
        <v>0</v>
      </c>
    </row>
    <row r="824" spans="1:28" s="90" customFormat="1" ht="14.1" hidden="1" customHeight="1" x14ac:dyDescent="0.2">
      <c r="A824" s="301"/>
      <c r="B824" s="349" t="s">
        <v>457</v>
      </c>
      <c r="C824" s="101"/>
      <c r="D824" s="101"/>
      <c r="E824" s="101"/>
      <c r="F824" s="370" t="s">
        <v>458</v>
      </c>
      <c r="G824" s="361">
        <f t="shared" si="1468"/>
        <v>0</v>
      </c>
      <c r="H824" s="361">
        <f t="shared" si="1468"/>
        <v>0</v>
      </c>
      <c r="I824" s="330">
        <f t="shared" si="1469"/>
        <v>0</v>
      </c>
      <c r="J824" s="330">
        <f t="shared" si="1470"/>
        <v>0</v>
      </c>
      <c r="K824" s="361">
        <f t="shared" si="1471"/>
        <v>0</v>
      </c>
      <c r="L824" s="361">
        <f t="shared" si="1471"/>
        <v>0</v>
      </c>
      <c r="M824" s="361">
        <f t="shared" si="1471"/>
        <v>0</v>
      </c>
      <c r="N824" s="275">
        <f t="shared" si="1472"/>
        <v>0</v>
      </c>
      <c r="O824" s="361">
        <f t="shared" si="1473"/>
        <v>0</v>
      </c>
      <c r="P824" s="361">
        <f t="shared" si="1473"/>
        <v>0</v>
      </c>
      <c r="Q824" s="361">
        <f t="shared" si="1473"/>
        <v>0</v>
      </c>
      <c r="R824" s="361">
        <f t="shared" si="1473"/>
        <v>0</v>
      </c>
      <c r="S824" s="342">
        <f t="shared" si="1474"/>
        <v>0</v>
      </c>
      <c r="T824" s="361">
        <f t="shared" si="1475"/>
        <v>0</v>
      </c>
      <c r="U824" s="361">
        <f t="shared" si="1475"/>
        <v>0</v>
      </c>
      <c r="V824" s="361">
        <f t="shared" si="1475"/>
        <v>0</v>
      </c>
      <c r="W824" s="361">
        <f t="shared" si="1475"/>
        <v>0</v>
      </c>
      <c r="X824" s="342">
        <f t="shared" si="1476"/>
        <v>0</v>
      </c>
      <c r="Y824" s="342">
        <f t="shared" si="1477"/>
        <v>0</v>
      </c>
      <c r="Z824" s="342">
        <f t="shared" si="1478"/>
        <v>0</v>
      </c>
      <c r="AA824" s="157">
        <f t="shared" si="1479"/>
        <v>0</v>
      </c>
      <c r="AB824" s="318">
        <f t="shared" si="1480"/>
        <v>0</v>
      </c>
    </row>
    <row r="825" spans="1:28" s="90" customFormat="1" ht="14.1" hidden="1" customHeight="1" x14ac:dyDescent="0.2">
      <c r="A825" s="301"/>
      <c r="B825" s="349" t="s">
        <v>459</v>
      </c>
      <c r="C825" s="101"/>
      <c r="D825" s="101"/>
      <c r="E825" s="101"/>
      <c r="F825" s="370" t="s">
        <v>460</v>
      </c>
      <c r="G825" s="361">
        <f t="shared" si="1468"/>
        <v>0</v>
      </c>
      <c r="H825" s="361">
        <f t="shared" si="1468"/>
        <v>0</v>
      </c>
      <c r="I825" s="330">
        <f t="shared" si="1469"/>
        <v>0</v>
      </c>
      <c r="J825" s="330">
        <f t="shared" si="1470"/>
        <v>0</v>
      </c>
      <c r="K825" s="361">
        <f t="shared" si="1471"/>
        <v>0</v>
      </c>
      <c r="L825" s="361">
        <f t="shared" si="1471"/>
        <v>0</v>
      </c>
      <c r="M825" s="361">
        <f t="shared" si="1471"/>
        <v>0</v>
      </c>
      <c r="N825" s="275">
        <f t="shared" si="1472"/>
        <v>0</v>
      </c>
      <c r="O825" s="361">
        <f t="shared" si="1473"/>
        <v>0</v>
      </c>
      <c r="P825" s="361">
        <f t="shared" si="1473"/>
        <v>0</v>
      </c>
      <c r="Q825" s="361">
        <f t="shared" si="1473"/>
        <v>0</v>
      </c>
      <c r="R825" s="361">
        <f t="shared" si="1473"/>
        <v>0</v>
      </c>
      <c r="S825" s="342">
        <f t="shared" si="1474"/>
        <v>0</v>
      </c>
      <c r="T825" s="361">
        <f t="shared" si="1475"/>
        <v>0</v>
      </c>
      <c r="U825" s="361">
        <f t="shared" si="1475"/>
        <v>0</v>
      </c>
      <c r="V825" s="361">
        <f t="shared" si="1475"/>
        <v>0</v>
      </c>
      <c r="W825" s="361">
        <f t="shared" si="1475"/>
        <v>0</v>
      </c>
      <c r="X825" s="342">
        <f t="shared" si="1476"/>
        <v>0</v>
      </c>
      <c r="Y825" s="342">
        <f t="shared" si="1477"/>
        <v>0</v>
      </c>
      <c r="Z825" s="342">
        <f t="shared" si="1478"/>
        <v>0</v>
      </c>
      <c r="AA825" s="157">
        <f t="shared" si="1479"/>
        <v>0</v>
      </c>
      <c r="AB825" s="318">
        <f t="shared" si="1480"/>
        <v>0</v>
      </c>
    </row>
    <row r="826" spans="1:28" s="90" customFormat="1" ht="14.1" hidden="1" customHeight="1" x14ac:dyDescent="0.2">
      <c r="A826" s="301"/>
      <c r="B826" s="349" t="s">
        <v>461</v>
      </c>
      <c r="C826" s="101"/>
      <c r="D826" s="101"/>
      <c r="E826" s="101"/>
      <c r="F826" s="370" t="s">
        <v>462</v>
      </c>
      <c r="G826" s="361">
        <f t="shared" si="1468"/>
        <v>0</v>
      </c>
      <c r="H826" s="361">
        <f t="shared" si="1468"/>
        <v>0</v>
      </c>
      <c r="I826" s="330">
        <f t="shared" si="1469"/>
        <v>0</v>
      </c>
      <c r="J826" s="330">
        <f t="shared" si="1470"/>
        <v>0</v>
      </c>
      <c r="K826" s="361">
        <f t="shared" si="1471"/>
        <v>0</v>
      </c>
      <c r="L826" s="361">
        <f t="shared" si="1471"/>
        <v>0</v>
      </c>
      <c r="M826" s="361">
        <f t="shared" si="1471"/>
        <v>0</v>
      </c>
      <c r="N826" s="275">
        <f t="shared" si="1472"/>
        <v>0</v>
      </c>
      <c r="O826" s="361">
        <f t="shared" si="1473"/>
        <v>0</v>
      </c>
      <c r="P826" s="361">
        <f t="shared" si="1473"/>
        <v>0</v>
      </c>
      <c r="Q826" s="361">
        <f t="shared" si="1473"/>
        <v>0</v>
      </c>
      <c r="R826" s="361">
        <f t="shared" si="1473"/>
        <v>0</v>
      </c>
      <c r="S826" s="342">
        <f t="shared" si="1474"/>
        <v>0</v>
      </c>
      <c r="T826" s="361">
        <f t="shared" si="1475"/>
        <v>0</v>
      </c>
      <c r="U826" s="361">
        <f t="shared" si="1475"/>
        <v>0</v>
      </c>
      <c r="V826" s="361">
        <f t="shared" si="1475"/>
        <v>0</v>
      </c>
      <c r="W826" s="361">
        <f t="shared" si="1475"/>
        <v>0</v>
      </c>
      <c r="X826" s="342">
        <f t="shared" si="1476"/>
        <v>0</v>
      </c>
      <c r="Y826" s="342">
        <f t="shared" si="1477"/>
        <v>0</v>
      </c>
      <c r="Z826" s="342">
        <f t="shared" si="1478"/>
        <v>0</v>
      </c>
      <c r="AA826" s="157">
        <f t="shared" si="1479"/>
        <v>0</v>
      </c>
      <c r="AB826" s="318">
        <f t="shared" si="1480"/>
        <v>0</v>
      </c>
    </row>
    <row r="827" spans="1:28" s="90" customFormat="1" ht="14.1" hidden="1" customHeight="1" x14ac:dyDescent="0.2">
      <c r="A827" s="301"/>
      <c r="B827" s="349" t="s">
        <v>463</v>
      </c>
      <c r="C827" s="101"/>
      <c r="D827" s="101"/>
      <c r="E827" s="101"/>
      <c r="F827" s="370" t="s">
        <v>464</v>
      </c>
      <c r="G827" s="361">
        <f t="shared" si="1468"/>
        <v>0</v>
      </c>
      <c r="H827" s="361">
        <f t="shared" si="1468"/>
        <v>0</v>
      </c>
      <c r="I827" s="330">
        <f t="shared" si="1469"/>
        <v>0</v>
      </c>
      <c r="J827" s="330">
        <f t="shared" si="1470"/>
        <v>0</v>
      </c>
      <c r="K827" s="361">
        <f t="shared" si="1471"/>
        <v>0</v>
      </c>
      <c r="L827" s="361">
        <f t="shared" si="1471"/>
        <v>0</v>
      </c>
      <c r="M827" s="361">
        <f t="shared" si="1471"/>
        <v>0</v>
      </c>
      <c r="N827" s="275">
        <f t="shared" si="1472"/>
        <v>0</v>
      </c>
      <c r="O827" s="361">
        <f t="shared" si="1473"/>
        <v>0</v>
      </c>
      <c r="P827" s="361">
        <f t="shared" si="1473"/>
        <v>0</v>
      </c>
      <c r="Q827" s="361">
        <f t="shared" si="1473"/>
        <v>0</v>
      </c>
      <c r="R827" s="361">
        <f t="shared" si="1473"/>
        <v>0</v>
      </c>
      <c r="S827" s="342">
        <f t="shared" si="1474"/>
        <v>0</v>
      </c>
      <c r="T827" s="361">
        <f t="shared" si="1475"/>
        <v>0</v>
      </c>
      <c r="U827" s="361">
        <f t="shared" si="1475"/>
        <v>0</v>
      </c>
      <c r="V827" s="361">
        <f t="shared" si="1475"/>
        <v>0</v>
      </c>
      <c r="W827" s="361">
        <f t="shared" si="1475"/>
        <v>0</v>
      </c>
      <c r="X827" s="342">
        <f t="shared" si="1476"/>
        <v>0</v>
      </c>
      <c r="Y827" s="342">
        <f t="shared" si="1477"/>
        <v>0</v>
      </c>
      <c r="Z827" s="342">
        <f t="shared" si="1478"/>
        <v>0</v>
      </c>
      <c r="AA827" s="157">
        <f t="shared" si="1479"/>
        <v>0</v>
      </c>
      <c r="AB827" s="318">
        <f t="shared" si="1480"/>
        <v>0</v>
      </c>
    </row>
    <row r="828" spans="1:28" s="90" customFormat="1" ht="14.1" hidden="1" customHeight="1" x14ac:dyDescent="0.2">
      <c r="A828" s="301"/>
      <c r="B828" s="348" t="s">
        <v>465</v>
      </c>
      <c r="C828" s="101"/>
      <c r="D828" s="101"/>
      <c r="E828" s="101"/>
      <c r="F828" s="370"/>
      <c r="G828" s="321"/>
      <c r="H828" s="321"/>
      <c r="I828" s="321"/>
      <c r="J828" s="321"/>
      <c r="K828" s="321"/>
      <c r="L828" s="321"/>
      <c r="M828" s="321"/>
      <c r="N828" s="332"/>
      <c r="O828" s="321"/>
      <c r="P828" s="321"/>
      <c r="Q828" s="321"/>
      <c r="R828" s="321"/>
      <c r="S828" s="332"/>
      <c r="T828" s="321"/>
      <c r="U828" s="321"/>
      <c r="V828" s="321"/>
      <c r="W828" s="321"/>
      <c r="X828" s="332"/>
      <c r="Y828" s="332"/>
      <c r="Z828" s="332"/>
      <c r="AA828" s="332"/>
      <c r="AB828" s="302"/>
    </row>
    <row r="829" spans="1:28" s="90" customFormat="1" ht="14.1" hidden="1" customHeight="1" x14ac:dyDescent="0.2">
      <c r="A829" s="301"/>
      <c r="B829" s="349" t="s">
        <v>466</v>
      </c>
      <c r="C829" s="101"/>
      <c r="D829" s="101"/>
      <c r="E829" s="101"/>
      <c r="F829" s="370" t="s">
        <v>467</v>
      </c>
      <c r="G829" s="361">
        <f t="shared" ref="G829:H831" si="1481">G934+G1117+G1223</f>
        <v>0</v>
      </c>
      <c r="H829" s="361">
        <f t="shared" si="1481"/>
        <v>0</v>
      </c>
      <c r="I829" s="330">
        <f t="shared" ref="I829:I831" si="1482">G829+H829</f>
        <v>0</v>
      </c>
      <c r="J829" s="330">
        <f t="shared" ref="J829:J831" si="1483">I829</f>
        <v>0</v>
      </c>
      <c r="K829" s="361">
        <f t="shared" ref="K829:M831" si="1484">K934+K1117+K1223</f>
        <v>0</v>
      </c>
      <c r="L829" s="361">
        <f t="shared" si="1484"/>
        <v>0</v>
      </c>
      <c r="M829" s="361">
        <f t="shared" si="1484"/>
        <v>0</v>
      </c>
      <c r="N829" s="275">
        <f t="shared" ref="N829:N831" si="1485">J829+K829-L829+M829</f>
        <v>0</v>
      </c>
      <c r="O829" s="361">
        <f t="shared" ref="O829:R831" si="1486">O934+O1117+O1223</f>
        <v>0</v>
      </c>
      <c r="P829" s="361">
        <f t="shared" si="1486"/>
        <v>0</v>
      </c>
      <c r="Q829" s="361">
        <f t="shared" si="1486"/>
        <v>0</v>
      </c>
      <c r="R829" s="361">
        <f t="shared" si="1486"/>
        <v>0</v>
      </c>
      <c r="S829" s="342">
        <f t="shared" ref="S829:S831" si="1487">SUM(O829:R829)</f>
        <v>0</v>
      </c>
      <c r="T829" s="361">
        <f t="shared" ref="T829:W831" si="1488">T934+T1117+T1223</f>
        <v>0</v>
      </c>
      <c r="U829" s="361">
        <f t="shared" si="1488"/>
        <v>0</v>
      </c>
      <c r="V829" s="361">
        <f t="shared" si="1488"/>
        <v>0</v>
      </c>
      <c r="W829" s="361">
        <f t="shared" si="1488"/>
        <v>0</v>
      </c>
      <c r="X829" s="342">
        <f t="shared" ref="X829:X831" si="1489">SUM(T829:W829)</f>
        <v>0</v>
      </c>
      <c r="Y829" s="342">
        <f t="shared" ref="Y829:Y831" si="1490">I829-N829</f>
        <v>0</v>
      </c>
      <c r="Z829" s="342">
        <f t="shared" ref="Z829:Z831" si="1491">N829-S829</f>
        <v>0</v>
      </c>
      <c r="AA829" s="157">
        <f>AA934+AA1117+AA1223</f>
        <v>0</v>
      </c>
      <c r="AB829" s="318">
        <f t="shared" ref="AB829:AB831" si="1492">+S829-X829-AA829</f>
        <v>0</v>
      </c>
    </row>
    <row r="830" spans="1:28" s="90" customFormat="1" ht="14.1" hidden="1" customHeight="1" x14ac:dyDescent="0.2">
      <c r="A830" s="301"/>
      <c r="B830" s="349" t="s">
        <v>468</v>
      </c>
      <c r="C830" s="101"/>
      <c r="D830" s="101"/>
      <c r="E830" s="101"/>
      <c r="F830" s="370" t="s">
        <v>469</v>
      </c>
      <c r="G830" s="361">
        <f t="shared" si="1481"/>
        <v>0</v>
      </c>
      <c r="H830" s="361">
        <f t="shared" si="1481"/>
        <v>0</v>
      </c>
      <c r="I830" s="330">
        <f t="shared" si="1482"/>
        <v>0</v>
      </c>
      <c r="J830" s="330">
        <f t="shared" si="1483"/>
        <v>0</v>
      </c>
      <c r="K830" s="361">
        <f t="shared" si="1484"/>
        <v>0</v>
      </c>
      <c r="L830" s="361">
        <f t="shared" si="1484"/>
        <v>0</v>
      </c>
      <c r="M830" s="361">
        <f t="shared" si="1484"/>
        <v>0</v>
      </c>
      <c r="N830" s="275">
        <f t="shared" si="1485"/>
        <v>0</v>
      </c>
      <c r="O830" s="361">
        <f t="shared" si="1486"/>
        <v>0</v>
      </c>
      <c r="P830" s="361">
        <f t="shared" si="1486"/>
        <v>0</v>
      </c>
      <c r="Q830" s="361">
        <f t="shared" si="1486"/>
        <v>0</v>
      </c>
      <c r="R830" s="361">
        <f t="shared" si="1486"/>
        <v>0</v>
      </c>
      <c r="S830" s="342">
        <f t="shared" si="1487"/>
        <v>0</v>
      </c>
      <c r="T830" s="361">
        <f t="shared" si="1488"/>
        <v>0</v>
      </c>
      <c r="U830" s="361">
        <f t="shared" si="1488"/>
        <v>0</v>
      </c>
      <c r="V830" s="361">
        <f t="shared" si="1488"/>
        <v>0</v>
      </c>
      <c r="W830" s="361">
        <f t="shared" si="1488"/>
        <v>0</v>
      </c>
      <c r="X830" s="342">
        <f t="shared" si="1489"/>
        <v>0</v>
      </c>
      <c r="Y830" s="342">
        <f t="shared" si="1490"/>
        <v>0</v>
      </c>
      <c r="Z830" s="342">
        <f t="shared" si="1491"/>
        <v>0</v>
      </c>
      <c r="AA830" s="157">
        <f>AA935+AA1118+AA1224</f>
        <v>0</v>
      </c>
      <c r="AB830" s="318">
        <f t="shared" si="1492"/>
        <v>0</v>
      </c>
    </row>
    <row r="831" spans="1:28" s="90" customFormat="1" ht="14.1" hidden="1" customHeight="1" x14ac:dyDescent="0.2">
      <c r="A831" s="301"/>
      <c r="B831" s="349" t="s">
        <v>470</v>
      </c>
      <c r="C831" s="101"/>
      <c r="D831" s="101"/>
      <c r="E831" s="101"/>
      <c r="F831" s="370" t="s">
        <v>471</v>
      </c>
      <c r="G831" s="361">
        <f t="shared" si="1481"/>
        <v>0</v>
      </c>
      <c r="H831" s="361">
        <f t="shared" si="1481"/>
        <v>0</v>
      </c>
      <c r="I831" s="330">
        <f t="shared" si="1482"/>
        <v>0</v>
      </c>
      <c r="J831" s="330">
        <f t="shared" si="1483"/>
        <v>0</v>
      </c>
      <c r="K831" s="361">
        <f t="shared" si="1484"/>
        <v>0</v>
      </c>
      <c r="L831" s="361">
        <f t="shared" si="1484"/>
        <v>0</v>
      </c>
      <c r="M831" s="361">
        <f t="shared" si="1484"/>
        <v>0</v>
      </c>
      <c r="N831" s="275">
        <f t="shared" si="1485"/>
        <v>0</v>
      </c>
      <c r="O831" s="361">
        <f t="shared" si="1486"/>
        <v>0</v>
      </c>
      <c r="P831" s="361">
        <f t="shared" si="1486"/>
        <v>0</v>
      </c>
      <c r="Q831" s="361">
        <f t="shared" si="1486"/>
        <v>0</v>
      </c>
      <c r="R831" s="361">
        <f t="shared" si="1486"/>
        <v>0</v>
      </c>
      <c r="S831" s="342">
        <f t="shared" si="1487"/>
        <v>0</v>
      </c>
      <c r="T831" s="361">
        <f t="shared" si="1488"/>
        <v>0</v>
      </c>
      <c r="U831" s="361">
        <f t="shared" si="1488"/>
        <v>0</v>
      </c>
      <c r="V831" s="361">
        <f t="shared" si="1488"/>
        <v>0</v>
      </c>
      <c r="W831" s="361">
        <f t="shared" si="1488"/>
        <v>0</v>
      </c>
      <c r="X831" s="342">
        <f t="shared" si="1489"/>
        <v>0</v>
      </c>
      <c r="Y831" s="342">
        <f t="shared" si="1490"/>
        <v>0</v>
      </c>
      <c r="Z831" s="342">
        <f t="shared" si="1491"/>
        <v>0</v>
      </c>
      <c r="AA831" s="157">
        <f>AA936+AA1119+AA1225</f>
        <v>0</v>
      </c>
      <c r="AB831" s="318">
        <f t="shared" si="1492"/>
        <v>0</v>
      </c>
    </row>
    <row r="832" spans="1:28" s="90" customFormat="1" ht="14.1" hidden="1" customHeight="1" x14ac:dyDescent="0.2">
      <c r="A832" s="301"/>
      <c r="B832" s="348" t="s">
        <v>472</v>
      </c>
      <c r="C832" s="101"/>
      <c r="D832" s="101"/>
      <c r="E832" s="101"/>
      <c r="F832" s="370"/>
      <c r="G832" s="321"/>
      <c r="H832" s="321"/>
      <c r="I832" s="321"/>
      <c r="J832" s="321"/>
      <c r="K832" s="321"/>
      <c r="L832" s="321"/>
      <c r="M832" s="321"/>
      <c r="N832" s="332"/>
      <c r="O832" s="321"/>
      <c r="P832" s="321"/>
      <c r="Q832" s="321"/>
      <c r="R832" s="321"/>
      <c r="S832" s="332"/>
      <c r="T832" s="321"/>
      <c r="U832" s="321"/>
      <c r="V832" s="321"/>
      <c r="W832" s="321"/>
      <c r="X832" s="332"/>
      <c r="Y832" s="332"/>
      <c r="Z832" s="332"/>
      <c r="AA832" s="332"/>
      <c r="AB832" s="302"/>
    </row>
    <row r="833" spans="1:28" s="90" customFormat="1" ht="14.1" hidden="1" customHeight="1" x14ac:dyDescent="0.2">
      <c r="A833" s="301"/>
      <c r="B833" s="349" t="s">
        <v>473</v>
      </c>
      <c r="C833" s="101"/>
      <c r="D833" s="101"/>
      <c r="E833" s="101"/>
      <c r="F833" s="370" t="s">
        <v>474</v>
      </c>
      <c r="G833" s="361">
        <f>G938+G1121+G1227</f>
        <v>0</v>
      </c>
      <c r="H833" s="361">
        <f>H938+H1121+H1227</f>
        <v>0</v>
      </c>
      <c r="I833" s="330">
        <f t="shared" ref="I833:I834" si="1493">G833+H833</f>
        <v>0</v>
      </c>
      <c r="J833" s="330">
        <f t="shared" ref="J833:J834" si="1494">I833</f>
        <v>0</v>
      </c>
      <c r="K833" s="361">
        <f t="shared" ref="K833:M834" si="1495">K938+K1121+K1227</f>
        <v>0</v>
      </c>
      <c r="L833" s="361">
        <f t="shared" si="1495"/>
        <v>0</v>
      </c>
      <c r="M833" s="361">
        <f t="shared" si="1495"/>
        <v>0</v>
      </c>
      <c r="N833" s="275">
        <f t="shared" ref="N833:N834" si="1496">J833+K833-L833+M833</f>
        <v>0</v>
      </c>
      <c r="O833" s="361">
        <f t="shared" ref="O833:R834" si="1497">O938+O1121+O1227</f>
        <v>0</v>
      </c>
      <c r="P833" s="361">
        <f t="shared" si="1497"/>
        <v>0</v>
      </c>
      <c r="Q833" s="361">
        <f t="shared" si="1497"/>
        <v>0</v>
      </c>
      <c r="R833" s="361">
        <f t="shared" si="1497"/>
        <v>0</v>
      </c>
      <c r="S833" s="342">
        <f t="shared" ref="S833:S834" si="1498">SUM(O833:R833)</f>
        <v>0</v>
      </c>
      <c r="T833" s="361">
        <f t="shared" ref="T833:W834" si="1499">T938+T1121+T1227</f>
        <v>0</v>
      </c>
      <c r="U833" s="361">
        <f t="shared" si="1499"/>
        <v>0</v>
      </c>
      <c r="V833" s="361">
        <f t="shared" si="1499"/>
        <v>0</v>
      </c>
      <c r="W833" s="361">
        <f t="shared" si="1499"/>
        <v>0</v>
      </c>
      <c r="X833" s="342">
        <f t="shared" ref="X833:X834" si="1500">SUM(T833:W833)</f>
        <v>0</v>
      </c>
      <c r="Y833" s="342">
        <f t="shared" ref="Y833:Y834" si="1501">I833-N833</f>
        <v>0</v>
      </c>
      <c r="Z833" s="342">
        <f t="shared" ref="Z833:Z834" si="1502">N833-S833</f>
        <v>0</v>
      </c>
      <c r="AA833" s="157">
        <f>AA938+AA1121+AA1227</f>
        <v>0</v>
      </c>
      <c r="AB833" s="318">
        <f t="shared" ref="AB833:AB834" si="1503">+S833-X833-AA833</f>
        <v>0</v>
      </c>
    </row>
    <row r="834" spans="1:28" s="90" customFormat="1" ht="14.1" hidden="1" customHeight="1" x14ac:dyDescent="0.2">
      <c r="A834" s="301"/>
      <c r="B834" s="349" t="s">
        <v>475</v>
      </c>
      <c r="C834" s="101"/>
      <c r="D834" s="101"/>
      <c r="E834" s="101"/>
      <c r="F834" s="370" t="s">
        <v>476</v>
      </c>
      <c r="G834" s="361">
        <f>G939+G1122+G1228</f>
        <v>0</v>
      </c>
      <c r="H834" s="361">
        <f>H939+H1122+H1228</f>
        <v>0</v>
      </c>
      <c r="I834" s="330">
        <f t="shared" si="1493"/>
        <v>0</v>
      </c>
      <c r="J834" s="330">
        <f t="shared" si="1494"/>
        <v>0</v>
      </c>
      <c r="K834" s="361">
        <f t="shared" si="1495"/>
        <v>0</v>
      </c>
      <c r="L834" s="361">
        <f t="shared" si="1495"/>
        <v>0</v>
      </c>
      <c r="M834" s="361">
        <f t="shared" si="1495"/>
        <v>0</v>
      </c>
      <c r="N834" s="275">
        <f t="shared" si="1496"/>
        <v>0</v>
      </c>
      <c r="O834" s="361">
        <f t="shared" si="1497"/>
        <v>0</v>
      </c>
      <c r="P834" s="361">
        <f t="shared" si="1497"/>
        <v>0</v>
      </c>
      <c r="Q834" s="361">
        <f t="shared" si="1497"/>
        <v>0</v>
      </c>
      <c r="R834" s="361">
        <f t="shared" si="1497"/>
        <v>0</v>
      </c>
      <c r="S834" s="342">
        <f t="shared" si="1498"/>
        <v>0</v>
      </c>
      <c r="T834" s="361">
        <f t="shared" si="1499"/>
        <v>0</v>
      </c>
      <c r="U834" s="361">
        <f t="shared" si="1499"/>
        <v>0</v>
      </c>
      <c r="V834" s="361">
        <f t="shared" si="1499"/>
        <v>0</v>
      </c>
      <c r="W834" s="361">
        <f t="shared" si="1499"/>
        <v>0</v>
      </c>
      <c r="X834" s="342">
        <f t="shared" si="1500"/>
        <v>0</v>
      </c>
      <c r="Y834" s="342">
        <f t="shared" si="1501"/>
        <v>0</v>
      </c>
      <c r="Z834" s="342">
        <f t="shared" si="1502"/>
        <v>0</v>
      </c>
      <c r="AA834" s="157">
        <f>AA939+AA1122+AA1228</f>
        <v>0</v>
      </c>
      <c r="AB834" s="318">
        <f t="shared" si="1503"/>
        <v>0</v>
      </c>
    </row>
    <row r="835" spans="1:28" s="90" customFormat="1" ht="14.1" hidden="1" customHeight="1" x14ac:dyDescent="0.2">
      <c r="A835" s="301"/>
      <c r="B835" s="348" t="s">
        <v>477</v>
      </c>
      <c r="C835" s="101"/>
      <c r="D835" s="101"/>
      <c r="E835" s="101"/>
      <c r="F835" s="370"/>
      <c r="G835" s="321"/>
      <c r="H835" s="321"/>
      <c r="I835" s="321"/>
      <c r="J835" s="321"/>
      <c r="K835" s="321"/>
      <c r="L835" s="321"/>
      <c r="M835" s="321"/>
      <c r="N835" s="332"/>
      <c r="O835" s="321"/>
      <c r="P835" s="321"/>
      <c r="Q835" s="321"/>
      <c r="R835" s="321"/>
      <c r="S835" s="332"/>
      <c r="T835" s="321"/>
      <c r="U835" s="321"/>
      <c r="V835" s="321"/>
      <c r="W835" s="321"/>
      <c r="X835" s="332"/>
      <c r="Y835" s="332"/>
      <c r="Z835" s="332"/>
      <c r="AA835" s="332"/>
      <c r="AB835" s="302"/>
    </row>
    <row r="836" spans="1:28" s="90" customFormat="1" ht="14.1" hidden="1" customHeight="1" x14ac:dyDescent="0.2">
      <c r="A836" s="301"/>
      <c r="B836" s="349" t="s">
        <v>478</v>
      </c>
      <c r="C836" s="101"/>
      <c r="D836" s="101"/>
      <c r="E836" s="101"/>
      <c r="F836" s="370" t="s">
        <v>479</v>
      </c>
      <c r="G836" s="361">
        <f>G941+G1124+G1230</f>
        <v>0</v>
      </c>
      <c r="H836" s="361">
        <f>H941+H1124+H1230</f>
        <v>0</v>
      </c>
      <c r="I836" s="330">
        <f t="shared" ref="I836" si="1504">G836+H836</f>
        <v>0</v>
      </c>
      <c r="J836" s="330">
        <f t="shared" ref="J836" si="1505">I836</f>
        <v>0</v>
      </c>
      <c r="K836" s="361">
        <f>K941+K1124+K1230</f>
        <v>0</v>
      </c>
      <c r="L836" s="361">
        <f>L941+L1124+L1230</f>
        <v>0</v>
      </c>
      <c r="M836" s="361">
        <f>M941+M1124+M1230</f>
        <v>0</v>
      </c>
      <c r="N836" s="275">
        <f t="shared" ref="N836" si="1506">J836+K836-L836+M836</f>
        <v>0</v>
      </c>
      <c r="O836" s="361">
        <f>O941+O1124+O1230</f>
        <v>0</v>
      </c>
      <c r="P836" s="361">
        <f>P941+P1124+P1230</f>
        <v>0</v>
      </c>
      <c r="Q836" s="361">
        <f>Q941+Q1124+Q1230</f>
        <v>0</v>
      </c>
      <c r="R836" s="361">
        <f>R941+R1124+R1230</f>
        <v>0</v>
      </c>
      <c r="S836" s="342">
        <f t="shared" ref="S836" si="1507">SUM(O836:R836)</f>
        <v>0</v>
      </c>
      <c r="T836" s="361">
        <f>T941+T1124+T1230</f>
        <v>0</v>
      </c>
      <c r="U836" s="361">
        <f>U941+U1124+U1230</f>
        <v>0</v>
      </c>
      <c r="V836" s="361">
        <f>V941+V1124+V1230</f>
        <v>0</v>
      </c>
      <c r="W836" s="361">
        <f>W941+W1124+W1230</f>
        <v>0</v>
      </c>
      <c r="X836" s="342">
        <f t="shared" ref="X836" si="1508">SUM(T836:W836)</f>
        <v>0</v>
      </c>
      <c r="Y836" s="342">
        <f t="shared" ref="Y836" si="1509">I836-N836</f>
        <v>0</v>
      </c>
      <c r="Z836" s="342">
        <f t="shared" ref="Z836" si="1510">N836-S836</f>
        <v>0</v>
      </c>
      <c r="AA836" s="157">
        <f>AA941+AA1124+AA1230</f>
        <v>0</v>
      </c>
      <c r="AB836" s="318">
        <f t="shared" ref="AB836" si="1511">+S836-X836-AA836</f>
        <v>0</v>
      </c>
    </row>
    <row r="837" spans="1:28" s="90" customFormat="1" ht="14.1" hidden="1" customHeight="1" x14ac:dyDescent="0.2">
      <c r="A837" s="301"/>
      <c r="B837" s="348" t="s">
        <v>480</v>
      </c>
      <c r="C837" s="101"/>
      <c r="D837" s="101"/>
      <c r="E837" s="101"/>
      <c r="F837" s="370"/>
      <c r="G837" s="321"/>
      <c r="H837" s="321"/>
      <c r="I837" s="321"/>
      <c r="J837" s="321"/>
      <c r="K837" s="321"/>
      <c r="L837" s="321"/>
      <c r="M837" s="321"/>
      <c r="N837" s="332"/>
      <c r="O837" s="321"/>
      <c r="P837" s="321"/>
      <c r="Q837" s="321"/>
      <c r="R837" s="321"/>
      <c r="S837" s="332"/>
      <c r="T837" s="321"/>
      <c r="U837" s="321"/>
      <c r="V837" s="321"/>
      <c r="W837" s="321"/>
      <c r="X837" s="332"/>
      <c r="Y837" s="332"/>
      <c r="Z837" s="332"/>
      <c r="AA837" s="332"/>
      <c r="AB837" s="302"/>
    </row>
    <row r="838" spans="1:28" s="90" customFormat="1" ht="14.1" hidden="1" customHeight="1" x14ac:dyDescent="0.2">
      <c r="A838" s="301"/>
      <c r="B838" s="349" t="s">
        <v>481</v>
      </c>
      <c r="C838" s="101"/>
      <c r="D838" s="101"/>
      <c r="E838" s="101"/>
      <c r="F838" s="370" t="s">
        <v>482</v>
      </c>
      <c r="G838" s="361">
        <f>G943+G1126+G1232</f>
        <v>0</v>
      </c>
      <c r="H838" s="361">
        <f>H943+H1126+H1232</f>
        <v>0</v>
      </c>
      <c r="I838" s="330">
        <f t="shared" ref="I838" si="1512">G838+H838</f>
        <v>0</v>
      </c>
      <c r="J838" s="330">
        <f t="shared" ref="J838" si="1513">I838</f>
        <v>0</v>
      </c>
      <c r="K838" s="361">
        <f>K943+K1126+K1232</f>
        <v>0</v>
      </c>
      <c r="L838" s="361">
        <f>L943+L1126+L1232</f>
        <v>0</v>
      </c>
      <c r="M838" s="361">
        <f>M943+M1126+M1232</f>
        <v>0</v>
      </c>
      <c r="N838" s="275">
        <f t="shared" ref="N838" si="1514">J838+K838-L838+M838</f>
        <v>0</v>
      </c>
      <c r="O838" s="361">
        <f>O943+O1126+O1232</f>
        <v>0</v>
      </c>
      <c r="P838" s="361">
        <f>P943+P1126+P1232</f>
        <v>0</v>
      </c>
      <c r="Q838" s="361">
        <f>Q943+Q1126+Q1232</f>
        <v>0</v>
      </c>
      <c r="R838" s="361">
        <f>R943+R1126+R1232</f>
        <v>0</v>
      </c>
      <c r="S838" s="342">
        <f t="shared" ref="S838" si="1515">SUM(O838:R838)</f>
        <v>0</v>
      </c>
      <c r="T838" s="361">
        <f>T943+T1126+T1232</f>
        <v>0</v>
      </c>
      <c r="U838" s="361">
        <f>U943+U1126+U1232</f>
        <v>0</v>
      </c>
      <c r="V838" s="361">
        <f>V943+V1126+V1232</f>
        <v>0</v>
      </c>
      <c r="W838" s="361">
        <f>W943+W1126+W1232</f>
        <v>0</v>
      </c>
      <c r="X838" s="342">
        <f t="shared" ref="X838" si="1516">SUM(T838:W838)</f>
        <v>0</v>
      </c>
      <c r="Y838" s="342">
        <f t="shared" ref="Y838" si="1517">I838-N838</f>
        <v>0</v>
      </c>
      <c r="Z838" s="342">
        <f t="shared" ref="Z838" si="1518">N838-S838</f>
        <v>0</v>
      </c>
      <c r="AA838" s="157">
        <f>AA943+AA1126+AA1232</f>
        <v>0</v>
      </c>
      <c r="AB838" s="318">
        <f t="shared" ref="AB838" si="1519">+S838-X838-AA838</f>
        <v>0</v>
      </c>
    </row>
    <row r="839" spans="1:28" s="90" customFormat="1" ht="14.1" customHeight="1" x14ac:dyDescent="0.2">
      <c r="A839" s="301"/>
      <c r="B839" s="349"/>
      <c r="C839" s="101"/>
      <c r="D839" s="101"/>
      <c r="E839" s="101"/>
      <c r="F839" s="370"/>
      <c r="G839" s="321"/>
      <c r="H839" s="321"/>
      <c r="I839" s="329"/>
      <c r="J839" s="329"/>
      <c r="K839" s="323"/>
      <c r="L839" s="323"/>
      <c r="M839" s="323"/>
      <c r="N839" s="329"/>
      <c r="O839" s="323"/>
      <c r="P839" s="323"/>
      <c r="Q839" s="323"/>
      <c r="R839" s="323"/>
      <c r="S839" s="323"/>
      <c r="T839" s="323"/>
      <c r="U839" s="323"/>
      <c r="V839" s="323"/>
      <c r="W839" s="323"/>
      <c r="X839" s="323"/>
      <c r="Y839" s="323"/>
      <c r="Z839" s="323"/>
      <c r="AA839" s="274"/>
      <c r="AB839" s="306"/>
    </row>
    <row r="840" spans="1:28" s="90" customFormat="1" ht="14.1" customHeight="1" x14ac:dyDescent="0.2">
      <c r="A840" s="301" t="s">
        <v>101</v>
      </c>
      <c r="B840" s="101" t="s">
        <v>102</v>
      </c>
      <c r="C840" s="101"/>
      <c r="D840" s="101"/>
      <c r="E840" s="101"/>
      <c r="F840" s="370" t="s">
        <v>673</v>
      </c>
      <c r="G840" s="321">
        <f t="shared" ref="G840:AB840" si="1520">+G916+G841</f>
        <v>175745.85</v>
      </c>
      <c r="H840" s="321">
        <f t="shared" si="1520"/>
        <v>0</v>
      </c>
      <c r="I840" s="321">
        <f t="shared" si="1520"/>
        <v>175745.85</v>
      </c>
      <c r="J840" s="321">
        <f t="shared" si="1520"/>
        <v>175745.85</v>
      </c>
      <c r="K840" s="321">
        <f t="shared" si="1520"/>
        <v>0</v>
      </c>
      <c r="L840" s="321">
        <f t="shared" si="1520"/>
        <v>0</v>
      </c>
      <c r="M840" s="321">
        <f t="shared" si="1520"/>
        <v>0</v>
      </c>
      <c r="N840" s="321">
        <f t="shared" si="1520"/>
        <v>175745.85</v>
      </c>
      <c r="O840" s="321">
        <f t="shared" si="1520"/>
        <v>9800</v>
      </c>
      <c r="P840" s="321">
        <f t="shared" si="1520"/>
        <v>22256.37</v>
      </c>
      <c r="Q840" s="321">
        <f t="shared" si="1520"/>
        <v>89881.66</v>
      </c>
      <c r="R840" s="321">
        <f t="shared" si="1520"/>
        <v>31807.82</v>
      </c>
      <c r="S840" s="321">
        <f t="shared" si="1520"/>
        <v>153745.85</v>
      </c>
      <c r="T840" s="321">
        <f t="shared" si="1520"/>
        <v>9800</v>
      </c>
      <c r="U840" s="321">
        <f t="shared" si="1520"/>
        <v>22256.37</v>
      </c>
      <c r="V840" s="321">
        <f t="shared" si="1520"/>
        <v>89881.66</v>
      </c>
      <c r="W840" s="321">
        <f t="shared" si="1520"/>
        <v>31807.82</v>
      </c>
      <c r="X840" s="321">
        <f t="shared" si="1520"/>
        <v>153745.85</v>
      </c>
      <c r="Y840" s="321">
        <f t="shared" si="1520"/>
        <v>0</v>
      </c>
      <c r="Z840" s="321">
        <f t="shared" si="1520"/>
        <v>22000</v>
      </c>
      <c r="AA840" s="332">
        <f t="shared" si="1520"/>
        <v>0</v>
      </c>
      <c r="AB840" s="302">
        <f t="shared" si="1520"/>
        <v>0</v>
      </c>
    </row>
    <row r="841" spans="1:28" s="90" customFormat="1" ht="14.1" customHeight="1" x14ac:dyDescent="0.2">
      <c r="A841" s="301"/>
      <c r="B841" s="355" t="s">
        <v>316</v>
      </c>
      <c r="C841" s="101"/>
      <c r="D841" s="101"/>
      <c r="E841" s="101"/>
      <c r="F841" s="372"/>
      <c r="G841" s="321">
        <f t="shared" ref="G841" si="1521">SUM(G843:G914)</f>
        <v>175745.85</v>
      </c>
      <c r="H841" s="321">
        <f t="shared" ref="H841:AB841" si="1522">SUM(H843:H914)</f>
        <v>0</v>
      </c>
      <c r="I841" s="321">
        <f t="shared" si="1522"/>
        <v>175745.85</v>
      </c>
      <c r="J841" s="321">
        <f t="shared" si="1522"/>
        <v>175745.85</v>
      </c>
      <c r="K841" s="321">
        <f t="shared" si="1522"/>
        <v>0</v>
      </c>
      <c r="L841" s="321">
        <f t="shared" si="1522"/>
        <v>0</v>
      </c>
      <c r="M841" s="321">
        <f t="shared" si="1522"/>
        <v>0</v>
      </c>
      <c r="N841" s="321">
        <f t="shared" si="1522"/>
        <v>175745.85</v>
      </c>
      <c r="O841" s="321">
        <f t="shared" si="1522"/>
        <v>9800</v>
      </c>
      <c r="P841" s="321">
        <f t="shared" si="1522"/>
        <v>22256.37</v>
      </c>
      <c r="Q841" s="321">
        <f t="shared" si="1522"/>
        <v>89881.66</v>
      </c>
      <c r="R841" s="321">
        <f t="shared" si="1522"/>
        <v>31807.82</v>
      </c>
      <c r="S841" s="321">
        <f t="shared" si="1522"/>
        <v>153745.85</v>
      </c>
      <c r="T841" s="321">
        <f t="shared" si="1522"/>
        <v>9800</v>
      </c>
      <c r="U841" s="321">
        <f t="shared" si="1522"/>
        <v>22256.37</v>
      </c>
      <c r="V841" s="321">
        <f t="shared" si="1522"/>
        <v>89881.66</v>
      </c>
      <c r="W841" s="321">
        <f t="shared" si="1522"/>
        <v>31807.82</v>
      </c>
      <c r="X841" s="321">
        <f t="shared" si="1522"/>
        <v>153745.85</v>
      </c>
      <c r="Y841" s="321">
        <f t="shared" si="1522"/>
        <v>0</v>
      </c>
      <c r="Z841" s="321">
        <f t="shared" si="1522"/>
        <v>22000</v>
      </c>
      <c r="AA841" s="332">
        <f t="shared" ref="AA841" si="1523">SUM(AA843:AA914)</f>
        <v>0</v>
      </c>
      <c r="AB841" s="302">
        <f t="shared" si="1522"/>
        <v>0</v>
      </c>
    </row>
    <row r="842" spans="1:28" s="90" customFormat="1" ht="14.1" customHeight="1" x14ac:dyDescent="0.2">
      <c r="A842" s="301"/>
      <c r="B842" s="348" t="s">
        <v>317</v>
      </c>
      <c r="C842" s="101"/>
      <c r="D842" s="101"/>
      <c r="E842" s="101"/>
      <c r="F842" s="370"/>
      <c r="G842" s="321"/>
      <c r="H842" s="321"/>
      <c r="I842" s="321"/>
      <c r="J842" s="321"/>
      <c r="K842" s="332"/>
      <c r="L842" s="332"/>
      <c r="M842" s="332"/>
      <c r="N842" s="332"/>
      <c r="O842" s="332"/>
      <c r="P842" s="332"/>
      <c r="Q842" s="332"/>
      <c r="R842" s="332"/>
      <c r="S842" s="332"/>
      <c r="T842" s="332"/>
      <c r="U842" s="332"/>
      <c r="V842" s="332"/>
      <c r="W842" s="332"/>
      <c r="X842" s="332"/>
      <c r="Y842" s="332"/>
      <c r="Z842" s="332"/>
      <c r="AA842" s="332"/>
      <c r="AB842" s="302"/>
    </row>
    <row r="843" spans="1:28" s="90" customFormat="1" ht="14.1" customHeight="1" x14ac:dyDescent="0.2">
      <c r="A843" s="301"/>
      <c r="B843" s="350" t="s">
        <v>318</v>
      </c>
      <c r="C843" s="101"/>
      <c r="D843" s="101"/>
      <c r="E843" s="101"/>
      <c r="F843" s="370" t="s">
        <v>319</v>
      </c>
      <c r="G843" s="149"/>
      <c r="H843" s="149"/>
      <c r="I843" s="329">
        <f t="shared" ref="I843:I844" si="1524">G843+H843</f>
        <v>0</v>
      </c>
      <c r="J843" s="329">
        <f t="shared" ref="J843:J844" si="1525">I843</f>
        <v>0</v>
      </c>
      <c r="K843" s="274"/>
      <c r="L843" s="274"/>
      <c r="M843" s="274"/>
      <c r="N843" s="275">
        <f t="shared" ref="N843:N844" si="1526">J843+K843-L843+M843</f>
        <v>0</v>
      </c>
      <c r="O843" s="274"/>
      <c r="P843" s="274"/>
      <c r="Q843" s="274"/>
      <c r="R843" s="274"/>
      <c r="S843" s="274">
        <f t="shared" ref="S843:S844" si="1527">SUM(O843:R843)</f>
        <v>0</v>
      </c>
      <c r="T843" s="274"/>
      <c r="U843" s="274"/>
      <c r="V843" s="274"/>
      <c r="W843" s="274"/>
      <c r="X843" s="274">
        <f t="shared" ref="X843:X844" si="1528">SUM(T843:W843)</f>
        <v>0</v>
      </c>
      <c r="Y843" s="274">
        <f t="shared" ref="Y843:Y844" si="1529">I843-N843</f>
        <v>0</v>
      </c>
      <c r="Z843" s="274">
        <f t="shared" ref="Z843:Z844" si="1530">N843-S843</f>
        <v>0</v>
      </c>
      <c r="AA843" s="274"/>
      <c r="AB843" s="306">
        <f t="shared" ref="AB843:AB844" si="1531">+S843-X843-AA843</f>
        <v>0</v>
      </c>
    </row>
    <row r="844" spans="1:28" s="90" customFormat="1" ht="14.1" hidden="1" customHeight="1" x14ac:dyDescent="0.2">
      <c r="A844" s="301"/>
      <c r="B844" s="350" t="s">
        <v>320</v>
      </c>
      <c r="C844" s="101"/>
      <c r="D844" s="101"/>
      <c r="E844" s="101"/>
      <c r="F844" s="370" t="s">
        <v>321</v>
      </c>
      <c r="G844" s="149"/>
      <c r="H844" s="149"/>
      <c r="I844" s="329">
        <f t="shared" si="1524"/>
        <v>0</v>
      </c>
      <c r="J844" s="329">
        <f t="shared" si="1525"/>
        <v>0</v>
      </c>
      <c r="K844" s="274"/>
      <c r="L844" s="274"/>
      <c r="M844" s="274"/>
      <c r="N844" s="275">
        <f t="shared" si="1526"/>
        <v>0</v>
      </c>
      <c r="O844" s="274"/>
      <c r="P844" s="274"/>
      <c r="Q844" s="274"/>
      <c r="R844" s="274"/>
      <c r="S844" s="274">
        <f t="shared" si="1527"/>
        <v>0</v>
      </c>
      <c r="T844" s="274"/>
      <c r="U844" s="274"/>
      <c r="V844" s="274"/>
      <c r="W844" s="274"/>
      <c r="X844" s="274">
        <f t="shared" si="1528"/>
        <v>0</v>
      </c>
      <c r="Y844" s="274">
        <f t="shared" si="1529"/>
        <v>0</v>
      </c>
      <c r="Z844" s="274">
        <f t="shared" si="1530"/>
        <v>0</v>
      </c>
      <c r="AA844" s="274"/>
      <c r="AB844" s="306">
        <f t="shared" si="1531"/>
        <v>0</v>
      </c>
    </row>
    <row r="845" spans="1:28" s="90" customFormat="1" ht="14.1" customHeight="1" x14ac:dyDescent="0.2">
      <c r="A845" s="301"/>
      <c r="B845" s="351" t="s">
        <v>322</v>
      </c>
      <c r="C845" s="101"/>
      <c r="D845" s="101"/>
      <c r="E845" s="101"/>
      <c r="F845" s="370"/>
      <c r="G845" s="149"/>
      <c r="H845" s="149"/>
      <c r="I845" s="149"/>
      <c r="J845" s="149"/>
      <c r="K845" s="159"/>
      <c r="L845" s="159"/>
      <c r="M845" s="159"/>
      <c r="N845" s="159"/>
      <c r="O845" s="159"/>
      <c r="P845" s="159"/>
      <c r="Q845" s="159"/>
      <c r="R845" s="159"/>
      <c r="S845" s="159"/>
      <c r="T845" s="159"/>
      <c r="U845" s="159"/>
      <c r="V845" s="159"/>
      <c r="W845" s="159"/>
      <c r="X845" s="159"/>
      <c r="Y845" s="159"/>
      <c r="Z845" s="159"/>
      <c r="AA845" s="159"/>
      <c r="AB845" s="583"/>
    </row>
    <row r="846" spans="1:28" s="90" customFormat="1" ht="14.1" customHeight="1" x14ac:dyDescent="0.2">
      <c r="A846" s="301"/>
      <c r="B846" s="350" t="s">
        <v>323</v>
      </c>
      <c r="C846" s="101"/>
      <c r="D846" s="101"/>
      <c r="E846" s="101"/>
      <c r="F846" s="370" t="s">
        <v>324</v>
      </c>
      <c r="G846" s="149">
        <v>13366.79</v>
      </c>
      <c r="H846" s="149"/>
      <c r="I846" s="329">
        <f t="shared" ref="I846:I848" si="1532">G846+H846</f>
        <v>13366.79</v>
      </c>
      <c r="J846" s="329">
        <f t="shared" ref="J846:J848" si="1533">I846</f>
        <v>13366.79</v>
      </c>
      <c r="K846" s="274"/>
      <c r="L846" s="274"/>
      <c r="M846" s="274"/>
      <c r="N846" s="275">
        <f t="shared" ref="N846:N848" si="1534">J846+K846-L846+M846</f>
        <v>13366.79</v>
      </c>
      <c r="O846" s="274"/>
      <c r="P846" s="274">
        <f>4800</f>
        <v>4800</v>
      </c>
      <c r="Q846" s="274">
        <v>8566.7900000000009</v>
      </c>
      <c r="R846" s="274"/>
      <c r="S846" s="274">
        <f t="shared" ref="S846:S848" si="1535">SUM(O846:R846)</f>
        <v>13366.79</v>
      </c>
      <c r="T846" s="274"/>
      <c r="U846" s="274">
        <v>4800</v>
      </c>
      <c r="V846" s="274">
        <v>8566.7900000000009</v>
      </c>
      <c r="W846" s="274"/>
      <c r="X846" s="274">
        <f t="shared" ref="X846:X848" si="1536">SUM(T846:W846)</f>
        <v>13366.79</v>
      </c>
      <c r="Y846" s="274">
        <f t="shared" ref="Y846:Y848" si="1537">I846-N846</f>
        <v>0</v>
      </c>
      <c r="Z846" s="274">
        <f t="shared" ref="Z846:Z848" si="1538">N846-S846</f>
        <v>0</v>
      </c>
      <c r="AA846" s="274"/>
      <c r="AB846" s="306">
        <f t="shared" ref="AB846:AB848" si="1539">+S846-X846-AA846</f>
        <v>0</v>
      </c>
    </row>
    <row r="847" spans="1:28" s="90" customFormat="1" ht="14.1" hidden="1" customHeight="1" x14ac:dyDescent="0.2">
      <c r="A847" s="301"/>
      <c r="B847" s="350" t="s">
        <v>720</v>
      </c>
      <c r="C847" s="718"/>
      <c r="D847" s="718"/>
      <c r="E847" s="718"/>
      <c r="F847" s="370" t="s">
        <v>721</v>
      </c>
      <c r="G847" s="149"/>
      <c r="H847" s="149"/>
      <c r="I847" s="329">
        <f t="shared" ref="I847" si="1540">G847+H847</f>
        <v>0</v>
      </c>
      <c r="J847" s="329">
        <f t="shared" ref="J847" si="1541">I847</f>
        <v>0</v>
      </c>
      <c r="K847" s="274"/>
      <c r="L847" s="274"/>
      <c r="M847" s="274"/>
      <c r="N847" s="275">
        <f t="shared" si="1534"/>
        <v>0</v>
      </c>
      <c r="O847" s="274"/>
      <c r="P847" s="274"/>
      <c r="Q847" s="274"/>
      <c r="R847" s="274"/>
      <c r="S847" s="274">
        <f t="shared" ref="S847" si="1542">SUM(O847:R847)</f>
        <v>0</v>
      </c>
      <c r="T847" s="274"/>
      <c r="U847" s="274"/>
      <c r="V847" s="274"/>
      <c r="W847" s="274"/>
      <c r="X847" s="274">
        <f t="shared" ref="X847" si="1543">SUM(T847:W847)</f>
        <v>0</v>
      </c>
      <c r="Y847" s="274">
        <f t="shared" ref="Y847" si="1544">I847-N847</f>
        <v>0</v>
      </c>
      <c r="Z847" s="274">
        <f t="shared" ref="Z847" si="1545">N847-S847</f>
        <v>0</v>
      </c>
      <c r="AA847" s="274"/>
      <c r="AB847" s="306">
        <f t="shared" ref="AB847" si="1546">+S847-X847-AA847</f>
        <v>0</v>
      </c>
    </row>
    <row r="848" spans="1:28" s="90" customFormat="1" ht="14.1" customHeight="1" x14ac:dyDescent="0.2">
      <c r="A848" s="301"/>
      <c r="B848" s="350" t="s">
        <v>325</v>
      </c>
      <c r="C848" s="101"/>
      <c r="D848" s="101"/>
      <c r="E848" s="101"/>
      <c r="F848" s="370" t="s">
        <v>326</v>
      </c>
      <c r="G848" s="149">
        <v>25576.37</v>
      </c>
      <c r="H848" s="149"/>
      <c r="I848" s="329">
        <f t="shared" si="1532"/>
        <v>25576.37</v>
      </c>
      <c r="J848" s="329">
        <f t="shared" si="1533"/>
        <v>25576.37</v>
      </c>
      <c r="K848" s="274"/>
      <c r="L848" s="274"/>
      <c r="M848" s="274"/>
      <c r="N848" s="275">
        <f t="shared" si="1534"/>
        <v>25576.37</v>
      </c>
      <c r="O848" s="274">
        <v>9800</v>
      </c>
      <c r="P848" s="274">
        <f>5815.32+6000+1858.12+2102.93</f>
        <v>15776.369999999999</v>
      </c>
      <c r="Q848" s="274"/>
      <c r="R848" s="274"/>
      <c r="S848" s="274">
        <f t="shared" si="1535"/>
        <v>25576.37</v>
      </c>
      <c r="T848" s="274">
        <v>9800</v>
      </c>
      <c r="U848" s="274">
        <f>5815.32+6000+2102.93+1858.12</f>
        <v>15776.369999999999</v>
      </c>
      <c r="V848" s="274"/>
      <c r="W848" s="274"/>
      <c r="X848" s="274">
        <f t="shared" si="1536"/>
        <v>25576.37</v>
      </c>
      <c r="Y848" s="274">
        <f t="shared" si="1537"/>
        <v>0</v>
      </c>
      <c r="Z848" s="274">
        <f t="shared" si="1538"/>
        <v>0</v>
      </c>
      <c r="AA848" s="274"/>
      <c r="AB848" s="306">
        <f t="shared" si="1539"/>
        <v>0</v>
      </c>
    </row>
    <row r="849" spans="1:28" s="90" customFormat="1" ht="14.1" customHeight="1" x14ac:dyDescent="0.2">
      <c r="A849" s="301"/>
      <c r="B849" s="351" t="s">
        <v>327</v>
      </c>
      <c r="C849" s="101"/>
      <c r="D849" s="101"/>
      <c r="E849" s="101"/>
      <c r="F849" s="370"/>
      <c r="G849" s="149"/>
      <c r="H849" s="149"/>
      <c r="I849" s="149"/>
      <c r="J849" s="149"/>
      <c r="K849" s="159"/>
      <c r="L849" s="159"/>
      <c r="M849" s="159"/>
      <c r="N849" s="159"/>
      <c r="O849" s="159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  <c r="AA849" s="159"/>
      <c r="AB849" s="583"/>
    </row>
    <row r="850" spans="1:28" s="90" customFormat="1" ht="14.1" hidden="1" customHeight="1" x14ac:dyDescent="0.2">
      <c r="A850" s="301"/>
      <c r="B850" s="350" t="s">
        <v>328</v>
      </c>
      <c r="C850" s="101"/>
      <c r="D850" s="101"/>
      <c r="E850" s="101"/>
      <c r="F850" s="370" t="s">
        <v>743</v>
      </c>
      <c r="G850" s="149"/>
      <c r="H850" s="149"/>
      <c r="I850" s="329">
        <f t="shared" ref="I850:I855" si="1547">G850+H850</f>
        <v>0</v>
      </c>
      <c r="J850" s="329">
        <f t="shared" ref="J850:J855" si="1548">I850</f>
        <v>0</v>
      </c>
      <c r="K850" s="274"/>
      <c r="L850" s="274"/>
      <c r="M850" s="274"/>
      <c r="N850" s="275">
        <f t="shared" ref="N850:N855" si="1549">J850+K850-L850+M850</f>
        <v>0</v>
      </c>
      <c r="O850" s="274"/>
      <c r="P850" s="274"/>
      <c r="Q850" s="274"/>
      <c r="R850" s="274"/>
      <c r="S850" s="274">
        <f t="shared" ref="S850:S855" si="1550">SUM(O850:R850)</f>
        <v>0</v>
      </c>
      <c r="T850" s="274"/>
      <c r="U850" s="274"/>
      <c r="V850" s="274"/>
      <c r="W850" s="274"/>
      <c r="X850" s="274">
        <f t="shared" ref="X850:X855" si="1551">SUM(T850:W850)</f>
        <v>0</v>
      </c>
      <c r="Y850" s="274">
        <f t="shared" ref="Y850:Y855" si="1552">I850-N850</f>
        <v>0</v>
      </c>
      <c r="Z850" s="274">
        <f t="shared" ref="Z850:Z855" si="1553">N850-S850</f>
        <v>0</v>
      </c>
      <c r="AA850" s="274"/>
      <c r="AB850" s="306">
        <f t="shared" ref="AB850:AB855" si="1554">+S850-X850-AA850</f>
        <v>0</v>
      </c>
    </row>
    <row r="851" spans="1:28" s="90" customFormat="1" ht="14.1" hidden="1" customHeight="1" x14ac:dyDescent="0.2">
      <c r="A851" s="301"/>
      <c r="B851" s="350" t="s">
        <v>330</v>
      </c>
      <c r="C851" s="101"/>
      <c r="D851" s="101"/>
      <c r="E851" s="101"/>
      <c r="F851" s="370" t="s">
        <v>331</v>
      </c>
      <c r="G851" s="149"/>
      <c r="H851" s="149"/>
      <c r="I851" s="329">
        <f t="shared" si="1547"/>
        <v>0</v>
      </c>
      <c r="J851" s="329">
        <f t="shared" si="1548"/>
        <v>0</v>
      </c>
      <c r="K851" s="274"/>
      <c r="L851" s="274"/>
      <c r="M851" s="274"/>
      <c r="N851" s="275">
        <f t="shared" si="1549"/>
        <v>0</v>
      </c>
      <c r="O851" s="274"/>
      <c r="P851" s="274"/>
      <c r="Q851" s="274"/>
      <c r="R851" s="274"/>
      <c r="S851" s="274">
        <f t="shared" si="1550"/>
        <v>0</v>
      </c>
      <c r="T851" s="274"/>
      <c r="U851" s="274"/>
      <c r="V851" s="274"/>
      <c r="W851" s="274"/>
      <c r="X851" s="274">
        <f t="shared" si="1551"/>
        <v>0</v>
      </c>
      <c r="Y851" s="274">
        <f t="shared" si="1552"/>
        <v>0</v>
      </c>
      <c r="Z851" s="274">
        <f t="shared" si="1553"/>
        <v>0</v>
      </c>
      <c r="AA851" s="274"/>
      <c r="AB851" s="306">
        <f t="shared" si="1554"/>
        <v>0</v>
      </c>
    </row>
    <row r="852" spans="1:28" s="90" customFormat="1" ht="14.1" customHeight="1" x14ac:dyDescent="0.2">
      <c r="A852" s="301"/>
      <c r="B852" s="350" t="s">
        <v>332</v>
      </c>
      <c r="C852" s="101"/>
      <c r="D852" s="101"/>
      <c r="E852" s="101"/>
      <c r="F852" s="370" t="s">
        <v>333</v>
      </c>
      <c r="G852" s="149">
        <v>50499.5</v>
      </c>
      <c r="H852" s="149"/>
      <c r="I852" s="329">
        <f t="shared" si="1547"/>
        <v>50499.5</v>
      </c>
      <c r="J852" s="329">
        <f t="shared" si="1548"/>
        <v>50499.5</v>
      </c>
      <c r="K852" s="274"/>
      <c r="L852" s="274"/>
      <c r="M852" s="274"/>
      <c r="N852" s="275">
        <f t="shared" si="1549"/>
        <v>50499.5</v>
      </c>
      <c r="O852" s="274"/>
      <c r="P852" s="274"/>
      <c r="Q852" s="274">
        <v>50499.5</v>
      </c>
      <c r="R852" s="274"/>
      <c r="S852" s="274">
        <f t="shared" si="1550"/>
        <v>50499.5</v>
      </c>
      <c r="T852" s="274"/>
      <c r="U852" s="274"/>
      <c r="V852" s="274">
        <v>50499.5</v>
      </c>
      <c r="W852" s="274"/>
      <c r="X852" s="274">
        <f t="shared" si="1551"/>
        <v>50499.5</v>
      </c>
      <c r="Y852" s="274">
        <f t="shared" si="1552"/>
        <v>0</v>
      </c>
      <c r="Z852" s="274">
        <f t="shared" si="1553"/>
        <v>0</v>
      </c>
      <c r="AA852" s="274"/>
      <c r="AB852" s="306">
        <f t="shared" si="1554"/>
        <v>0</v>
      </c>
    </row>
    <row r="853" spans="1:28" s="90" customFormat="1" ht="14.1" hidden="1" customHeight="1" x14ac:dyDescent="0.2">
      <c r="A853" s="301"/>
      <c r="B853" s="350" t="s">
        <v>334</v>
      </c>
      <c r="C853" s="101"/>
      <c r="D853" s="101"/>
      <c r="E853" s="101"/>
      <c r="F853" s="370" t="s">
        <v>335</v>
      </c>
      <c r="G853" s="149"/>
      <c r="H853" s="149"/>
      <c r="I853" s="329">
        <f t="shared" si="1547"/>
        <v>0</v>
      </c>
      <c r="J853" s="329">
        <f t="shared" si="1548"/>
        <v>0</v>
      </c>
      <c r="K853" s="274"/>
      <c r="L853" s="274"/>
      <c r="M853" s="274"/>
      <c r="N853" s="275">
        <f t="shared" si="1549"/>
        <v>0</v>
      </c>
      <c r="O853" s="274"/>
      <c r="P853" s="274"/>
      <c r="Q853" s="274"/>
      <c r="R853" s="274"/>
      <c r="S853" s="274">
        <f t="shared" si="1550"/>
        <v>0</v>
      </c>
      <c r="T853" s="274"/>
      <c r="U853" s="274"/>
      <c r="V853" s="274"/>
      <c r="W853" s="274"/>
      <c r="X853" s="274">
        <f t="shared" si="1551"/>
        <v>0</v>
      </c>
      <c r="Y853" s="274">
        <f t="shared" si="1552"/>
        <v>0</v>
      </c>
      <c r="Z853" s="274">
        <f t="shared" si="1553"/>
        <v>0</v>
      </c>
      <c r="AA853" s="274"/>
      <c r="AB853" s="306">
        <f t="shared" si="1554"/>
        <v>0</v>
      </c>
    </row>
    <row r="854" spans="1:28" s="90" customFormat="1" ht="14.1" hidden="1" customHeight="1" x14ac:dyDescent="0.2">
      <c r="A854" s="301"/>
      <c r="B854" s="350" t="s">
        <v>336</v>
      </c>
      <c r="C854" s="101"/>
      <c r="D854" s="101"/>
      <c r="E854" s="101"/>
      <c r="F854" s="370" t="s">
        <v>337</v>
      </c>
      <c r="G854" s="149"/>
      <c r="H854" s="149"/>
      <c r="I854" s="329">
        <f t="shared" si="1547"/>
        <v>0</v>
      </c>
      <c r="J854" s="329">
        <f t="shared" si="1548"/>
        <v>0</v>
      </c>
      <c r="K854" s="274"/>
      <c r="L854" s="274"/>
      <c r="M854" s="274"/>
      <c r="N854" s="275">
        <f t="shared" si="1549"/>
        <v>0</v>
      </c>
      <c r="O854" s="274"/>
      <c r="P854" s="274"/>
      <c r="Q854" s="274"/>
      <c r="R854" s="274"/>
      <c r="S854" s="274">
        <f t="shared" si="1550"/>
        <v>0</v>
      </c>
      <c r="T854" s="274"/>
      <c r="U854" s="274"/>
      <c r="V854" s="274"/>
      <c r="W854" s="274"/>
      <c r="X854" s="274">
        <f t="shared" si="1551"/>
        <v>0</v>
      </c>
      <c r="Y854" s="274">
        <f t="shared" si="1552"/>
        <v>0</v>
      </c>
      <c r="Z854" s="274">
        <f t="shared" si="1553"/>
        <v>0</v>
      </c>
      <c r="AA854" s="274"/>
      <c r="AB854" s="306">
        <f t="shared" si="1554"/>
        <v>0</v>
      </c>
    </row>
    <row r="855" spans="1:28" s="90" customFormat="1" ht="14.1" hidden="1" customHeight="1" x14ac:dyDescent="0.2">
      <c r="A855" s="301"/>
      <c r="B855" s="350" t="s">
        <v>338</v>
      </c>
      <c r="C855" s="101"/>
      <c r="D855" s="101"/>
      <c r="E855" s="101"/>
      <c r="F855" s="370" t="s">
        <v>339</v>
      </c>
      <c r="G855" s="149"/>
      <c r="H855" s="149"/>
      <c r="I855" s="329">
        <f t="shared" si="1547"/>
        <v>0</v>
      </c>
      <c r="J855" s="329">
        <f t="shared" si="1548"/>
        <v>0</v>
      </c>
      <c r="K855" s="274"/>
      <c r="L855" s="274"/>
      <c r="M855" s="274"/>
      <c r="N855" s="275">
        <f t="shared" si="1549"/>
        <v>0</v>
      </c>
      <c r="O855" s="274"/>
      <c r="P855" s="274"/>
      <c r="Q855" s="274"/>
      <c r="R855" s="274"/>
      <c r="S855" s="274">
        <f t="shared" si="1550"/>
        <v>0</v>
      </c>
      <c r="T855" s="274"/>
      <c r="U855" s="274"/>
      <c r="V855" s="274"/>
      <c r="W855" s="274"/>
      <c r="X855" s="274">
        <f t="shared" si="1551"/>
        <v>0</v>
      </c>
      <c r="Y855" s="274">
        <f t="shared" si="1552"/>
        <v>0</v>
      </c>
      <c r="Z855" s="274">
        <f t="shared" si="1553"/>
        <v>0</v>
      </c>
      <c r="AA855" s="274"/>
      <c r="AB855" s="306">
        <f t="shared" si="1554"/>
        <v>0</v>
      </c>
    </row>
    <row r="856" spans="1:28" s="90" customFormat="1" ht="14.1" customHeight="1" x14ac:dyDescent="0.2">
      <c r="A856" s="301"/>
      <c r="B856" s="351" t="s">
        <v>340</v>
      </c>
      <c r="C856" s="101"/>
      <c r="D856" s="101"/>
      <c r="E856" s="101"/>
      <c r="F856" s="370"/>
      <c r="G856" s="149"/>
      <c r="H856" s="149"/>
      <c r="I856" s="149"/>
      <c r="J856" s="149"/>
      <c r="K856" s="159"/>
      <c r="L856" s="159"/>
      <c r="M856" s="159"/>
      <c r="N856" s="159"/>
      <c r="O856" s="159"/>
      <c r="P856" s="159"/>
      <c r="Q856" s="159"/>
      <c r="R856" s="159"/>
      <c r="S856" s="159"/>
      <c r="T856" s="159"/>
      <c r="U856" s="159"/>
      <c r="V856" s="159"/>
      <c r="W856" s="159"/>
      <c r="X856" s="159"/>
      <c r="Y856" s="159"/>
      <c r="Z856" s="159"/>
      <c r="AA856" s="159"/>
      <c r="AB856" s="583"/>
    </row>
    <row r="857" spans="1:28" s="90" customFormat="1" ht="14.1" hidden="1" customHeight="1" x14ac:dyDescent="0.2">
      <c r="A857" s="301"/>
      <c r="B857" s="350" t="s">
        <v>341</v>
      </c>
      <c r="C857" s="101"/>
      <c r="D857" s="101"/>
      <c r="E857" s="101"/>
      <c r="F857" s="370" t="s">
        <v>342</v>
      </c>
      <c r="G857" s="149"/>
      <c r="H857" s="149"/>
      <c r="I857" s="329">
        <f t="shared" ref="I857:I858" si="1555">G857+H857</f>
        <v>0</v>
      </c>
      <c r="J857" s="329">
        <f t="shared" ref="J857:J858" si="1556">I857</f>
        <v>0</v>
      </c>
      <c r="K857" s="274"/>
      <c r="L857" s="274"/>
      <c r="M857" s="274"/>
      <c r="N857" s="275">
        <f t="shared" ref="N857:N858" si="1557">J857+K857-L857+M857</f>
        <v>0</v>
      </c>
      <c r="O857" s="274"/>
      <c r="P857" s="274"/>
      <c r="Q857" s="274"/>
      <c r="R857" s="274"/>
      <c r="S857" s="274">
        <f t="shared" ref="S857:S858" si="1558">SUM(O857:R857)</f>
        <v>0</v>
      </c>
      <c r="T857" s="274"/>
      <c r="U857" s="274"/>
      <c r="V857" s="274"/>
      <c r="W857" s="274"/>
      <c r="X857" s="274">
        <f t="shared" ref="X857:X858" si="1559">SUM(T857:W857)</f>
        <v>0</v>
      </c>
      <c r="Y857" s="274">
        <f t="shared" ref="Y857:Y858" si="1560">I857-N857</f>
        <v>0</v>
      </c>
      <c r="Z857" s="274">
        <f t="shared" ref="Z857:Z858" si="1561">N857-S857</f>
        <v>0</v>
      </c>
      <c r="AA857" s="274"/>
      <c r="AB857" s="306">
        <f t="shared" ref="AB857:AB858" si="1562">+S857-X857-AA857</f>
        <v>0</v>
      </c>
    </row>
    <row r="858" spans="1:28" s="90" customFormat="1" ht="14.1" hidden="1" customHeight="1" x14ac:dyDescent="0.2">
      <c r="A858" s="301"/>
      <c r="B858" s="350" t="s">
        <v>343</v>
      </c>
      <c r="C858" s="101"/>
      <c r="D858" s="101"/>
      <c r="E858" s="101"/>
      <c r="F858" s="370" t="s">
        <v>344</v>
      </c>
      <c r="G858" s="149"/>
      <c r="H858" s="149"/>
      <c r="I858" s="329">
        <f t="shared" si="1555"/>
        <v>0</v>
      </c>
      <c r="J858" s="329">
        <f t="shared" si="1556"/>
        <v>0</v>
      </c>
      <c r="K858" s="274"/>
      <c r="L858" s="274"/>
      <c r="M858" s="274"/>
      <c r="N858" s="275">
        <f t="shared" si="1557"/>
        <v>0</v>
      </c>
      <c r="O858" s="274"/>
      <c r="P858" s="274"/>
      <c r="Q858" s="274"/>
      <c r="R858" s="274"/>
      <c r="S858" s="274">
        <f t="shared" si="1558"/>
        <v>0</v>
      </c>
      <c r="T858" s="274"/>
      <c r="U858" s="274"/>
      <c r="V858" s="274"/>
      <c r="W858" s="274"/>
      <c r="X858" s="274">
        <f t="shared" si="1559"/>
        <v>0</v>
      </c>
      <c r="Y858" s="274">
        <f t="shared" si="1560"/>
        <v>0</v>
      </c>
      <c r="Z858" s="274">
        <f t="shared" si="1561"/>
        <v>0</v>
      </c>
      <c r="AA858" s="274"/>
      <c r="AB858" s="306">
        <f t="shared" si="1562"/>
        <v>0</v>
      </c>
    </row>
    <row r="859" spans="1:28" s="90" customFormat="1" ht="14.1" customHeight="1" x14ac:dyDescent="0.2">
      <c r="A859" s="301"/>
      <c r="B859" s="351" t="s">
        <v>345</v>
      </c>
      <c r="C859" s="101"/>
      <c r="D859" s="101"/>
      <c r="E859" s="101"/>
      <c r="F859" s="370"/>
      <c r="G859" s="149"/>
      <c r="H859" s="149"/>
      <c r="I859" s="149"/>
      <c r="J859" s="149"/>
      <c r="K859" s="159"/>
      <c r="L859" s="159"/>
      <c r="M859" s="159"/>
      <c r="N859" s="159"/>
      <c r="O859" s="159"/>
      <c r="P859" s="159"/>
      <c r="Q859" s="159"/>
      <c r="R859" s="159"/>
      <c r="S859" s="159"/>
      <c r="T859" s="159"/>
      <c r="U859" s="159"/>
      <c r="V859" s="159"/>
      <c r="W859" s="159"/>
      <c r="X859" s="159"/>
      <c r="Y859" s="159"/>
      <c r="Z859" s="159"/>
      <c r="AA859" s="159"/>
      <c r="AB859" s="583"/>
    </row>
    <row r="860" spans="1:28" s="90" customFormat="1" ht="14.1" hidden="1" customHeight="1" x14ac:dyDescent="0.2">
      <c r="A860" s="301"/>
      <c r="B860" s="350" t="s">
        <v>346</v>
      </c>
      <c r="C860" s="101"/>
      <c r="D860" s="101"/>
      <c r="E860" s="101"/>
      <c r="F860" s="370" t="s">
        <v>347</v>
      </c>
      <c r="G860" s="149"/>
      <c r="H860" s="149"/>
      <c r="I860" s="329">
        <f t="shared" ref="I860:I864" si="1563">G860+H860</f>
        <v>0</v>
      </c>
      <c r="J860" s="329">
        <f t="shared" ref="J860:J864" si="1564">I860</f>
        <v>0</v>
      </c>
      <c r="K860" s="274"/>
      <c r="L860" s="274"/>
      <c r="M860" s="274"/>
      <c r="N860" s="275">
        <f t="shared" ref="N860:N864" si="1565">J860+K860-L860+M860</f>
        <v>0</v>
      </c>
      <c r="O860" s="274"/>
      <c r="P860" s="274"/>
      <c r="Q860" s="274"/>
      <c r="R860" s="274"/>
      <c r="S860" s="274">
        <f t="shared" ref="S860:S864" si="1566">SUM(O860:R860)</f>
        <v>0</v>
      </c>
      <c r="T860" s="274"/>
      <c r="U860" s="274"/>
      <c r="V860" s="274"/>
      <c r="W860" s="274"/>
      <c r="X860" s="274">
        <f t="shared" ref="X860:X864" si="1567">SUM(T860:W860)</f>
        <v>0</v>
      </c>
      <c r="Y860" s="274">
        <f t="shared" ref="Y860:Y864" si="1568">I860-N860</f>
        <v>0</v>
      </c>
      <c r="Z860" s="274">
        <f t="shared" ref="Z860:Z864" si="1569">N860-S860</f>
        <v>0</v>
      </c>
      <c r="AA860" s="274"/>
      <c r="AB860" s="306">
        <f t="shared" ref="AB860:AB864" si="1570">+S860-X860-AA860</f>
        <v>0</v>
      </c>
    </row>
    <row r="861" spans="1:28" s="90" customFormat="1" ht="14.1" hidden="1" customHeight="1" x14ac:dyDescent="0.2">
      <c r="A861" s="301"/>
      <c r="B861" s="350" t="s">
        <v>348</v>
      </c>
      <c r="C861" s="101"/>
      <c r="D861" s="101"/>
      <c r="E861" s="101"/>
      <c r="F861" s="370" t="s">
        <v>349</v>
      </c>
      <c r="G861" s="149"/>
      <c r="H861" s="149"/>
      <c r="I861" s="329">
        <f t="shared" si="1563"/>
        <v>0</v>
      </c>
      <c r="J861" s="329">
        <f t="shared" si="1564"/>
        <v>0</v>
      </c>
      <c r="K861" s="274"/>
      <c r="L861" s="274"/>
      <c r="M861" s="274"/>
      <c r="N861" s="275">
        <f t="shared" si="1565"/>
        <v>0</v>
      </c>
      <c r="O861" s="274"/>
      <c r="P861" s="274"/>
      <c r="Q861" s="274"/>
      <c r="R861" s="274"/>
      <c r="S861" s="274">
        <f t="shared" si="1566"/>
        <v>0</v>
      </c>
      <c r="T861" s="274"/>
      <c r="U861" s="274"/>
      <c r="V861" s="274"/>
      <c r="W861" s="274"/>
      <c r="X861" s="274">
        <f t="shared" si="1567"/>
        <v>0</v>
      </c>
      <c r="Y861" s="274">
        <f t="shared" si="1568"/>
        <v>0</v>
      </c>
      <c r="Z861" s="274">
        <f t="shared" si="1569"/>
        <v>0</v>
      </c>
      <c r="AA861" s="274"/>
      <c r="AB861" s="306">
        <f t="shared" si="1570"/>
        <v>0</v>
      </c>
    </row>
    <row r="862" spans="1:28" s="90" customFormat="1" ht="14.1" hidden="1" customHeight="1" x14ac:dyDescent="0.2">
      <c r="A862" s="301"/>
      <c r="B862" s="350" t="s">
        <v>350</v>
      </c>
      <c r="C862" s="101"/>
      <c r="D862" s="101"/>
      <c r="E862" s="101"/>
      <c r="F862" s="370" t="s">
        <v>351</v>
      </c>
      <c r="G862" s="149"/>
      <c r="H862" s="149"/>
      <c r="I862" s="329">
        <f t="shared" si="1563"/>
        <v>0</v>
      </c>
      <c r="J862" s="329">
        <f t="shared" si="1564"/>
        <v>0</v>
      </c>
      <c r="K862" s="274"/>
      <c r="L862" s="274"/>
      <c r="M862" s="274"/>
      <c r="N862" s="275">
        <f t="shared" si="1565"/>
        <v>0</v>
      </c>
      <c r="O862" s="274"/>
      <c r="P862" s="274"/>
      <c r="Q862" s="274"/>
      <c r="R862" s="274"/>
      <c r="S862" s="274">
        <f t="shared" si="1566"/>
        <v>0</v>
      </c>
      <c r="T862" s="274"/>
      <c r="U862" s="274"/>
      <c r="V862" s="274"/>
      <c r="W862" s="274"/>
      <c r="X862" s="274">
        <f t="shared" si="1567"/>
        <v>0</v>
      </c>
      <c r="Y862" s="274">
        <f t="shared" si="1568"/>
        <v>0</v>
      </c>
      <c r="Z862" s="274">
        <f t="shared" si="1569"/>
        <v>0</v>
      </c>
      <c r="AA862" s="274"/>
      <c r="AB862" s="306">
        <f t="shared" si="1570"/>
        <v>0</v>
      </c>
    </row>
    <row r="863" spans="1:28" s="90" customFormat="1" ht="14.1" hidden="1" customHeight="1" x14ac:dyDescent="0.2">
      <c r="A863" s="301"/>
      <c r="B863" s="350" t="s">
        <v>352</v>
      </c>
      <c r="C863" s="101"/>
      <c r="D863" s="101"/>
      <c r="E863" s="101"/>
      <c r="F863" s="370" t="s">
        <v>353</v>
      </c>
      <c r="G863" s="149"/>
      <c r="H863" s="149"/>
      <c r="I863" s="329">
        <f t="shared" si="1563"/>
        <v>0</v>
      </c>
      <c r="J863" s="329">
        <f t="shared" si="1564"/>
        <v>0</v>
      </c>
      <c r="K863" s="274"/>
      <c r="L863" s="274"/>
      <c r="M863" s="274"/>
      <c r="N863" s="275">
        <f t="shared" si="1565"/>
        <v>0</v>
      </c>
      <c r="O863" s="274"/>
      <c r="P863" s="274"/>
      <c r="Q863" s="274"/>
      <c r="R863" s="274"/>
      <c r="S863" s="274">
        <f t="shared" si="1566"/>
        <v>0</v>
      </c>
      <c r="T863" s="274"/>
      <c r="U863" s="274"/>
      <c r="V863" s="274"/>
      <c r="W863" s="274"/>
      <c r="X863" s="274">
        <f t="shared" si="1567"/>
        <v>0</v>
      </c>
      <c r="Y863" s="274">
        <f t="shared" si="1568"/>
        <v>0</v>
      </c>
      <c r="Z863" s="274">
        <f t="shared" si="1569"/>
        <v>0</v>
      </c>
      <c r="AA863" s="274"/>
      <c r="AB863" s="306">
        <f t="shared" si="1570"/>
        <v>0</v>
      </c>
    </row>
    <row r="864" spans="1:28" s="90" customFormat="1" ht="14.1" hidden="1" customHeight="1" x14ac:dyDescent="0.2">
      <c r="A864" s="301"/>
      <c r="B864" s="350" t="s">
        <v>354</v>
      </c>
      <c r="C864" s="101"/>
      <c r="D864" s="101"/>
      <c r="E864" s="101"/>
      <c r="F864" s="370" t="s">
        <v>355</v>
      </c>
      <c r="G864" s="149"/>
      <c r="H864" s="149"/>
      <c r="I864" s="329">
        <f t="shared" si="1563"/>
        <v>0</v>
      </c>
      <c r="J864" s="329">
        <f t="shared" si="1564"/>
        <v>0</v>
      </c>
      <c r="K864" s="274"/>
      <c r="L864" s="274"/>
      <c r="M864" s="274"/>
      <c r="N864" s="275">
        <f t="shared" si="1565"/>
        <v>0</v>
      </c>
      <c r="O864" s="274"/>
      <c r="P864" s="274"/>
      <c r="Q864" s="274"/>
      <c r="R864" s="274"/>
      <c r="S864" s="274">
        <f t="shared" si="1566"/>
        <v>0</v>
      </c>
      <c r="T864" s="274"/>
      <c r="U864" s="274"/>
      <c r="V864" s="274"/>
      <c r="W864" s="274"/>
      <c r="X864" s="274">
        <f t="shared" si="1567"/>
        <v>0</v>
      </c>
      <c r="Y864" s="274">
        <f t="shared" si="1568"/>
        <v>0</v>
      </c>
      <c r="Z864" s="274">
        <f t="shared" si="1569"/>
        <v>0</v>
      </c>
      <c r="AA864" s="274"/>
      <c r="AB864" s="306">
        <f t="shared" si="1570"/>
        <v>0</v>
      </c>
    </row>
    <row r="865" spans="1:28" s="90" customFormat="1" ht="14.1" customHeight="1" x14ac:dyDescent="0.2">
      <c r="A865" s="301"/>
      <c r="B865" s="351" t="s">
        <v>356</v>
      </c>
      <c r="C865" s="101"/>
      <c r="D865" s="101"/>
      <c r="E865" s="101"/>
      <c r="F865" s="370"/>
      <c r="G865" s="149"/>
      <c r="H865" s="149"/>
      <c r="I865" s="149"/>
      <c r="J865" s="149"/>
      <c r="K865" s="159"/>
      <c r="L865" s="159"/>
      <c r="M865" s="159"/>
      <c r="N865" s="159"/>
      <c r="O865" s="159"/>
      <c r="P865" s="159"/>
      <c r="Q865" s="159"/>
      <c r="R865" s="159"/>
      <c r="S865" s="159"/>
      <c r="T865" s="159"/>
      <c r="U865" s="159"/>
      <c r="V865" s="159"/>
      <c r="W865" s="159"/>
      <c r="X865" s="159"/>
      <c r="Y865" s="159"/>
      <c r="Z865" s="159"/>
      <c r="AA865" s="159"/>
      <c r="AB865" s="583"/>
    </row>
    <row r="866" spans="1:28" s="90" customFormat="1" ht="14.1" hidden="1" customHeight="1" x14ac:dyDescent="0.2">
      <c r="A866" s="301"/>
      <c r="B866" s="350" t="s">
        <v>357</v>
      </c>
      <c r="C866" s="101"/>
      <c r="D866" s="101"/>
      <c r="E866" s="101"/>
      <c r="F866" s="370" t="s">
        <v>358</v>
      </c>
      <c r="G866" s="149"/>
      <c r="H866" s="149"/>
      <c r="I866" s="329">
        <f t="shared" ref="I866" si="1571">G866+H866</f>
        <v>0</v>
      </c>
      <c r="J866" s="329">
        <f t="shared" ref="J866" si="1572">I866</f>
        <v>0</v>
      </c>
      <c r="K866" s="274"/>
      <c r="L866" s="274"/>
      <c r="M866" s="274"/>
      <c r="N866" s="275">
        <f t="shared" ref="N866" si="1573">J866+K866-L866+M866</f>
        <v>0</v>
      </c>
      <c r="O866" s="274"/>
      <c r="P866" s="274"/>
      <c r="Q866" s="274"/>
      <c r="R866" s="274"/>
      <c r="S866" s="274">
        <f t="shared" ref="S866" si="1574">SUM(O866:R866)</f>
        <v>0</v>
      </c>
      <c r="T866" s="274"/>
      <c r="U866" s="274"/>
      <c r="V866" s="274"/>
      <c r="W866" s="274"/>
      <c r="X866" s="274">
        <f t="shared" ref="X866" si="1575">SUM(T866:W866)</f>
        <v>0</v>
      </c>
      <c r="Y866" s="274">
        <f t="shared" ref="Y866" si="1576">I866-N866</f>
        <v>0</v>
      </c>
      <c r="Z866" s="274">
        <f t="shared" ref="Z866" si="1577">N866-S866</f>
        <v>0</v>
      </c>
      <c r="AA866" s="274"/>
      <c r="AB866" s="306">
        <f t="shared" ref="AB866" si="1578">+S866-X866-AA866</f>
        <v>0</v>
      </c>
    </row>
    <row r="867" spans="1:28" s="90" customFormat="1" ht="14.1" customHeight="1" x14ac:dyDescent="0.2">
      <c r="A867" s="301"/>
      <c r="B867" s="351" t="s">
        <v>359</v>
      </c>
      <c r="C867" s="101"/>
      <c r="D867" s="101"/>
      <c r="E867" s="101"/>
      <c r="F867" s="370"/>
      <c r="G867" s="149"/>
      <c r="H867" s="149"/>
      <c r="I867" s="149"/>
      <c r="J867" s="149"/>
      <c r="K867" s="159"/>
      <c r="L867" s="159"/>
      <c r="M867" s="159"/>
      <c r="N867" s="159"/>
      <c r="O867" s="159"/>
      <c r="P867" s="159"/>
      <c r="Q867" s="159"/>
      <c r="R867" s="159"/>
      <c r="S867" s="159"/>
      <c r="T867" s="159"/>
      <c r="U867" s="159"/>
      <c r="V867" s="159"/>
      <c r="W867" s="159"/>
      <c r="X867" s="159"/>
      <c r="Y867" s="159"/>
      <c r="Z867" s="159"/>
      <c r="AA867" s="159"/>
      <c r="AB867" s="583"/>
    </row>
    <row r="868" spans="1:28" s="90" customFormat="1" ht="14.1" hidden="1" customHeight="1" x14ac:dyDescent="0.2">
      <c r="A868" s="301"/>
      <c r="B868" s="350" t="s">
        <v>360</v>
      </c>
      <c r="C868" s="101"/>
      <c r="D868" s="101"/>
      <c r="E868" s="101"/>
      <c r="F868" s="370" t="s">
        <v>361</v>
      </c>
      <c r="G868" s="149"/>
      <c r="H868" s="149"/>
      <c r="I868" s="329">
        <f t="shared" ref="I868:I871" si="1579">G868+H868</f>
        <v>0</v>
      </c>
      <c r="J868" s="329">
        <f t="shared" ref="J868:J871" si="1580">I868</f>
        <v>0</v>
      </c>
      <c r="K868" s="274"/>
      <c r="L868" s="274"/>
      <c r="M868" s="274"/>
      <c r="N868" s="275">
        <f t="shared" ref="N868:N871" si="1581">J868+K868-L868+M868</f>
        <v>0</v>
      </c>
      <c r="O868" s="274"/>
      <c r="P868" s="274"/>
      <c r="Q868" s="274"/>
      <c r="R868" s="274"/>
      <c r="S868" s="274">
        <f t="shared" ref="S868:S871" si="1582">SUM(O868:R868)</f>
        <v>0</v>
      </c>
      <c r="T868" s="274"/>
      <c r="U868" s="274"/>
      <c r="V868" s="274"/>
      <c r="W868" s="274"/>
      <c r="X868" s="274">
        <f t="shared" ref="X868:X871" si="1583">SUM(T868:W868)</f>
        <v>0</v>
      </c>
      <c r="Y868" s="274">
        <f t="shared" ref="Y868:Y871" si="1584">I868-N868</f>
        <v>0</v>
      </c>
      <c r="Z868" s="274">
        <f t="shared" ref="Z868:Z871" si="1585">N868-S868</f>
        <v>0</v>
      </c>
      <c r="AA868" s="274"/>
      <c r="AB868" s="306">
        <f t="shared" ref="AB868:AB871" si="1586">+S868-X868-AA868</f>
        <v>0</v>
      </c>
    </row>
    <row r="869" spans="1:28" s="90" customFormat="1" ht="14.1" hidden="1" customHeight="1" x14ac:dyDescent="0.2">
      <c r="A869" s="301"/>
      <c r="B869" s="350" t="s">
        <v>362</v>
      </c>
      <c r="C869" s="101"/>
      <c r="D869" s="101"/>
      <c r="E869" s="101"/>
      <c r="F869" s="370" t="s">
        <v>363</v>
      </c>
      <c r="G869" s="149"/>
      <c r="H869" s="149"/>
      <c r="I869" s="329">
        <f t="shared" si="1579"/>
        <v>0</v>
      </c>
      <c r="J869" s="329">
        <f t="shared" si="1580"/>
        <v>0</v>
      </c>
      <c r="K869" s="274"/>
      <c r="L869" s="274"/>
      <c r="M869" s="274"/>
      <c r="N869" s="275">
        <f t="shared" si="1581"/>
        <v>0</v>
      </c>
      <c r="O869" s="274"/>
      <c r="P869" s="274"/>
      <c r="Q869" s="274"/>
      <c r="R869" s="274"/>
      <c r="S869" s="274">
        <f t="shared" si="1582"/>
        <v>0</v>
      </c>
      <c r="T869" s="274"/>
      <c r="U869" s="274"/>
      <c r="V869" s="274"/>
      <c r="W869" s="274"/>
      <c r="X869" s="274">
        <f t="shared" si="1583"/>
        <v>0</v>
      </c>
      <c r="Y869" s="274">
        <f t="shared" si="1584"/>
        <v>0</v>
      </c>
      <c r="Z869" s="274">
        <f t="shared" si="1585"/>
        <v>0</v>
      </c>
      <c r="AA869" s="274"/>
      <c r="AB869" s="306">
        <f t="shared" si="1586"/>
        <v>0</v>
      </c>
    </row>
    <row r="870" spans="1:28" s="90" customFormat="1" ht="14.1" hidden="1" customHeight="1" x14ac:dyDescent="0.2">
      <c r="A870" s="301"/>
      <c r="B870" s="350" t="s">
        <v>722</v>
      </c>
      <c r="C870" s="718"/>
      <c r="D870" s="718"/>
      <c r="E870" s="718"/>
      <c r="F870" s="370" t="s">
        <v>723</v>
      </c>
      <c r="G870" s="149"/>
      <c r="H870" s="149"/>
      <c r="I870" s="329">
        <f t="shared" si="1579"/>
        <v>0</v>
      </c>
      <c r="J870" s="329">
        <f t="shared" si="1580"/>
        <v>0</v>
      </c>
      <c r="K870" s="274"/>
      <c r="L870" s="274"/>
      <c r="M870" s="274"/>
      <c r="N870" s="275">
        <f t="shared" si="1581"/>
        <v>0</v>
      </c>
      <c r="O870" s="274"/>
      <c r="P870" s="274"/>
      <c r="Q870" s="274"/>
      <c r="R870" s="274"/>
      <c r="S870" s="274">
        <f t="shared" si="1582"/>
        <v>0</v>
      </c>
      <c r="T870" s="274"/>
      <c r="U870" s="274"/>
      <c r="V870" s="274"/>
      <c r="W870" s="274"/>
      <c r="X870" s="274">
        <f t="shared" si="1583"/>
        <v>0</v>
      </c>
      <c r="Y870" s="274">
        <f t="shared" si="1584"/>
        <v>0</v>
      </c>
      <c r="Z870" s="274">
        <f t="shared" si="1585"/>
        <v>0</v>
      </c>
      <c r="AA870" s="274"/>
      <c r="AB870" s="306">
        <f t="shared" si="1586"/>
        <v>0</v>
      </c>
    </row>
    <row r="871" spans="1:28" s="90" customFormat="1" ht="14.1" hidden="1" customHeight="1" x14ac:dyDescent="0.2">
      <c r="A871" s="301"/>
      <c r="B871" s="350" t="s">
        <v>364</v>
      </c>
      <c r="C871" s="101"/>
      <c r="D871" s="101"/>
      <c r="E871" s="101"/>
      <c r="F871" s="370" t="s">
        <v>365</v>
      </c>
      <c r="G871" s="149"/>
      <c r="H871" s="149"/>
      <c r="I871" s="329">
        <f t="shared" si="1579"/>
        <v>0</v>
      </c>
      <c r="J871" s="329">
        <f t="shared" si="1580"/>
        <v>0</v>
      </c>
      <c r="K871" s="274"/>
      <c r="L871" s="274"/>
      <c r="M871" s="274"/>
      <c r="N871" s="275">
        <f t="shared" si="1581"/>
        <v>0</v>
      </c>
      <c r="O871" s="274"/>
      <c r="P871" s="274"/>
      <c r="Q871" s="274"/>
      <c r="R871" s="274"/>
      <c r="S871" s="274">
        <f t="shared" si="1582"/>
        <v>0</v>
      </c>
      <c r="T871" s="274"/>
      <c r="U871" s="274"/>
      <c r="V871" s="274"/>
      <c r="W871" s="274"/>
      <c r="X871" s="274">
        <f t="shared" si="1583"/>
        <v>0</v>
      </c>
      <c r="Y871" s="274">
        <f t="shared" si="1584"/>
        <v>0</v>
      </c>
      <c r="Z871" s="274">
        <f t="shared" si="1585"/>
        <v>0</v>
      </c>
      <c r="AA871" s="274"/>
      <c r="AB871" s="306">
        <f t="shared" si="1586"/>
        <v>0</v>
      </c>
    </row>
    <row r="872" spans="1:28" s="90" customFormat="1" ht="14.1" customHeight="1" x14ac:dyDescent="0.2">
      <c r="A872" s="301"/>
      <c r="B872" s="351" t="s">
        <v>366</v>
      </c>
      <c r="C872" s="101"/>
      <c r="D872" s="101"/>
      <c r="E872" s="101"/>
      <c r="F872" s="370"/>
      <c r="G872" s="149"/>
      <c r="H872" s="149"/>
      <c r="I872" s="149"/>
      <c r="J872" s="149"/>
      <c r="K872" s="159"/>
      <c r="L872" s="159"/>
      <c r="M872" s="159"/>
      <c r="N872" s="159"/>
      <c r="O872" s="159"/>
      <c r="P872" s="159"/>
      <c r="Q872" s="159"/>
      <c r="R872" s="159"/>
      <c r="S872" s="159"/>
      <c r="T872" s="159"/>
      <c r="U872" s="159"/>
      <c r="V872" s="159"/>
      <c r="W872" s="159"/>
      <c r="X872" s="159"/>
      <c r="Y872" s="159"/>
      <c r="Z872" s="159"/>
      <c r="AA872" s="159"/>
      <c r="AB872" s="583"/>
    </row>
    <row r="873" spans="1:28" s="90" customFormat="1" ht="14.1" hidden="1" customHeight="1" x14ac:dyDescent="0.2">
      <c r="A873" s="301"/>
      <c r="B873" s="350" t="s">
        <v>366</v>
      </c>
      <c r="C873" s="101"/>
      <c r="D873" s="101"/>
      <c r="E873" s="101"/>
      <c r="F873" s="370" t="s">
        <v>367</v>
      </c>
      <c r="G873" s="149"/>
      <c r="H873" s="149"/>
      <c r="I873" s="329">
        <f t="shared" ref="I873:I877" si="1587">G873+H873</f>
        <v>0</v>
      </c>
      <c r="J873" s="329">
        <f t="shared" ref="J873:J877" si="1588">I873</f>
        <v>0</v>
      </c>
      <c r="K873" s="274"/>
      <c r="L873" s="274"/>
      <c r="M873" s="274"/>
      <c r="N873" s="275">
        <f t="shared" ref="N873:N877" si="1589">J873+K873-L873+M873</f>
        <v>0</v>
      </c>
      <c r="O873" s="274"/>
      <c r="P873" s="274"/>
      <c r="Q873" s="274"/>
      <c r="R873" s="274"/>
      <c r="S873" s="274">
        <f t="shared" ref="S873:S877" si="1590">SUM(O873:R873)</f>
        <v>0</v>
      </c>
      <c r="T873" s="274"/>
      <c r="U873" s="274"/>
      <c r="V873" s="274"/>
      <c r="W873" s="274"/>
      <c r="X873" s="274">
        <f t="shared" ref="X873:X877" si="1591">SUM(T873:W873)</f>
        <v>0</v>
      </c>
      <c r="Y873" s="274">
        <f t="shared" ref="Y873:Y877" si="1592">I873-N873</f>
        <v>0</v>
      </c>
      <c r="Z873" s="274">
        <f t="shared" ref="Z873:Z877" si="1593">N873-S873</f>
        <v>0</v>
      </c>
      <c r="AA873" s="274"/>
      <c r="AB873" s="306">
        <f t="shared" ref="AB873:AB877" si="1594">+S873-X873-AA873</f>
        <v>0</v>
      </c>
    </row>
    <row r="874" spans="1:28" s="90" customFormat="1" ht="14.1" hidden="1" customHeight="1" x14ac:dyDescent="0.2">
      <c r="A874" s="301"/>
      <c r="B874" s="350" t="s">
        <v>724</v>
      </c>
      <c r="C874" s="718"/>
      <c r="D874" s="718"/>
      <c r="E874" s="718"/>
      <c r="F874" s="370" t="s">
        <v>725</v>
      </c>
      <c r="G874" s="149"/>
      <c r="H874" s="149"/>
      <c r="I874" s="329">
        <f t="shared" ref="I874" si="1595">G874+H874</f>
        <v>0</v>
      </c>
      <c r="J874" s="329">
        <f t="shared" ref="J874" si="1596">I874</f>
        <v>0</v>
      </c>
      <c r="K874" s="274"/>
      <c r="L874" s="274"/>
      <c r="M874" s="274"/>
      <c r="N874" s="275">
        <f t="shared" si="1589"/>
        <v>0</v>
      </c>
      <c r="O874" s="274"/>
      <c r="P874" s="274"/>
      <c r="Q874" s="274"/>
      <c r="R874" s="274"/>
      <c r="S874" s="274">
        <f t="shared" ref="S874" si="1597">SUM(O874:R874)</f>
        <v>0</v>
      </c>
      <c r="T874" s="274"/>
      <c r="U874" s="274"/>
      <c r="V874" s="274"/>
      <c r="W874" s="274"/>
      <c r="X874" s="274">
        <f t="shared" ref="X874" si="1598">SUM(T874:W874)</f>
        <v>0</v>
      </c>
      <c r="Y874" s="274">
        <f t="shared" ref="Y874" si="1599">I874-N874</f>
        <v>0</v>
      </c>
      <c r="Z874" s="274">
        <f t="shared" ref="Z874" si="1600">N874-S874</f>
        <v>0</v>
      </c>
      <c r="AA874" s="274"/>
      <c r="AB874" s="306">
        <f t="shared" ref="AB874" si="1601">+S874-X874-AA874</f>
        <v>0</v>
      </c>
    </row>
    <row r="875" spans="1:28" s="90" customFormat="1" ht="14.1" customHeight="1" x14ac:dyDescent="0.2">
      <c r="A875" s="301"/>
      <c r="B875" s="350" t="s">
        <v>368</v>
      </c>
      <c r="C875" s="101"/>
      <c r="D875" s="101"/>
      <c r="E875" s="101"/>
      <c r="F875" s="370" t="s">
        <v>369</v>
      </c>
      <c r="G875" s="149">
        <v>6955.06</v>
      </c>
      <c r="H875" s="149"/>
      <c r="I875" s="329">
        <f t="shared" si="1587"/>
        <v>6955.06</v>
      </c>
      <c r="J875" s="329">
        <f t="shared" si="1588"/>
        <v>6955.06</v>
      </c>
      <c r="K875" s="274"/>
      <c r="L875" s="274"/>
      <c r="M875" s="274"/>
      <c r="N875" s="275">
        <f t="shared" si="1589"/>
        <v>6955.06</v>
      </c>
      <c r="O875" s="274"/>
      <c r="P875" s="274"/>
      <c r="Q875" s="274">
        <f>3352.69+3602.37</f>
        <v>6955.0599999999995</v>
      </c>
      <c r="R875" s="274"/>
      <c r="S875" s="274">
        <f t="shared" si="1590"/>
        <v>6955.0599999999995</v>
      </c>
      <c r="T875" s="274"/>
      <c r="U875" s="274"/>
      <c r="V875" s="274">
        <f>3602.37+3152.69+200</f>
        <v>6955.0599999999995</v>
      </c>
      <c r="W875" s="274"/>
      <c r="X875" s="274">
        <f t="shared" si="1591"/>
        <v>6955.0599999999995</v>
      </c>
      <c r="Y875" s="274">
        <f t="shared" si="1592"/>
        <v>0</v>
      </c>
      <c r="Z875" s="274">
        <f t="shared" si="1593"/>
        <v>0</v>
      </c>
      <c r="AA875" s="274"/>
      <c r="AB875" s="306">
        <f t="shared" si="1594"/>
        <v>0</v>
      </c>
    </row>
    <row r="876" spans="1:28" s="90" customFormat="1" ht="14.1" hidden="1" customHeight="1" x14ac:dyDescent="0.2">
      <c r="A876" s="301"/>
      <c r="B876" s="350" t="s">
        <v>370</v>
      </c>
      <c r="C876" s="101"/>
      <c r="D876" s="101"/>
      <c r="E876" s="101"/>
      <c r="F876" s="370" t="s">
        <v>371</v>
      </c>
      <c r="G876" s="149"/>
      <c r="H876" s="149"/>
      <c r="I876" s="329">
        <f t="shared" si="1587"/>
        <v>0</v>
      </c>
      <c r="J876" s="329">
        <f t="shared" si="1588"/>
        <v>0</v>
      </c>
      <c r="K876" s="274"/>
      <c r="L876" s="274"/>
      <c r="M876" s="274"/>
      <c r="N876" s="275">
        <f t="shared" si="1589"/>
        <v>0</v>
      </c>
      <c r="O876" s="274"/>
      <c r="P876" s="274"/>
      <c r="Q876" s="274"/>
      <c r="R876" s="274"/>
      <c r="S876" s="274">
        <f t="shared" si="1590"/>
        <v>0</v>
      </c>
      <c r="T876" s="274"/>
      <c r="U876" s="274"/>
      <c r="V876" s="274"/>
      <c r="W876" s="274"/>
      <c r="X876" s="274">
        <f t="shared" si="1591"/>
        <v>0</v>
      </c>
      <c r="Y876" s="274">
        <f t="shared" si="1592"/>
        <v>0</v>
      </c>
      <c r="Z876" s="274">
        <f t="shared" si="1593"/>
        <v>0</v>
      </c>
      <c r="AA876" s="274"/>
      <c r="AB876" s="306">
        <f t="shared" si="1594"/>
        <v>0</v>
      </c>
    </row>
    <row r="877" spans="1:28" s="90" customFormat="1" ht="14.1" hidden="1" customHeight="1" x14ac:dyDescent="0.2">
      <c r="A877" s="301"/>
      <c r="B877" s="350" t="s">
        <v>372</v>
      </c>
      <c r="C877" s="101"/>
      <c r="D877" s="101"/>
      <c r="E877" s="101"/>
      <c r="F877" s="370" t="s">
        <v>373</v>
      </c>
      <c r="G877" s="149"/>
      <c r="H877" s="149"/>
      <c r="I877" s="329">
        <f t="shared" si="1587"/>
        <v>0</v>
      </c>
      <c r="J877" s="329">
        <f t="shared" si="1588"/>
        <v>0</v>
      </c>
      <c r="K877" s="274"/>
      <c r="L877" s="274"/>
      <c r="M877" s="274"/>
      <c r="N877" s="275">
        <f t="shared" si="1589"/>
        <v>0</v>
      </c>
      <c r="O877" s="274"/>
      <c r="P877" s="274"/>
      <c r="Q877" s="274"/>
      <c r="R877" s="274"/>
      <c r="S877" s="274">
        <f t="shared" si="1590"/>
        <v>0</v>
      </c>
      <c r="T877" s="274"/>
      <c r="U877" s="274"/>
      <c r="V877" s="274"/>
      <c r="W877" s="274"/>
      <c r="X877" s="274">
        <f t="shared" si="1591"/>
        <v>0</v>
      </c>
      <c r="Y877" s="274">
        <f t="shared" si="1592"/>
        <v>0</v>
      </c>
      <c r="Z877" s="274">
        <f t="shared" si="1593"/>
        <v>0</v>
      </c>
      <c r="AA877" s="274"/>
      <c r="AB877" s="306">
        <f t="shared" si="1594"/>
        <v>0</v>
      </c>
    </row>
    <row r="878" spans="1:28" s="90" customFormat="1" ht="14.1" customHeight="1" x14ac:dyDescent="0.2">
      <c r="A878" s="301"/>
      <c r="B878" s="351" t="s">
        <v>374</v>
      </c>
      <c r="C878" s="101"/>
      <c r="D878" s="101"/>
      <c r="E878" s="101"/>
      <c r="F878" s="370"/>
      <c r="G878" s="149"/>
      <c r="H878" s="149"/>
      <c r="I878" s="149"/>
      <c r="J878" s="149"/>
      <c r="K878" s="159"/>
      <c r="L878" s="159"/>
      <c r="M878" s="159"/>
      <c r="N878" s="159"/>
      <c r="O878" s="159"/>
      <c r="P878" s="159"/>
      <c r="Q878" s="159"/>
      <c r="R878" s="159"/>
      <c r="S878" s="159"/>
      <c r="T878" s="159"/>
      <c r="U878" s="159"/>
      <c r="V878" s="159"/>
      <c r="W878" s="159"/>
      <c r="X878" s="159"/>
      <c r="Y878" s="159"/>
      <c r="Z878" s="159"/>
      <c r="AA878" s="159"/>
      <c r="AB878" s="583"/>
    </row>
    <row r="879" spans="1:28" s="90" customFormat="1" ht="14.1" hidden="1" customHeight="1" x14ac:dyDescent="0.2">
      <c r="A879" s="301"/>
      <c r="B879" s="350" t="s">
        <v>375</v>
      </c>
      <c r="C879" s="101"/>
      <c r="D879" s="101"/>
      <c r="E879" s="101"/>
      <c r="F879" s="370" t="s">
        <v>376</v>
      </c>
      <c r="G879" s="149"/>
      <c r="H879" s="149"/>
      <c r="I879" s="329">
        <f t="shared" ref="I879:I896" si="1602">G879+H879</f>
        <v>0</v>
      </c>
      <c r="J879" s="329">
        <f t="shared" ref="J879:J896" si="1603">I879</f>
        <v>0</v>
      </c>
      <c r="K879" s="274"/>
      <c r="L879" s="274"/>
      <c r="M879" s="274"/>
      <c r="N879" s="275">
        <f t="shared" ref="N879:N896" si="1604">J879+K879-L879+M879</f>
        <v>0</v>
      </c>
      <c r="O879" s="274"/>
      <c r="P879" s="274"/>
      <c r="Q879" s="274"/>
      <c r="R879" s="274"/>
      <c r="S879" s="274">
        <f t="shared" ref="S879:S896" si="1605">SUM(O879:R879)</f>
        <v>0</v>
      </c>
      <c r="T879" s="274"/>
      <c r="U879" s="274"/>
      <c r="V879" s="274"/>
      <c r="W879" s="274"/>
      <c r="X879" s="274">
        <f t="shared" ref="X879:X896" si="1606">SUM(T879:W879)</f>
        <v>0</v>
      </c>
      <c r="Y879" s="274">
        <f t="shared" ref="Y879:Y896" si="1607">I879-N879</f>
        <v>0</v>
      </c>
      <c r="Z879" s="274">
        <f t="shared" ref="Z879:Z896" si="1608">N879-S879</f>
        <v>0</v>
      </c>
      <c r="AA879" s="274"/>
      <c r="AB879" s="306">
        <f t="shared" ref="AB879:AB896" si="1609">+S879-X879-AA879</f>
        <v>0</v>
      </c>
    </row>
    <row r="880" spans="1:28" s="90" customFormat="1" ht="14.1" hidden="1" customHeight="1" x14ac:dyDescent="0.2">
      <c r="A880" s="301"/>
      <c r="B880" s="350" t="s">
        <v>377</v>
      </c>
      <c r="C880" s="101"/>
      <c r="D880" s="101"/>
      <c r="E880" s="101"/>
      <c r="F880" s="370" t="s">
        <v>378</v>
      </c>
      <c r="G880" s="149"/>
      <c r="H880" s="149"/>
      <c r="I880" s="329">
        <f t="shared" si="1602"/>
        <v>0</v>
      </c>
      <c r="J880" s="329">
        <f t="shared" si="1603"/>
        <v>0</v>
      </c>
      <c r="K880" s="274"/>
      <c r="L880" s="274"/>
      <c r="M880" s="274"/>
      <c r="N880" s="275">
        <f t="shared" si="1604"/>
        <v>0</v>
      </c>
      <c r="O880" s="274"/>
      <c r="P880" s="274"/>
      <c r="Q880" s="274"/>
      <c r="R880" s="274"/>
      <c r="S880" s="274">
        <f t="shared" si="1605"/>
        <v>0</v>
      </c>
      <c r="T880" s="274"/>
      <c r="U880" s="274"/>
      <c r="V880" s="274"/>
      <c r="W880" s="274"/>
      <c r="X880" s="274">
        <f t="shared" si="1606"/>
        <v>0</v>
      </c>
      <c r="Y880" s="274">
        <f t="shared" si="1607"/>
        <v>0</v>
      </c>
      <c r="Z880" s="274">
        <f t="shared" si="1608"/>
        <v>0</v>
      </c>
      <c r="AA880" s="274"/>
      <c r="AB880" s="306">
        <f t="shared" si="1609"/>
        <v>0</v>
      </c>
    </row>
    <row r="881" spans="1:28" s="90" customFormat="1" ht="14.1" hidden="1" customHeight="1" x14ac:dyDescent="0.2">
      <c r="A881" s="301"/>
      <c r="B881" s="350" t="s">
        <v>379</v>
      </c>
      <c r="C881" s="101"/>
      <c r="D881" s="101"/>
      <c r="E881" s="101"/>
      <c r="F881" s="370" t="s">
        <v>380</v>
      </c>
      <c r="G881" s="149"/>
      <c r="H881" s="149"/>
      <c r="I881" s="329">
        <f t="shared" si="1602"/>
        <v>0</v>
      </c>
      <c r="J881" s="329">
        <f t="shared" si="1603"/>
        <v>0</v>
      </c>
      <c r="K881" s="274"/>
      <c r="L881" s="274"/>
      <c r="M881" s="274"/>
      <c r="N881" s="275">
        <f t="shared" si="1604"/>
        <v>0</v>
      </c>
      <c r="O881" s="274"/>
      <c r="P881" s="274"/>
      <c r="Q881" s="274"/>
      <c r="R881" s="274"/>
      <c r="S881" s="274">
        <f t="shared" si="1605"/>
        <v>0</v>
      </c>
      <c r="T881" s="274"/>
      <c r="U881" s="274"/>
      <c r="V881" s="274"/>
      <c r="W881" s="274"/>
      <c r="X881" s="274">
        <f t="shared" si="1606"/>
        <v>0</v>
      </c>
      <c r="Y881" s="274">
        <f t="shared" si="1607"/>
        <v>0</v>
      </c>
      <c r="Z881" s="274">
        <f t="shared" si="1608"/>
        <v>0</v>
      </c>
      <c r="AA881" s="274"/>
      <c r="AB881" s="306">
        <f t="shared" si="1609"/>
        <v>0</v>
      </c>
    </row>
    <row r="882" spans="1:28" s="90" customFormat="1" ht="14.1" hidden="1" customHeight="1" x14ac:dyDescent="0.2">
      <c r="A882" s="301"/>
      <c r="B882" s="350" t="s">
        <v>381</v>
      </c>
      <c r="C882" s="101"/>
      <c r="D882" s="101"/>
      <c r="E882" s="101"/>
      <c r="F882" s="370" t="s">
        <v>382</v>
      </c>
      <c r="G882" s="149"/>
      <c r="H882" s="149"/>
      <c r="I882" s="329">
        <f t="shared" si="1602"/>
        <v>0</v>
      </c>
      <c r="J882" s="329">
        <f t="shared" si="1603"/>
        <v>0</v>
      </c>
      <c r="K882" s="274"/>
      <c r="L882" s="274"/>
      <c r="M882" s="274"/>
      <c r="N882" s="275">
        <f t="shared" si="1604"/>
        <v>0</v>
      </c>
      <c r="O882" s="274"/>
      <c r="P882" s="274"/>
      <c r="Q882" s="274"/>
      <c r="R882" s="274"/>
      <c r="S882" s="274">
        <f t="shared" si="1605"/>
        <v>0</v>
      </c>
      <c r="T882" s="274"/>
      <c r="U882" s="274"/>
      <c r="V882" s="274"/>
      <c r="W882" s="274"/>
      <c r="X882" s="274">
        <f t="shared" si="1606"/>
        <v>0</v>
      </c>
      <c r="Y882" s="274">
        <f t="shared" si="1607"/>
        <v>0</v>
      </c>
      <c r="Z882" s="274">
        <f t="shared" si="1608"/>
        <v>0</v>
      </c>
      <c r="AA882" s="274"/>
      <c r="AB882" s="306">
        <f t="shared" si="1609"/>
        <v>0</v>
      </c>
    </row>
    <row r="883" spans="1:28" s="90" customFormat="1" ht="14.1" hidden="1" customHeight="1" x14ac:dyDescent="0.2">
      <c r="A883" s="301"/>
      <c r="B883" s="350" t="s">
        <v>383</v>
      </c>
      <c r="C883" s="101"/>
      <c r="D883" s="101"/>
      <c r="E883" s="101"/>
      <c r="F883" s="370" t="s">
        <v>384</v>
      </c>
      <c r="G883" s="149"/>
      <c r="H883" s="149"/>
      <c r="I883" s="329">
        <f t="shared" si="1602"/>
        <v>0</v>
      </c>
      <c r="J883" s="329">
        <f t="shared" si="1603"/>
        <v>0</v>
      </c>
      <c r="K883" s="274"/>
      <c r="L883" s="274"/>
      <c r="M883" s="274"/>
      <c r="N883" s="275">
        <f t="shared" si="1604"/>
        <v>0</v>
      </c>
      <c r="O883" s="274"/>
      <c r="P883" s="274"/>
      <c r="Q883" s="274"/>
      <c r="R883" s="274"/>
      <c r="S883" s="274">
        <f t="shared" si="1605"/>
        <v>0</v>
      </c>
      <c r="T883" s="274"/>
      <c r="U883" s="274"/>
      <c r="V883" s="274"/>
      <c r="W883" s="274"/>
      <c r="X883" s="274">
        <f t="shared" si="1606"/>
        <v>0</v>
      </c>
      <c r="Y883" s="274">
        <f t="shared" si="1607"/>
        <v>0</v>
      </c>
      <c r="Z883" s="274">
        <f t="shared" si="1608"/>
        <v>0</v>
      </c>
      <c r="AA883" s="274"/>
      <c r="AB883" s="306">
        <f t="shared" si="1609"/>
        <v>0</v>
      </c>
    </row>
    <row r="884" spans="1:28" s="90" customFormat="1" ht="14.1" hidden="1" customHeight="1" x14ac:dyDescent="0.2">
      <c r="A884" s="301"/>
      <c r="B884" s="350" t="s">
        <v>385</v>
      </c>
      <c r="C884" s="101"/>
      <c r="D884" s="101"/>
      <c r="E884" s="101"/>
      <c r="F884" s="370" t="s">
        <v>386</v>
      </c>
      <c r="G884" s="149"/>
      <c r="H884" s="149"/>
      <c r="I884" s="329">
        <f t="shared" si="1602"/>
        <v>0</v>
      </c>
      <c r="J884" s="329">
        <f t="shared" si="1603"/>
        <v>0</v>
      </c>
      <c r="K884" s="274"/>
      <c r="L884" s="274"/>
      <c r="M884" s="274"/>
      <c r="N884" s="275">
        <f t="shared" si="1604"/>
        <v>0</v>
      </c>
      <c r="O884" s="274"/>
      <c r="P884" s="274"/>
      <c r="Q884" s="274"/>
      <c r="R884" s="274"/>
      <c r="S884" s="274">
        <f t="shared" si="1605"/>
        <v>0</v>
      </c>
      <c r="T884" s="274"/>
      <c r="U884" s="274"/>
      <c r="V884" s="274"/>
      <c r="W884" s="274"/>
      <c r="X884" s="274">
        <f t="shared" si="1606"/>
        <v>0</v>
      </c>
      <c r="Y884" s="274">
        <f t="shared" si="1607"/>
        <v>0</v>
      </c>
      <c r="Z884" s="274">
        <f t="shared" si="1608"/>
        <v>0</v>
      </c>
      <c r="AA884" s="274"/>
      <c r="AB884" s="306">
        <f t="shared" si="1609"/>
        <v>0</v>
      </c>
    </row>
    <row r="885" spans="1:28" s="90" customFormat="1" ht="14.1" hidden="1" customHeight="1" x14ac:dyDescent="0.2">
      <c r="A885" s="301"/>
      <c r="B885" s="350" t="s">
        <v>726</v>
      </c>
      <c r="C885" s="718"/>
      <c r="D885" s="718"/>
      <c r="E885" s="718"/>
      <c r="F885" s="370" t="s">
        <v>387</v>
      </c>
      <c r="G885" s="149"/>
      <c r="H885" s="149"/>
      <c r="I885" s="329">
        <f t="shared" si="1602"/>
        <v>0</v>
      </c>
      <c r="J885" s="329">
        <f t="shared" si="1603"/>
        <v>0</v>
      </c>
      <c r="K885" s="274"/>
      <c r="L885" s="274"/>
      <c r="M885" s="274"/>
      <c r="N885" s="275">
        <f t="shared" si="1604"/>
        <v>0</v>
      </c>
      <c r="O885" s="274"/>
      <c r="P885" s="274"/>
      <c r="Q885" s="274"/>
      <c r="R885" s="274"/>
      <c r="S885" s="274">
        <f t="shared" si="1605"/>
        <v>0</v>
      </c>
      <c r="T885" s="274"/>
      <c r="U885" s="274"/>
      <c r="V885" s="274"/>
      <c r="W885" s="274"/>
      <c r="X885" s="274">
        <f t="shared" si="1606"/>
        <v>0</v>
      </c>
      <c r="Y885" s="274">
        <f t="shared" si="1607"/>
        <v>0</v>
      </c>
      <c r="Z885" s="274">
        <f t="shared" si="1608"/>
        <v>0</v>
      </c>
      <c r="AA885" s="274"/>
      <c r="AB885" s="306">
        <f t="shared" si="1609"/>
        <v>0</v>
      </c>
    </row>
    <row r="886" spans="1:28" s="90" customFormat="1" ht="14.1" hidden="1" customHeight="1" x14ac:dyDescent="0.2">
      <c r="A886" s="301"/>
      <c r="B886" s="350" t="s">
        <v>388</v>
      </c>
      <c r="C886" s="101"/>
      <c r="D886" s="101"/>
      <c r="E886" s="101"/>
      <c r="F886" s="370" t="s">
        <v>389</v>
      </c>
      <c r="G886" s="149"/>
      <c r="H886" s="149"/>
      <c r="I886" s="329">
        <f t="shared" si="1602"/>
        <v>0</v>
      </c>
      <c r="J886" s="329">
        <f t="shared" si="1603"/>
        <v>0</v>
      </c>
      <c r="K886" s="274"/>
      <c r="L886" s="274"/>
      <c r="M886" s="274"/>
      <c r="N886" s="275">
        <f t="shared" si="1604"/>
        <v>0</v>
      </c>
      <c r="O886" s="274"/>
      <c r="P886" s="274"/>
      <c r="Q886" s="274"/>
      <c r="R886" s="274"/>
      <c r="S886" s="274">
        <f t="shared" si="1605"/>
        <v>0</v>
      </c>
      <c r="T886" s="274"/>
      <c r="U886" s="274"/>
      <c r="V886" s="274"/>
      <c r="W886" s="274"/>
      <c r="X886" s="274">
        <f t="shared" si="1606"/>
        <v>0</v>
      </c>
      <c r="Y886" s="274">
        <f t="shared" si="1607"/>
        <v>0</v>
      </c>
      <c r="Z886" s="274">
        <f t="shared" si="1608"/>
        <v>0</v>
      </c>
      <c r="AA886" s="274"/>
      <c r="AB886" s="306">
        <f t="shared" si="1609"/>
        <v>0</v>
      </c>
    </row>
    <row r="887" spans="1:28" s="90" customFormat="1" ht="14.1" hidden="1" customHeight="1" x14ac:dyDescent="0.2">
      <c r="A887" s="301"/>
      <c r="B887" s="350" t="s">
        <v>390</v>
      </c>
      <c r="C887" s="101"/>
      <c r="D887" s="101"/>
      <c r="E887" s="101"/>
      <c r="F887" s="370" t="s">
        <v>391</v>
      </c>
      <c r="G887" s="149"/>
      <c r="H887" s="149"/>
      <c r="I887" s="329">
        <f t="shared" si="1602"/>
        <v>0</v>
      </c>
      <c r="J887" s="329">
        <f t="shared" si="1603"/>
        <v>0</v>
      </c>
      <c r="K887" s="274"/>
      <c r="L887" s="274"/>
      <c r="M887" s="274"/>
      <c r="N887" s="275">
        <f t="shared" si="1604"/>
        <v>0</v>
      </c>
      <c r="O887" s="274"/>
      <c r="P887" s="274"/>
      <c r="Q887" s="274"/>
      <c r="R887" s="274"/>
      <c r="S887" s="274">
        <f t="shared" si="1605"/>
        <v>0</v>
      </c>
      <c r="T887" s="274"/>
      <c r="U887" s="274"/>
      <c r="V887" s="274"/>
      <c r="W887" s="274"/>
      <c r="X887" s="274">
        <f t="shared" si="1606"/>
        <v>0</v>
      </c>
      <c r="Y887" s="274">
        <f t="shared" si="1607"/>
        <v>0</v>
      </c>
      <c r="Z887" s="274">
        <f t="shared" si="1608"/>
        <v>0</v>
      </c>
      <c r="AA887" s="274"/>
      <c r="AB887" s="306">
        <f t="shared" si="1609"/>
        <v>0</v>
      </c>
    </row>
    <row r="888" spans="1:28" s="90" customFormat="1" ht="14.1" hidden="1" customHeight="1" x14ac:dyDescent="0.2">
      <c r="A888" s="301"/>
      <c r="B888" s="350" t="s">
        <v>392</v>
      </c>
      <c r="C888" s="101"/>
      <c r="D888" s="101"/>
      <c r="E888" s="101"/>
      <c r="F888" s="370" t="s">
        <v>393</v>
      </c>
      <c r="G888" s="149"/>
      <c r="H888" s="149"/>
      <c r="I888" s="329">
        <f t="shared" si="1602"/>
        <v>0</v>
      </c>
      <c r="J888" s="329">
        <f t="shared" si="1603"/>
        <v>0</v>
      </c>
      <c r="K888" s="274"/>
      <c r="L888" s="274"/>
      <c r="M888" s="274"/>
      <c r="N888" s="275">
        <f t="shared" si="1604"/>
        <v>0</v>
      </c>
      <c r="O888" s="274"/>
      <c r="P888" s="274"/>
      <c r="Q888" s="274"/>
      <c r="R888" s="274"/>
      <c r="S888" s="274">
        <f t="shared" si="1605"/>
        <v>0</v>
      </c>
      <c r="T888" s="274"/>
      <c r="U888" s="274"/>
      <c r="V888" s="274"/>
      <c r="W888" s="274"/>
      <c r="X888" s="274">
        <f t="shared" si="1606"/>
        <v>0</v>
      </c>
      <c r="Y888" s="274">
        <f t="shared" si="1607"/>
        <v>0</v>
      </c>
      <c r="Z888" s="274">
        <f t="shared" si="1608"/>
        <v>0</v>
      </c>
      <c r="AA888" s="274"/>
      <c r="AB888" s="306">
        <f t="shared" si="1609"/>
        <v>0</v>
      </c>
    </row>
    <row r="889" spans="1:28" s="90" customFormat="1" ht="14.1" hidden="1" customHeight="1" x14ac:dyDescent="0.2">
      <c r="A889" s="301"/>
      <c r="B889" s="350" t="s">
        <v>394</v>
      </c>
      <c r="C889" s="101"/>
      <c r="D889" s="101"/>
      <c r="E889" s="101"/>
      <c r="F889" s="370" t="s">
        <v>395</v>
      </c>
      <c r="G889" s="149"/>
      <c r="H889" s="149"/>
      <c r="I889" s="329">
        <f t="shared" si="1602"/>
        <v>0</v>
      </c>
      <c r="J889" s="329">
        <f t="shared" si="1603"/>
        <v>0</v>
      </c>
      <c r="K889" s="274"/>
      <c r="L889" s="274"/>
      <c r="M889" s="274"/>
      <c r="N889" s="275">
        <f t="shared" si="1604"/>
        <v>0</v>
      </c>
      <c r="O889" s="274"/>
      <c r="P889" s="274"/>
      <c r="Q889" s="274"/>
      <c r="R889" s="274"/>
      <c r="S889" s="274">
        <f t="shared" si="1605"/>
        <v>0</v>
      </c>
      <c r="T889" s="274"/>
      <c r="U889" s="274"/>
      <c r="V889" s="274"/>
      <c r="W889" s="274"/>
      <c r="X889" s="274">
        <f t="shared" si="1606"/>
        <v>0</v>
      </c>
      <c r="Y889" s="274">
        <f t="shared" si="1607"/>
        <v>0</v>
      </c>
      <c r="Z889" s="274">
        <f t="shared" si="1608"/>
        <v>0</v>
      </c>
      <c r="AA889" s="274"/>
      <c r="AB889" s="306">
        <f t="shared" si="1609"/>
        <v>0</v>
      </c>
    </row>
    <row r="890" spans="1:28" s="90" customFormat="1" ht="14.1" hidden="1" customHeight="1" x14ac:dyDescent="0.2">
      <c r="A890" s="301"/>
      <c r="B890" s="350" t="s">
        <v>396</v>
      </c>
      <c r="C890" s="101"/>
      <c r="D890" s="101"/>
      <c r="E890" s="101"/>
      <c r="F890" s="370" t="s">
        <v>397</v>
      </c>
      <c r="G890" s="149"/>
      <c r="H890" s="149"/>
      <c r="I890" s="329">
        <f t="shared" si="1602"/>
        <v>0</v>
      </c>
      <c r="J890" s="329">
        <f t="shared" si="1603"/>
        <v>0</v>
      </c>
      <c r="K890" s="274"/>
      <c r="L890" s="274"/>
      <c r="M890" s="274"/>
      <c r="N890" s="275">
        <f t="shared" si="1604"/>
        <v>0</v>
      </c>
      <c r="O890" s="274"/>
      <c r="P890" s="274"/>
      <c r="Q890" s="274"/>
      <c r="R890" s="274"/>
      <c r="S890" s="274">
        <f t="shared" si="1605"/>
        <v>0</v>
      </c>
      <c r="T890" s="274"/>
      <c r="U890" s="274"/>
      <c r="V890" s="274"/>
      <c r="W890" s="274"/>
      <c r="X890" s="274">
        <f t="shared" si="1606"/>
        <v>0</v>
      </c>
      <c r="Y890" s="274">
        <f t="shared" si="1607"/>
        <v>0</v>
      </c>
      <c r="Z890" s="274">
        <f t="shared" si="1608"/>
        <v>0</v>
      </c>
      <c r="AA890" s="274"/>
      <c r="AB890" s="306">
        <f t="shared" si="1609"/>
        <v>0</v>
      </c>
    </row>
    <row r="891" spans="1:28" s="90" customFormat="1" ht="14.1" hidden="1" customHeight="1" x14ac:dyDescent="0.2">
      <c r="A891" s="301"/>
      <c r="B891" s="350" t="s">
        <v>398</v>
      </c>
      <c r="C891" s="101"/>
      <c r="D891" s="101"/>
      <c r="E891" s="101"/>
      <c r="F891" s="370" t="s">
        <v>399</v>
      </c>
      <c r="G891" s="149"/>
      <c r="H891" s="149"/>
      <c r="I891" s="329">
        <f t="shared" si="1602"/>
        <v>0</v>
      </c>
      <c r="J891" s="329">
        <f t="shared" si="1603"/>
        <v>0</v>
      </c>
      <c r="K891" s="274"/>
      <c r="L891" s="274"/>
      <c r="M891" s="274"/>
      <c r="N891" s="275">
        <f t="shared" si="1604"/>
        <v>0</v>
      </c>
      <c r="O891" s="274"/>
      <c r="P891" s="274"/>
      <c r="Q891" s="274"/>
      <c r="R891" s="274"/>
      <c r="S891" s="274">
        <f t="shared" si="1605"/>
        <v>0</v>
      </c>
      <c r="T891" s="274"/>
      <c r="U891" s="274"/>
      <c r="V891" s="274"/>
      <c r="W891" s="274"/>
      <c r="X891" s="274">
        <f t="shared" si="1606"/>
        <v>0</v>
      </c>
      <c r="Y891" s="274">
        <f t="shared" si="1607"/>
        <v>0</v>
      </c>
      <c r="Z891" s="274">
        <f t="shared" si="1608"/>
        <v>0</v>
      </c>
      <c r="AA891" s="274"/>
      <c r="AB891" s="306">
        <f t="shared" si="1609"/>
        <v>0</v>
      </c>
    </row>
    <row r="892" spans="1:28" s="90" customFormat="1" ht="14.1" hidden="1" customHeight="1" x14ac:dyDescent="0.2">
      <c r="A892" s="301"/>
      <c r="B892" s="350" t="s">
        <v>400</v>
      </c>
      <c r="C892" s="101"/>
      <c r="D892" s="101"/>
      <c r="E892" s="101"/>
      <c r="F892" s="370" t="s">
        <v>401</v>
      </c>
      <c r="G892" s="149"/>
      <c r="H892" s="149"/>
      <c r="I892" s="329">
        <f t="shared" si="1602"/>
        <v>0</v>
      </c>
      <c r="J892" s="329">
        <f t="shared" si="1603"/>
        <v>0</v>
      </c>
      <c r="K892" s="274"/>
      <c r="L892" s="274"/>
      <c r="M892" s="274"/>
      <c r="N892" s="275">
        <f t="shared" si="1604"/>
        <v>0</v>
      </c>
      <c r="O892" s="274"/>
      <c r="P892" s="274"/>
      <c r="Q892" s="274"/>
      <c r="R892" s="274"/>
      <c r="S892" s="274">
        <f t="shared" si="1605"/>
        <v>0</v>
      </c>
      <c r="T892" s="274"/>
      <c r="U892" s="274"/>
      <c r="V892" s="274"/>
      <c r="W892" s="274"/>
      <c r="X892" s="274">
        <f t="shared" si="1606"/>
        <v>0</v>
      </c>
      <c r="Y892" s="274">
        <f t="shared" si="1607"/>
        <v>0</v>
      </c>
      <c r="Z892" s="274">
        <f t="shared" si="1608"/>
        <v>0</v>
      </c>
      <c r="AA892" s="274"/>
      <c r="AB892" s="306">
        <f t="shared" si="1609"/>
        <v>0</v>
      </c>
    </row>
    <row r="893" spans="1:28" s="90" customFormat="1" ht="14.1" hidden="1" customHeight="1" x14ac:dyDescent="0.2">
      <c r="A893" s="301"/>
      <c r="B893" s="350" t="s">
        <v>402</v>
      </c>
      <c r="C893" s="101"/>
      <c r="D893" s="101"/>
      <c r="E893" s="101"/>
      <c r="F893" s="370" t="s">
        <v>403</v>
      </c>
      <c r="G893" s="149"/>
      <c r="H893" s="149"/>
      <c r="I893" s="329">
        <f t="shared" si="1602"/>
        <v>0</v>
      </c>
      <c r="J893" s="329">
        <f t="shared" si="1603"/>
        <v>0</v>
      </c>
      <c r="K893" s="274"/>
      <c r="L893" s="274"/>
      <c r="M893" s="274"/>
      <c r="N893" s="275">
        <f t="shared" si="1604"/>
        <v>0</v>
      </c>
      <c r="O893" s="274"/>
      <c r="P893" s="274"/>
      <c r="Q893" s="274"/>
      <c r="R893" s="274"/>
      <c r="S893" s="274">
        <f t="shared" si="1605"/>
        <v>0</v>
      </c>
      <c r="T893" s="274"/>
      <c r="U893" s="274"/>
      <c r="V893" s="274"/>
      <c r="W893" s="274"/>
      <c r="X893" s="274">
        <f t="shared" si="1606"/>
        <v>0</v>
      </c>
      <c r="Y893" s="274">
        <f t="shared" si="1607"/>
        <v>0</v>
      </c>
      <c r="Z893" s="274">
        <f t="shared" si="1608"/>
        <v>0</v>
      </c>
      <c r="AA893" s="274"/>
      <c r="AB893" s="306">
        <f t="shared" si="1609"/>
        <v>0</v>
      </c>
    </row>
    <row r="894" spans="1:28" s="90" customFormat="1" ht="14.1" hidden="1" customHeight="1" x14ac:dyDescent="0.2">
      <c r="A894" s="301"/>
      <c r="B894" s="350" t="s">
        <v>404</v>
      </c>
      <c r="C894" s="101"/>
      <c r="D894" s="101"/>
      <c r="E894" s="101"/>
      <c r="F894" s="370" t="s">
        <v>405</v>
      </c>
      <c r="G894" s="149"/>
      <c r="H894" s="149"/>
      <c r="I894" s="329">
        <f t="shared" si="1602"/>
        <v>0</v>
      </c>
      <c r="J894" s="329">
        <f t="shared" si="1603"/>
        <v>0</v>
      </c>
      <c r="K894" s="274"/>
      <c r="L894" s="274"/>
      <c r="M894" s="274"/>
      <c r="N894" s="275">
        <f t="shared" si="1604"/>
        <v>0</v>
      </c>
      <c r="O894" s="274"/>
      <c r="P894" s="274"/>
      <c r="Q894" s="274"/>
      <c r="R894" s="274"/>
      <c r="S894" s="274">
        <f t="shared" si="1605"/>
        <v>0</v>
      </c>
      <c r="T894" s="274"/>
      <c r="U894" s="274"/>
      <c r="V894" s="274"/>
      <c r="W894" s="274"/>
      <c r="X894" s="274">
        <f t="shared" si="1606"/>
        <v>0</v>
      </c>
      <c r="Y894" s="274">
        <f t="shared" si="1607"/>
        <v>0</v>
      </c>
      <c r="Z894" s="274">
        <f t="shared" si="1608"/>
        <v>0</v>
      </c>
      <c r="AA894" s="274"/>
      <c r="AB894" s="306">
        <f t="shared" si="1609"/>
        <v>0</v>
      </c>
    </row>
    <row r="895" spans="1:28" s="90" customFormat="1" ht="14.1" hidden="1" customHeight="1" x14ac:dyDescent="0.2">
      <c r="A895" s="301"/>
      <c r="B895" s="350" t="s">
        <v>727</v>
      </c>
      <c r="C895" s="718"/>
      <c r="D895" s="718"/>
      <c r="E895" s="718"/>
      <c r="F895" s="370" t="s">
        <v>728</v>
      </c>
      <c r="G895" s="149"/>
      <c r="H895" s="149"/>
      <c r="I895" s="329">
        <f t="shared" ref="I895" si="1610">G895+H895</f>
        <v>0</v>
      </c>
      <c r="J895" s="329">
        <f t="shared" ref="J895" si="1611">I895</f>
        <v>0</v>
      </c>
      <c r="K895" s="274"/>
      <c r="L895" s="274"/>
      <c r="M895" s="274"/>
      <c r="N895" s="275">
        <f t="shared" si="1604"/>
        <v>0</v>
      </c>
      <c r="O895" s="274"/>
      <c r="P895" s="274"/>
      <c r="Q895" s="274"/>
      <c r="R895" s="274"/>
      <c r="S895" s="274">
        <f t="shared" ref="S895" si="1612">SUM(O895:R895)</f>
        <v>0</v>
      </c>
      <c r="T895" s="274"/>
      <c r="U895" s="274"/>
      <c r="V895" s="274"/>
      <c r="W895" s="274"/>
      <c r="X895" s="274">
        <f t="shared" ref="X895" si="1613">SUM(T895:W895)</f>
        <v>0</v>
      </c>
      <c r="Y895" s="274">
        <f t="shared" ref="Y895" si="1614">I895-N895</f>
        <v>0</v>
      </c>
      <c r="Z895" s="274">
        <f t="shared" ref="Z895" si="1615">N895-S895</f>
        <v>0</v>
      </c>
      <c r="AA895" s="274"/>
      <c r="AB895" s="306">
        <f t="shared" ref="AB895" si="1616">+S895-X895-AA895</f>
        <v>0</v>
      </c>
    </row>
    <row r="896" spans="1:28" s="90" customFormat="1" ht="14.1" hidden="1" customHeight="1" x14ac:dyDescent="0.2">
      <c r="A896" s="301"/>
      <c r="B896" s="350" t="s">
        <v>406</v>
      </c>
      <c r="C896" s="101"/>
      <c r="D896" s="101"/>
      <c r="E896" s="101"/>
      <c r="F896" s="370" t="s">
        <v>407</v>
      </c>
      <c r="G896" s="149"/>
      <c r="H896" s="149"/>
      <c r="I896" s="329">
        <f t="shared" si="1602"/>
        <v>0</v>
      </c>
      <c r="J896" s="329">
        <f t="shared" si="1603"/>
        <v>0</v>
      </c>
      <c r="K896" s="274"/>
      <c r="L896" s="274"/>
      <c r="M896" s="274"/>
      <c r="N896" s="275">
        <f t="shared" si="1604"/>
        <v>0</v>
      </c>
      <c r="O896" s="274"/>
      <c r="P896" s="274"/>
      <c r="Q896" s="274"/>
      <c r="R896" s="274"/>
      <c r="S896" s="274">
        <f t="shared" si="1605"/>
        <v>0</v>
      </c>
      <c r="T896" s="274"/>
      <c r="U896" s="274"/>
      <c r="V896" s="274"/>
      <c r="W896" s="274"/>
      <c r="X896" s="274">
        <f t="shared" si="1606"/>
        <v>0</v>
      </c>
      <c r="Y896" s="274">
        <f t="shared" si="1607"/>
        <v>0</v>
      </c>
      <c r="Z896" s="274">
        <f t="shared" si="1608"/>
        <v>0</v>
      </c>
      <c r="AA896" s="274"/>
      <c r="AB896" s="306">
        <f t="shared" si="1609"/>
        <v>0</v>
      </c>
    </row>
    <row r="897" spans="1:28" s="90" customFormat="1" ht="14.1" customHeight="1" x14ac:dyDescent="0.2">
      <c r="A897" s="301"/>
      <c r="B897" s="351" t="s">
        <v>408</v>
      </c>
      <c r="C897" s="101"/>
      <c r="D897" s="101"/>
      <c r="E897" s="101"/>
      <c r="F897" s="370"/>
      <c r="G897" s="149"/>
      <c r="H897" s="149"/>
      <c r="I897" s="149"/>
      <c r="J897" s="149"/>
      <c r="K897" s="159"/>
      <c r="L897" s="159"/>
      <c r="M897" s="159"/>
      <c r="N897" s="159"/>
      <c r="O897" s="159"/>
      <c r="P897" s="159"/>
      <c r="Q897" s="159"/>
      <c r="R897" s="159"/>
      <c r="S897" s="159"/>
      <c r="T897" s="159"/>
      <c r="U897" s="159"/>
      <c r="V897" s="159"/>
      <c r="W897" s="159"/>
      <c r="X897" s="159"/>
      <c r="Y897" s="159"/>
      <c r="Z897" s="159"/>
      <c r="AA897" s="159"/>
      <c r="AB897" s="583"/>
    </row>
    <row r="898" spans="1:28" s="90" customFormat="1" ht="14.1" customHeight="1" x14ac:dyDescent="0.2">
      <c r="A898" s="301"/>
      <c r="B898" s="350" t="s">
        <v>409</v>
      </c>
      <c r="C898" s="101"/>
      <c r="D898" s="101"/>
      <c r="E898" s="101"/>
      <c r="F898" s="370" t="s">
        <v>410</v>
      </c>
      <c r="G898" s="149">
        <v>2601.88</v>
      </c>
      <c r="H898" s="149"/>
      <c r="I898" s="329">
        <f t="shared" ref="I898:I900" si="1617">G898+H898</f>
        <v>2601.88</v>
      </c>
      <c r="J898" s="329">
        <f t="shared" ref="J898:J900" si="1618">I898</f>
        <v>2601.88</v>
      </c>
      <c r="K898" s="274"/>
      <c r="L898" s="274"/>
      <c r="M898" s="274"/>
      <c r="N898" s="275">
        <f t="shared" ref="N898:N900" si="1619">J898+K898-L898+M898</f>
        <v>2601.88</v>
      </c>
      <c r="O898" s="274"/>
      <c r="P898" s="274"/>
      <c r="Q898" s="274">
        <f>2229.06</f>
        <v>2229.06</v>
      </c>
      <c r="R898" s="274">
        <v>372.82</v>
      </c>
      <c r="S898" s="274">
        <f t="shared" ref="S898:S900" si="1620">SUM(O898:R898)</f>
        <v>2601.88</v>
      </c>
      <c r="T898" s="274"/>
      <c r="U898" s="274"/>
      <c r="V898" s="274">
        <f>2229.06</f>
        <v>2229.06</v>
      </c>
      <c r="W898" s="274">
        <v>372.82</v>
      </c>
      <c r="X898" s="274">
        <f t="shared" ref="X898:X900" si="1621">SUM(T898:W898)</f>
        <v>2601.88</v>
      </c>
      <c r="Y898" s="274">
        <f t="shared" ref="Y898:Y900" si="1622">I898-N898</f>
        <v>0</v>
      </c>
      <c r="Z898" s="274">
        <f t="shared" ref="Z898:Z900" si="1623">N898-S898</f>
        <v>0</v>
      </c>
      <c r="AA898" s="274"/>
      <c r="AB898" s="306">
        <f t="shared" ref="AB898:AB900" si="1624">+S898-X898-AA898</f>
        <v>0</v>
      </c>
    </row>
    <row r="899" spans="1:28" s="90" customFormat="1" ht="14.1" customHeight="1" x14ac:dyDescent="0.2">
      <c r="A899" s="301"/>
      <c r="B899" s="350" t="s">
        <v>411</v>
      </c>
      <c r="C899" s="101"/>
      <c r="D899" s="101"/>
      <c r="E899" s="101"/>
      <c r="F899" s="370" t="s">
        <v>412</v>
      </c>
      <c r="G899" s="149">
        <v>3746.25</v>
      </c>
      <c r="H899" s="149"/>
      <c r="I899" s="329">
        <f t="shared" si="1617"/>
        <v>3746.25</v>
      </c>
      <c r="J899" s="329">
        <f t="shared" si="1618"/>
        <v>3746.25</v>
      </c>
      <c r="K899" s="274"/>
      <c r="L899" s="274"/>
      <c r="M899" s="274"/>
      <c r="N899" s="275">
        <f t="shared" si="1619"/>
        <v>3746.25</v>
      </c>
      <c r="O899" s="274"/>
      <c r="P899" s="274"/>
      <c r="Q899" s="274">
        <f>675+1636.25</f>
        <v>2311.25</v>
      </c>
      <c r="R899" s="274">
        <v>1435</v>
      </c>
      <c r="S899" s="274">
        <f t="shared" si="1620"/>
        <v>3746.25</v>
      </c>
      <c r="T899" s="274"/>
      <c r="U899" s="274"/>
      <c r="V899" s="274">
        <f>675+1636.25</f>
        <v>2311.25</v>
      </c>
      <c r="W899" s="274">
        <v>1435</v>
      </c>
      <c r="X899" s="274">
        <f t="shared" si="1621"/>
        <v>3746.25</v>
      </c>
      <c r="Y899" s="274">
        <f t="shared" si="1622"/>
        <v>0</v>
      </c>
      <c r="Z899" s="274">
        <f t="shared" si="1623"/>
        <v>0</v>
      </c>
      <c r="AA899" s="274"/>
      <c r="AB899" s="306">
        <f t="shared" si="1624"/>
        <v>0</v>
      </c>
    </row>
    <row r="900" spans="1:28" s="90" customFormat="1" ht="14.1" customHeight="1" x14ac:dyDescent="0.2">
      <c r="A900" s="301"/>
      <c r="B900" s="350" t="s">
        <v>413</v>
      </c>
      <c r="C900" s="101"/>
      <c r="D900" s="101"/>
      <c r="E900" s="101"/>
      <c r="F900" s="370" t="s">
        <v>414</v>
      </c>
      <c r="G900" s="149">
        <v>13000</v>
      </c>
      <c r="H900" s="149"/>
      <c r="I900" s="329">
        <f t="shared" si="1617"/>
        <v>13000</v>
      </c>
      <c r="J900" s="329">
        <f t="shared" si="1618"/>
        <v>13000</v>
      </c>
      <c r="K900" s="274"/>
      <c r="L900" s="274"/>
      <c r="M900" s="274"/>
      <c r="N900" s="275">
        <f t="shared" si="1619"/>
        <v>13000</v>
      </c>
      <c r="O900" s="274"/>
      <c r="P900" s="274"/>
      <c r="Q900" s="274">
        <f>5174.2+4982.41+2843.39</f>
        <v>13000</v>
      </c>
      <c r="R900" s="274"/>
      <c r="S900" s="274">
        <f t="shared" si="1620"/>
        <v>13000</v>
      </c>
      <c r="T900" s="274"/>
      <c r="U900" s="274"/>
      <c r="V900" s="274">
        <f>4982.41+5174.2+2843.39</f>
        <v>13000</v>
      </c>
      <c r="W900" s="274"/>
      <c r="X900" s="274">
        <f t="shared" si="1621"/>
        <v>13000</v>
      </c>
      <c r="Y900" s="274">
        <f t="shared" si="1622"/>
        <v>0</v>
      </c>
      <c r="Z900" s="274">
        <f t="shared" si="1623"/>
        <v>0</v>
      </c>
      <c r="AA900" s="274"/>
      <c r="AB900" s="306">
        <f t="shared" si="1624"/>
        <v>0</v>
      </c>
    </row>
    <row r="901" spans="1:28" s="90" customFormat="1" ht="14.1" customHeight="1" x14ac:dyDescent="0.2">
      <c r="A901" s="301"/>
      <c r="B901" s="351" t="s">
        <v>415</v>
      </c>
      <c r="C901" s="101"/>
      <c r="D901" s="101"/>
      <c r="E901" s="101"/>
      <c r="F901" s="370"/>
      <c r="G901" s="149"/>
      <c r="H901" s="149"/>
      <c r="I901" s="149"/>
      <c r="J901" s="14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  <c r="AA901" s="159"/>
      <c r="AB901" s="583"/>
    </row>
    <row r="902" spans="1:28" s="90" customFormat="1" ht="14.1" hidden="1" customHeight="1" x14ac:dyDescent="0.2">
      <c r="A902" s="301"/>
      <c r="B902" s="350" t="s">
        <v>416</v>
      </c>
      <c r="C902" s="101"/>
      <c r="D902" s="101"/>
      <c r="E902" s="101"/>
      <c r="F902" s="370" t="s">
        <v>417</v>
      </c>
      <c r="G902" s="149"/>
      <c r="H902" s="149"/>
      <c r="I902" s="329">
        <f t="shared" ref="I902:I914" si="1625">G902+H902</f>
        <v>0</v>
      </c>
      <c r="J902" s="329">
        <f t="shared" ref="J902:J914" si="1626">I902</f>
        <v>0</v>
      </c>
      <c r="K902" s="274"/>
      <c r="L902" s="274"/>
      <c r="M902" s="274"/>
      <c r="N902" s="275">
        <f t="shared" ref="N902:N914" si="1627">J902+K902-L902+M902</f>
        <v>0</v>
      </c>
      <c r="O902" s="274"/>
      <c r="P902" s="274"/>
      <c r="Q902" s="274"/>
      <c r="R902" s="274"/>
      <c r="S902" s="274">
        <f t="shared" ref="S902:S914" si="1628">SUM(O902:R902)</f>
        <v>0</v>
      </c>
      <c r="T902" s="274"/>
      <c r="U902" s="274"/>
      <c r="V902" s="274"/>
      <c r="W902" s="274"/>
      <c r="X902" s="274">
        <f t="shared" ref="X902:X914" si="1629">SUM(T902:W902)</f>
        <v>0</v>
      </c>
      <c r="Y902" s="274">
        <f t="shared" ref="Y902:Y914" si="1630">I902-N902</f>
        <v>0</v>
      </c>
      <c r="Z902" s="274">
        <f t="shared" ref="Z902:Z914" si="1631">N902-S902</f>
        <v>0</v>
      </c>
      <c r="AA902" s="274"/>
      <c r="AB902" s="306">
        <f t="shared" ref="AB902:AB914" si="1632">+S902-X902-AA902</f>
        <v>0</v>
      </c>
    </row>
    <row r="903" spans="1:28" s="90" customFormat="1" ht="14.1" customHeight="1" x14ac:dyDescent="0.2">
      <c r="A903" s="301"/>
      <c r="B903" s="350" t="s">
        <v>418</v>
      </c>
      <c r="C903" s="101"/>
      <c r="D903" s="101"/>
      <c r="E903" s="101"/>
      <c r="F903" s="370" t="s">
        <v>419</v>
      </c>
      <c r="G903" s="149">
        <v>52000</v>
      </c>
      <c r="H903" s="149"/>
      <c r="I903" s="329">
        <f t="shared" si="1625"/>
        <v>52000</v>
      </c>
      <c r="J903" s="329">
        <f t="shared" si="1626"/>
        <v>52000</v>
      </c>
      <c r="K903" s="274"/>
      <c r="L903" s="274"/>
      <c r="M903" s="274"/>
      <c r="N903" s="275">
        <f t="shared" si="1627"/>
        <v>52000</v>
      </c>
      <c r="O903" s="274"/>
      <c r="P903" s="274"/>
      <c r="Q903" s="274"/>
      <c r="R903" s="274">
        <v>30000</v>
      </c>
      <c r="S903" s="274">
        <f t="shared" si="1628"/>
        <v>30000</v>
      </c>
      <c r="T903" s="274"/>
      <c r="U903" s="274"/>
      <c r="V903" s="274"/>
      <c r="W903" s="274">
        <v>30000</v>
      </c>
      <c r="X903" s="274">
        <f t="shared" si="1629"/>
        <v>30000</v>
      </c>
      <c r="Y903" s="274">
        <f t="shared" si="1630"/>
        <v>0</v>
      </c>
      <c r="Z903" s="274">
        <f t="shared" si="1631"/>
        <v>22000</v>
      </c>
      <c r="AA903" s="274"/>
      <c r="AB903" s="306">
        <f t="shared" si="1632"/>
        <v>0</v>
      </c>
    </row>
    <row r="904" spans="1:28" s="90" customFormat="1" ht="14.1" hidden="1" customHeight="1" x14ac:dyDescent="0.2">
      <c r="A904" s="301"/>
      <c r="B904" s="350" t="s">
        <v>420</v>
      </c>
      <c r="C904" s="101"/>
      <c r="D904" s="101"/>
      <c r="E904" s="101"/>
      <c r="F904" s="370" t="s">
        <v>421</v>
      </c>
      <c r="G904" s="149"/>
      <c r="H904" s="149"/>
      <c r="I904" s="329">
        <f t="shared" si="1625"/>
        <v>0</v>
      </c>
      <c r="J904" s="329">
        <f t="shared" si="1626"/>
        <v>0</v>
      </c>
      <c r="K904" s="274"/>
      <c r="L904" s="274"/>
      <c r="M904" s="274"/>
      <c r="N904" s="275">
        <f t="shared" si="1627"/>
        <v>0</v>
      </c>
      <c r="O904" s="274"/>
      <c r="P904" s="274"/>
      <c r="Q904" s="274"/>
      <c r="R904" s="274"/>
      <c r="S904" s="274">
        <f t="shared" si="1628"/>
        <v>0</v>
      </c>
      <c r="T904" s="274"/>
      <c r="U904" s="274"/>
      <c r="V904" s="274"/>
      <c r="W904" s="274"/>
      <c r="X904" s="274">
        <f t="shared" si="1629"/>
        <v>0</v>
      </c>
      <c r="Y904" s="274">
        <f t="shared" si="1630"/>
        <v>0</v>
      </c>
      <c r="Z904" s="274">
        <f t="shared" si="1631"/>
        <v>0</v>
      </c>
      <c r="AA904" s="274"/>
      <c r="AB904" s="306">
        <f t="shared" si="1632"/>
        <v>0</v>
      </c>
    </row>
    <row r="905" spans="1:28" s="90" customFormat="1" ht="14.1" customHeight="1" x14ac:dyDescent="0.2">
      <c r="A905" s="301"/>
      <c r="B905" s="350" t="s">
        <v>422</v>
      </c>
      <c r="C905" s="101"/>
      <c r="D905" s="101"/>
      <c r="E905" s="101"/>
      <c r="F905" s="370" t="s">
        <v>423</v>
      </c>
      <c r="G905" s="149">
        <v>3000</v>
      </c>
      <c r="H905" s="149"/>
      <c r="I905" s="329">
        <f t="shared" si="1625"/>
        <v>3000</v>
      </c>
      <c r="J905" s="329">
        <f t="shared" si="1626"/>
        <v>3000</v>
      </c>
      <c r="K905" s="274"/>
      <c r="L905" s="274"/>
      <c r="M905" s="274"/>
      <c r="N905" s="275">
        <f t="shared" si="1627"/>
        <v>3000</v>
      </c>
      <c r="O905" s="274"/>
      <c r="P905" s="274"/>
      <c r="Q905" s="274">
        <f>3000</f>
        <v>3000</v>
      </c>
      <c r="R905" s="274"/>
      <c r="S905" s="274">
        <f t="shared" si="1628"/>
        <v>3000</v>
      </c>
      <c r="T905" s="274"/>
      <c r="U905" s="274"/>
      <c r="V905" s="274">
        <f>3000</f>
        <v>3000</v>
      </c>
      <c r="W905" s="274"/>
      <c r="X905" s="274">
        <f t="shared" si="1629"/>
        <v>3000</v>
      </c>
      <c r="Y905" s="274">
        <f t="shared" si="1630"/>
        <v>0</v>
      </c>
      <c r="Z905" s="274">
        <f t="shared" si="1631"/>
        <v>0</v>
      </c>
      <c r="AA905" s="274"/>
      <c r="AB905" s="306">
        <f t="shared" si="1632"/>
        <v>0</v>
      </c>
    </row>
    <row r="906" spans="1:28" s="90" customFormat="1" ht="14.1" hidden="1" customHeight="1" x14ac:dyDescent="0.2">
      <c r="A906" s="301"/>
      <c r="B906" s="350" t="s">
        <v>424</v>
      </c>
      <c r="C906" s="101"/>
      <c r="D906" s="101"/>
      <c r="E906" s="101"/>
      <c r="F906" s="370" t="s">
        <v>425</v>
      </c>
      <c r="G906" s="149"/>
      <c r="H906" s="149"/>
      <c r="I906" s="329">
        <f t="shared" si="1625"/>
        <v>0</v>
      </c>
      <c r="J906" s="329">
        <f t="shared" si="1626"/>
        <v>0</v>
      </c>
      <c r="K906" s="274"/>
      <c r="L906" s="274"/>
      <c r="M906" s="274"/>
      <c r="N906" s="275">
        <f t="shared" si="1627"/>
        <v>0</v>
      </c>
      <c r="O906" s="274"/>
      <c r="P906" s="274"/>
      <c r="Q906" s="274"/>
      <c r="R906" s="274"/>
      <c r="S906" s="274">
        <f t="shared" si="1628"/>
        <v>0</v>
      </c>
      <c r="T906" s="274"/>
      <c r="U906" s="274"/>
      <c r="V906" s="274"/>
      <c r="W906" s="274"/>
      <c r="X906" s="274">
        <f t="shared" si="1629"/>
        <v>0</v>
      </c>
      <c r="Y906" s="274">
        <f t="shared" si="1630"/>
        <v>0</v>
      </c>
      <c r="Z906" s="274">
        <f t="shared" si="1631"/>
        <v>0</v>
      </c>
      <c r="AA906" s="274"/>
      <c r="AB906" s="306">
        <f t="shared" si="1632"/>
        <v>0</v>
      </c>
    </row>
    <row r="907" spans="1:28" s="90" customFormat="1" ht="14.1" hidden="1" customHeight="1" x14ac:dyDescent="0.2">
      <c r="A907" s="301"/>
      <c r="B907" s="350" t="s">
        <v>426</v>
      </c>
      <c r="C907" s="101"/>
      <c r="D907" s="101"/>
      <c r="E907" s="101"/>
      <c r="F907" s="370" t="s">
        <v>427</v>
      </c>
      <c r="G907" s="149"/>
      <c r="H907" s="149"/>
      <c r="I907" s="329">
        <f t="shared" si="1625"/>
        <v>0</v>
      </c>
      <c r="J907" s="329">
        <f t="shared" si="1626"/>
        <v>0</v>
      </c>
      <c r="K907" s="274"/>
      <c r="L907" s="274"/>
      <c r="M907" s="274"/>
      <c r="N907" s="275">
        <f t="shared" si="1627"/>
        <v>0</v>
      </c>
      <c r="O907" s="274"/>
      <c r="P907" s="274"/>
      <c r="Q907" s="274"/>
      <c r="R907" s="274"/>
      <c r="S907" s="274">
        <f t="shared" si="1628"/>
        <v>0</v>
      </c>
      <c r="T907" s="274"/>
      <c r="U907" s="274"/>
      <c r="V907" s="274"/>
      <c r="W907" s="274"/>
      <c r="X907" s="274">
        <f t="shared" si="1629"/>
        <v>0</v>
      </c>
      <c r="Y907" s="274">
        <f t="shared" si="1630"/>
        <v>0</v>
      </c>
      <c r="Z907" s="274">
        <f t="shared" si="1631"/>
        <v>0</v>
      </c>
      <c r="AA907" s="274"/>
      <c r="AB907" s="306">
        <f t="shared" si="1632"/>
        <v>0</v>
      </c>
    </row>
    <row r="908" spans="1:28" s="90" customFormat="1" ht="14.1" hidden="1" customHeight="1" x14ac:dyDescent="0.2">
      <c r="A908" s="301"/>
      <c r="B908" s="350" t="s">
        <v>428</v>
      </c>
      <c r="C908" s="101"/>
      <c r="D908" s="101"/>
      <c r="E908" s="101"/>
      <c r="F908" s="370" t="s">
        <v>429</v>
      </c>
      <c r="G908" s="149"/>
      <c r="H908" s="149"/>
      <c r="I908" s="329">
        <f t="shared" si="1625"/>
        <v>0</v>
      </c>
      <c r="J908" s="329">
        <f t="shared" si="1626"/>
        <v>0</v>
      </c>
      <c r="K908" s="274"/>
      <c r="L908" s="274"/>
      <c r="M908" s="274"/>
      <c r="N908" s="275">
        <f t="shared" si="1627"/>
        <v>0</v>
      </c>
      <c r="O908" s="274"/>
      <c r="P908" s="274"/>
      <c r="Q908" s="274"/>
      <c r="R908" s="274"/>
      <c r="S908" s="274">
        <f t="shared" si="1628"/>
        <v>0</v>
      </c>
      <c r="T908" s="274"/>
      <c r="U908" s="274"/>
      <c r="V908" s="274"/>
      <c r="W908" s="274"/>
      <c r="X908" s="274">
        <f t="shared" si="1629"/>
        <v>0</v>
      </c>
      <c r="Y908" s="274">
        <f t="shared" si="1630"/>
        <v>0</v>
      </c>
      <c r="Z908" s="274">
        <f t="shared" si="1631"/>
        <v>0</v>
      </c>
      <c r="AA908" s="274"/>
      <c r="AB908" s="306">
        <f t="shared" si="1632"/>
        <v>0</v>
      </c>
    </row>
    <row r="909" spans="1:28" s="90" customFormat="1" ht="14.1" hidden="1" customHeight="1" x14ac:dyDescent="0.2">
      <c r="A909" s="301"/>
      <c r="B909" s="350" t="s">
        <v>718</v>
      </c>
      <c r="C909" s="615"/>
      <c r="D909" s="615"/>
      <c r="E909" s="615"/>
      <c r="F909" s="370" t="s">
        <v>719</v>
      </c>
      <c r="G909" s="149"/>
      <c r="H909" s="149"/>
      <c r="I909" s="329">
        <f t="shared" si="1625"/>
        <v>0</v>
      </c>
      <c r="J909" s="329">
        <f t="shared" si="1626"/>
        <v>0</v>
      </c>
      <c r="K909" s="274"/>
      <c r="L909" s="274"/>
      <c r="M909" s="274"/>
      <c r="N909" s="275">
        <f t="shared" si="1627"/>
        <v>0</v>
      </c>
      <c r="O909" s="274"/>
      <c r="P909" s="274"/>
      <c r="Q909" s="274"/>
      <c r="R909" s="274"/>
      <c r="S909" s="274">
        <f t="shared" si="1628"/>
        <v>0</v>
      </c>
      <c r="T909" s="274"/>
      <c r="U909" s="274"/>
      <c r="V909" s="274"/>
      <c r="W909" s="274"/>
      <c r="X909" s="274">
        <f t="shared" si="1629"/>
        <v>0</v>
      </c>
      <c r="Y909" s="274">
        <f t="shared" si="1630"/>
        <v>0</v>
      </c>
      <c r="Z909" s="274">
        <f t="shared" si="1631"/>
        <v>0</v>
      </c>
      <c r="AA909" s="274"/>
      <c r="AB909" s="306">
        <f t="shared" si="1632"/>
        <v>0</v>
      </c>
    </row>
    <row r="910" spans="1:28" s="90" customFormat="1" ht="14.1" hidden="1" customHeight="1" x14ac:dyDescent="0.2">
      <c r="A910" s="301"/>
      <c r="B910" s="350" t="s">
        <v>432</v>
      </c>
      <c r="C910" s="101"/>
      <c r="D910" s="101"/>
      <c r="E910" s="101"/>
      <c r="F910" s="370" t="s">
        <v>433</v>
      </c>
      <c r="G910" s="149"/>
      <c r="H910" s="149"/>
      <c r="I910" s="329">
        <f t="shared" si="1625"/>
        <v>0</v>
      </c>
      <c r="J910" s="329">
        <f t="shared" si="1626"/>
        <v>0</v>
      </c>
      <c r="K910" s="274"/>
      <c r="L910" s="274"/>
      <c r="M910" s="274"/>
      <c r="N910" s="275">
        <f t="shared" si="1627"/>
        <v>0</v>
      </c>
      <c r="O910" s="274"/>
      <c r="P910" s="274"/>
      <c r="Q910" s="274"/>
      <c r="R910" s="274"/>
      <c r="S910" s="274">
        <f t="shared" si="1628"/>
        <v>0</v>
      </c>
      <c r="T910" s="274"/>
      <c r="U910" s="274"/>
      <c r="V910" s="274"/>
      <c r="W910" s="274"/>
      <c r="X910" s="274">
        <f t="shared" si="1629"/>
        <v>0</v>
      </c>
      <c r="Y910" s="274">
        <f t="shared" si="1630"/>
        <v>0</v>
      </c>
      <c r="Z910" s="274">
        <f t="shared" si="1631"/>
        <v>0</v>
      </c>
      <c r="AA910" s="274"/>
      <c r="AB910" s="306">
        <f t="shared" si="1632"/>
        <v>0</v>
      </c>
    </row>
    <row r="911" spans="1:28" s="90" customFormat="1" ht="14.1" hidden="1" customHeight="1" x14ac:dyDescent="0.2">
      <c r="A911" s="301"/>
      <c r="B911" s="350" t="s">
        <v>730</v>
      </c>
      <c r="C911" s="744"/>
      <c r="D911" s="744"/>
      <c r="E911" s="744"/>
      <c r="F911" s="370" t="s">
        <v>733</v>
      </c>
      <c r="G911" s="149"/>
      <c r="H911" s="149"/>
      <c r="I911" s="329">
        <f t="shared" si="1625"/>
        <v>0</v>
      </c>
      <c r="J911" s="329">
        <f t="shared" si="1626"/>
        <v>0</v>
      </c>
      <c r="K911" s="274"/>
      <c r="L911" s="274"/>
      <c r="M911" s="274"/>
      <c r="N911" s="275">
        <f t="shared" si="1627"/>
        <v>0</v>
      </c>
      <c r="O911" s="274"/>
      <c r="P911" s="274"/>
      <c r="Q911" s="274"/>
      <c r="R911" s="274"/>
      <c r="S911" s="274">
        <f t="shared" si="1628"/>
        <v>0</v>
      </c>
      <c r="T911" s="274"/>
      <c r="U911" s="274"/>
      <c r="V911" s="274"/>
      <c r="W911" s="274"/>
      <c r="X911" s="274">
        <f t="shared" si="1629"/>
        <v>0</v>
      </c>
      <c r="Y911" s="274">
        <f t="shared" si="1630"/>
        <v>0</v>
      </c>
      <c r="Z911" s="274">
        <f t="shared" si="1631"/>
        <v>0</v>
      </c>
      <c r="AA911" s="274"/>
      <c r="AB911" s="306">
        <f t="shared" si="1632"/>
        <v>0</v>
      </c>
    </row>
    <row r="912" spans="1:28" s="90" customFormat="1" ht="14.1" customHeight="1" x14ac:dyDescent="0.2">
      <c r="A912" s="301"/>
      <c r="B912" s="350" t="s">
        <v>737</v>
      </c>
      <c r="C912" s="744"/>
      <c r="D912" s="744"/>
      <c r="E912" s="744"/>
      <c r="F912" s="370" t="s">
        <v>738</v>
      </c>
      <c r="G912" s="149">
        <v>5000</v>
      </c>
      <c r="H912" s="149"/>
      <c r="I912" s="329">
        <f t="shared" ref="I912:I913" si="1633">G912+H912</f>
        <v>5000</v>
      </c>
      <c r="J912" s="329">
        <f t="shared" ref="J912:J913" si="1634">I912</f>
        <v>5000</v>
      </c>
      <c r="K912" s="274"/>
      <c r="L912" s="274"/>
      <c r="M912" s="274"/>
      <c r="N912" s="275">
        <f t="shared" si="1627"/>
        <v>5000</v>
      </c>
      <c r="O912" s="274"/>
      <c r="P912" s="274">
        <v>1680</v>
      </c>
      <c r="Q912" s="274">
        <f>1760+1560</f>
        <v>3320</v>
      </c>
      <c r="R912" s="274"/>
      <c r="S912" s="274">
        <f t="shared" ref="S912:S913" si="1635">SUM(O912:R912)</f>
        <v>5000</v>
      </c>
      <c r="T912" s="274"/>
      <c r="U912" s="274">
        <v>1680</v>
      </c>
      <c r="V912" s="274">
        <f>1760+1560</f>
        <v>3320</v>
      </c>
      <c r="W912" s="274"/>
      <c r="X912" s="274">
        <f t="shared" ref="X912:X913" si="1636">SUM(T912:W912)</f>
        <v>5000</v>
      </c>
      <c r="Y912" s="274">
        <f t="shared" ref="Y912:Y913" si="1637">I912-N912</f>
        <v>0</v>
      </c>
      <c r="Z912" s="274">
        <f t="shared" ref="Z912:Z913" si="1638">N912-S912</f>
        <v>0</v>
      </c>
      <c r="AA912" s="274"/>
      <c r="AB912" s="306">
        <f t="shared" ref="AB912:AB913" si="1639">+S912-X912-AA912</f>
        <v>0</v>
      </c>
    </row>
    <row r="913" spans="1:28" s="90" customFormat="1" ht="14.1" hidden="1" customHeight="1" x14ac:dyDescent="0.2">
      <c r="A913" s="301"/>
      <c r="B913" s="350" t="s">
        <v>434</v>
      </c>
      <c r="C913" s="718"/>
      <c r="D913" s="718"/>
      <c r="E913" s="718"/>
      <c r="F913" s="370" t="s">
        <v>435</v>
      </c>
      <c r="G913" s="149"/>
      <c r="H913" s="149"/>
      <c r="I913" s="329">
        <f t="shared" si="1633"/>
        <v>0</v>
      </c>
      <c r="J913" s="329">
        <f t="shared" si="1634"/>
        <v>0</v>
      </c>
      <c r="K913" s="274"/>
      <c r="L913" s="274"/>
      <c r="M913" s="274"/>
      <c r="N913" s="275">
        <f t="shared" si="1627"/>
        <v>0</v>
      </c>
      <c r="O913" s="274"/>
      <c r="P913" s="274"/>
      <c r="Q913" s="274"/>
      <c r="R913" s="274"/>
      <c r="S913" s="274">
        <f t="shared" si="1635"/>
        <v>0</v>
      </c>
      <c r="T913" s="274"/>
      <c r="U913" s="274"/>
      <c r="V913" s="274"/>
      <c r="W913" s="274"/>
      <c r="X913" s="274">
        <f t="shared" si="1636"/>
        <v>0</v>
      </c>
      <c r="Y913" s="274">
        <f t="shared" si="1637"/>
        <v>0</v>
      </c>
      <c r="Z913" s="274">
        <f t="shared" si="1638"/>
        <v>0</v>
      </c>
      <c r="AA913" s="274"/>
      <c r="AB913" s="306">
        <f t="shared" si="1639"/>
        <v>0</v>
      </c>
    </row>
    <row r="914" spans="1:28" s="90" customFormat="1" ht="14.1" hidden="1" customHeight="1" x14ac:dyDescent="0.2">
      <c r="A914" s="301"/>
      <c r="B914" s="350" t="s">
        <v>732</v>
      </c>
      <c r="C914" s="718"/>
      <c r="D914" s="718"/>
      <c r="E914" s="718"/>
      <c r="F914" s="370" t="s">
        <v>731</v>
      </c>
      <c r="G914" s="149"/>
      <c r="H914" s="149"/>
      <c r="I914" s="329">
        <f t="shared" si="1625"/>
        <v>0</v>
      </c>
      <c r="J914" s="329">
        <f t="shared" si="1626"/>
        <v>0</v>
      </c>
      <c r="K914" s="274"/>
      <c r="L914" s="274"/>
      <c r="M914" s="274"/>
      <c r="N914" s="275">
        <f t="shared" si="1627"/>
        <v>0</v>
      </c>
      <c r="O914" s="274"/>
      <c r="P914" s="274"/>
      <c r="Q914" s="274"/>
      <c r="R914" s="274"/>
      <c r="S914" s="274">
        <f t="shared" si="1628"/>
        <v>0</v>
      </c>
      <c r="T914" s="274"/>
      <c r="U914" s="274"/>
      <c r="V914" s="274"/>
      <c r="W914" s="274"/>
      <c r="X914" s="274">
        <f t="shared" si="1629"/>
        <v>0</v>
      </c>
      <c r="Y914" s="274">
        <f t="shared" si="1630"/>
        <v>0</v>
      </c>
      <c r="Z914" s="274">
        <f t="shared" si="1631"/>
        <v>0</v>
      </c>
      <c r="AA914" s="274"/>
      <c r="AB914" s="306">
        <f t="shared" si="1632"/>
        <v>0</v>
      </c>
    </row>
    <row r="915" spans="1:28" s="90" customFormat="1" ht="14.1" customHeight="1" x14ac:dyDescent="0.2">
      <c r="A915" s="301"/>
      <c r="B915" s="15"/>
      <c r="C915" s="101"/>
      <c r="D915" s="101"/>
      <c r="E915" s="101"/>
      <c r="F915" s="370"/>
      <c r="G915" s="321"/>
      <c r="H915" s="321"/>
      <c r="I915" s="321"/>
      <c r="J915" s="321"/>
      <c r="K915" s="332"/>
      <c r="L915" s="332"/>
      <c r="M915" s="332"/>
      <c r="N915" s="332"/>
      <c r="O915" s="332"/>
      <c r="P915" s="332"/>
      <c r="Q915" s="332"/>
      <c r="R915" s="332"/>
      <c r="S915" s="332"/>
      <c r="T915" s="332"/>
      <c r="U915" s="332"/>
      <c r="V915" s="332"/>
      <c r="W915" s="332"/>
      <c r="X915" s="332"/>
      <c r="Y915" s="332"/>
      <c r="Z915" s="332"/>
      <c r="AA915" s="332"/>
      <c r="AB915" s="302"/>
    </row>
    <row r="916" spans="1:28" s="90" customFormat="1" ht="14.1" customHeight="1" x14ac:dyDescent="0.2">
      <c r="A916" s="301"/>
      <c r="B916" s="355" t="s">
        <v>436</v>
      </c>
      <c r="C916" s="101"/>
      <c r="D916" s="101"/>
      <c r="E916" s="101"/>
      <c r="F916" s="372"/>
      <c r="G916" s="322">
        <f t="shared" ref="G916" si="1640">SUM(G919:G943)</f>
        <v>0</v>
      </c>
      <c r="H916" s="322">
        <f t="shared" ref="H916:AB916" si="1641">SUM(H919:H943)</f>
        <v>0</v>
      </c>
      <c r="I916" s="322">
        <f t="shared" si="1641"/>
        <v>0</v>
      </c>
      <c r="J916" s="322">
        <f t="shared" si="1641"/>
        <v>0</v>
      </c>
      <c r="K916" s="322">
        <f t="shared" si="1641"/>
        <v>0</v>
      </c>
      <c r="L916" s="322">
        <f t="shared" si="1641"/>
        <v>0</v>
      </c>
      <c r="M916" s="322">
        <f t="shared" si="1641"/>
        <v>0</v>
      </c>
      <c r="N916" s="322">
        <f t="shared" si="1641"/>
        <v>0</v>
      </c>
      <c r="O916" s="322">
        <f t="shared" si="1641"/>
        <v>0</v>
      </c>
      <c r="P916" s="322">
        <f t="shared" si="1641"/>
        <v>0</v>
      </c>
      <c r="Q916" s="322">
        <f t="shared" si="1641"/>
        <v>0</v>
      </c>
      <c r="R916" s="322">
        <f t="shared" si="1641"/>
        <v>0</v>
      </c>
      <c r="S916" s="322">
        <f t="shared" si="1641"/>
        <v>0</v>
      </c>
      <c r="T916" s="322">
        <f t="shared" si="1641"/>
        <v>0</v>
      </c>
      <c r="U916" s="322">
        <f t="shared" si="1641"/>
        <v>0</v>
      </c>
      <c r="V916" s="322">
        <f t="shared" si="1641"/>
        <v>0</v>
      </c>
      <c r="W916" s="322">
        <f t="shared" si="1641"/>
        <v>0</v>
      </c>
      <c r="X916" s="322">
        <f t="shared" si="1641"/>
        <v>0</v>
      </c>
      <c r="Y916" s="322">
        <f t="shared" si="1641"/>
        <v>0</v>
      </c>
      <c r="Z916" s="322">
        <f t="shared" si="1641"/>
        <v>0</v>
      </c>
      <c r="AA916" s="333">
        <f t="shared" ref="AA916" si="1642">SUM(AA919:AA943)</f>
        <v>0</v>
      </c>
      <c r="AB916" s="305">
        <f t="shared" si="1641"/>
        <v>0</v>
      </c>
    </row>
    <row r="917" spans="1:28" s="90" customFormat="1" ht="14.1" customHeight="1" x14ac:dyDescent="0.2">
      <c r="A917" s="301"/>
      <c r="B917" s="347" t="s">
        <v>437</v>
      </c>
      <c r="C917" s="101"/>
      <c r="D917" s="101"/>
      <c r="E917" s="101"/>
      <c r="F917" s="370"/>
      <c r="G917" s="321"/>
      <c r="H917" s="321"/>
      <c r="I917" s="321"/>
      <c r="J917" s="321"/>
      <c r="K917" s="332"/>
      <c r="L917" s="332"/>
      <c r="M917" s="332"/>
      <c r="N917" s="332"/>
      <c r="O917" s="332"/>
      <c r="P917" s="332"/>
      <c r="Q917" s="332"/>
      <c r="R917" s="332"/>
      <c r="S917" s="332"/>
      <c r="T917" s="332"/>
      <c r="U917" s="332"/>
      <c r="V917" s="332"/>
      <c r="W917" s="332"/>
      <c r="X917" s="332"/>
      <c r="Y917" s="332"/>
      <c r="Z917" s="332"/>
      <c r="AA917" s="332"/>
      <c r="AB917" s="302"/>
    </row>
    <row r="918" spans="1:28" s="90" customFormat="1" ht="14.1" hidden="1" customHeight="1" x14ac:dyDescent="0.2">
      <c r="A918" s="301"/>
      <c r="B918" s="348" t="s">
        <v>438</v>
      </c>
      <c r="C918" s="101"/>
      <c r="D918" s="101"/>
      <c r="E918" s="101"/>
      <c r="F918" s="370"/>
      <c r="G918" s="321"/>
      <c r="H918" s="321"/>
      <c r="I918" s="321"/>
      <c r="J918" s="321"/>
      <c r="K918" s="332"/>
      <c r="L918" s="332"/>
      <c r="M918" s="332"/>
      <c r="N918" s="332"/>
      <c r="O918" s="332"/>
      <c r="P918" s="332"/>
      <c r="Q918" s="332"/>
      <c r="R918" s="332"/>
      <c r="S918" s="332"/>
      <c r="T918" s="332"/>
      <c r="U918" s="332"/>
      <c r="V918" s="332"/>
      <c r="W918" s="332"/>
      <c r="X918" s="332"/>
      <c r="Y918" s="332"/>
      <c r="Z918" s="332"/>
      <c r="AA918" s="332"/>
      <c r="AB918" s="302"/>
    </row>
    <row r="919" spans="1:28" s="90" customFormat="1" ht="14.1" hidden="1" customHeight="1" x14ac:dyDescent="0.2">
      <c r="A919" s="301"/>
      <c r="B919" s="349" t="s">
        <v>439</v>
      </c>
      <c r="C919" s="101"/>
      <c r="D919" s="101"/>
      <c r="E919" s="101"/>
      <c r="F919" s="370" t="s">
        <v>440</v>
      </c>
      <c r="G919" s="149"/>
      <c r="H919" s="149"/>
      <c r="I919" s="329">
        <f t="shared" ref="I919:I920" si="1643">G919+H919</f>
        <v>0</v>
      </c>
      <c r="J919" s="329">
        <f t="shared" ref="J919:J920" si="1644">I919</f>
        <v>0</v>
      </c>
      <c r="K919" s="274"/>
      <c r="L919" s="274"/>
      <c r="M919" s="274"/>
      <c r="N919" s="275">
        <f t="shared" ref="N919:N920" si="1645">J919+K919-L919+M919</f>
        <v>0</v>
      </c>
      <c r="O919" s="274"/>
      <c r="P919" s="274"/>
      <c r="Q919" s="274"/>
      <c r="R919" s="274"/>
      <c r="S919" s="274">
        <f t="shared" ref="S919:S920" si="1646">SUM(O919:R919)</f>
        <v>0</v>
      </c>
      <c r="T919" s="274"/>
      <c r="U919" s="274"/>
      <c r="V919" s="274"/>
      <c r="W919" s="274"/>
      <c r="X919" s="274">
        <f t="shared" ref="X919:X920" si="1647">SUM(T919:W919)</f>
        <v>0</v>
      </c>
      <c r="Y919" s="274">
        <f t="shared" ref="Y919:Y920" si="1648">I919-N919</f>
        <v>0</v>
      </c>
      <c r="Z919" s="274">
        <f t="shared" ref="Z919:Z920" si="1649">N919-S919</f>
        <v>0</v>
      </c>
      <c r="AA919" s="274"/>
      <c r="AB919" s="306">
        <f t="shared" ref="AB919:AB920" si="1650">+S919-X919-AA919</f>
        <v>0</v>
      </c>
    </row>
    <row r="920" spans="1:28" s="90" customFormat="1" ht="14.1" hidden="1" customHeight="1" x14ac:dyDescent="0.2">
      <c r="A920" s="301"/>
      <c r="B920" s="349" t="s">
        <v>441</v>
      </c>
      <c r="C920" s="101"/>
      <c r="D920" s="101"/>
      <c r="E920" s="101"/>
      <c r="F920" s="370" t="s">
        <v>442</v>
      </c>
      <c r="G920" s="149"/>
      <c r="H920" s="149"/>
      <c r="I920" s="329">
        <f t="shared" si="1643"/>
        <v>0</v>
      </c>
      <c r="J920" s="329">
        <f t="shared" si="1644"/>
        <v>0</v>
      </c>
      <c r="K920" s="274"/>
      <c r="L920" s="274"/>
      <c r="M920" s="274"/>
      <c r="N920" s="275">
        <f t="shared" si="1645"/>
        <v>0</v>
      </c>
      <c r="O920" s="274"/>
      <c r="P920" s="274"/>
      <c r="Q920" s="274"/>
      <c r="R920" s="274"/>
      <c r="S920" s="274">
        <f t="shared" si="1646"/>
        <v>0</v>
      </c>
      <c r="T920" s="274"/>
      <c r="U920" s="274"/>
      <c r="V920" s="274"/>
      <c r="W920" s="274"/>
      <c r="X920" s="274">
        <f t="shared" si="1647"/>
        <v>0</v>
      </c>
      <c r="Y920" s="274">
        <f t="shared" si="1648"/>
        <v>0</v>
      </c>
      <c r="Z920" s="274">
        <f t="shared" si="1649"/>
        <v>0</v>
      </c>
      <c r="AA920" s="274"/>
      <c r="AB920" s="306">
        <f t="shared" si="1650"/>
        <v>0</v>
      </c>
    </row>
    <row r="921" spans="1:28" s="90" customFormat="1" ht="14.1" hidden="1" customHeight="1" x14ac:dyDescent="0.2">
      <c r="A921" s="301"/>
      <c r="B921" s="348" t="s">
        <v>443</v>
      </c>
      <c r="C921" s="101"/>
      <c r="D921" s="101"/>
      <c r="E921" s="101"/>
      <c r="F921" s="370"/>
      <c r="G921" s="149"/>
      <c r="H921" s="149"/>
      <c r="I921" s="149"/>
      <c r="J921" s="149"/>
      <c r="K921" s="159"/>
      <c r="L921" s="159"/>
      <c r="M921" s="159"/>
      <c r="N921" s="159"/>
      <c r="O921" s="159"/>
      <c r="P921" s="159"/>
      <c r="Q921" s="159"/>
      <c r="R921" s="159"/>
      <c r="S921" s="159"/>
      <c r="T921" s="159"/>
      <c r="U921" s="159"/>
      <c r="V921" s="159"/>
      <c r="W921" s="159"/>
      <c r="X921" s="159"/>
      <c r="Y921" s="159"/>
      <c r="Z921" s="159"/>
      <c r="AA921" s="159"/>
      <c r="AB921" s="583"/>
    </row>
    <row r="922" spans="1:28" s="90" customFormat="1" ht="14.1" hidden="1" customHeight="1" x14ac:dyDescent="0.2">
      <c r="A922" s="301"/>
      <c r="B922" s="349" t="s">
        <v>444</v>
      </c>
      <c r="C922" s="101"/>
      <c r="D922" s="101"/>
      <c r="E922" s="101"/>
      <c r="F922" s="370" t="s">
        <v>445</v>
      </c>
      <c r="G922" s="149"/>
      <c r="H922" s="149"/>
      <c r="I922" s="329">
        <f t="shared" ref="I922:I924" si="1651">G922+H922</f>
        <v>0</v>
      </c>
      <c r="J922" s="329">
        <f t="shared" ref="J922:J924" si="1652">I922</f>
        <v>0</v>
      </c>
      <c r="K922" s="274"/>
      <c r="L922" s="274"/>
      <c r="M922" s="274"/>
      <c r="N922" s="275">
        <f t="shared" ref="N922:N924" si="1653">J922+K922-L922+M922</f>
        <v>0</v>
      </c>
      <c r="O922" s="274"/>
      <c r="P922" s="274"/>
      <c r="Q922" s="274"/>
      <c r="R922" s="274"/>
      <c r="S922" s="274">
        <f t="shared" ref="S922:S924" si="1654">SUM(O922:R922)</f>
        <v>0</v>
      </c>
      <c r="T922" s="274"/>
      <c r="U922" s="274"/>
      <c r="V922" s="274"/>
      <c r="W922" s="274"/>
      <c r="X922" s="274">
        <f t="shared" ref="X922:X924" si="1655">SUM(T922:W922)</f>
        <v>0</v>
      </c>
      <c r="Y922" s="274">
        <f t="shared" ref="Y922:Y924" si="1656">I922-N922</f>
        <v>0</v>
      </c>
      <c r="Z922" s="274">
        <f t="shared" ref="Z922:Z924" si="1657">N922-S922</f>
        <v>0</v>
      </c>
      <c r="AA922" s="274"/>
      <c r="AB922" s="306">
        <f t="shared" ref="AB922:AB924" si="1658">+S922-X922-AA922</f>
        <v>0</v>
      </c>
    </row>
    <row r="923" spans="1:28" s="90" customFormat="1" ht="14.1" hidden="1" customHeight="1" x14ac:dyDescent="0.2">
      <c r="A923" s="301"/>
      <c r="B923" s="349" t="s">
        <v>446</v>
      </c>
      <c r="C923" s="101"/>
      <c r="D923" s="101"/>
      <c r="E923" s="101"/>
      <c r="F923" s="370" t="s">
        <v>447</v>
      </c>
      <c r="G923" s="149"/>
      <c r="H923" s="149"/>
      <c r="I923" s="329">
        <f t="shared" si="1651"/>
        <v>0</v>
      </c>
      <c r="J923" s="329">
        <f t="shared" si="1652"/>
        <v>0</v>
      </c>
      <c r="K923" s="274"/>
      <c r="L923" s="274"/>
      <c r="M923" s="274"/>
      <c r="N923" s="275">
        <f t="shared" si="1653"/>
        <v>0</v>
      </c>
      <c r="O923" s="274"/>
      <c r="P923" s="274"/>
      <c r="Q923" s="274"/>
      <c r="R923" s="274"/>
      <c r="S923" s="274">
        <f t="shared" si="1654"/>
        <v>0</v>
      </c>
      <c r="T923" s="274"/>
      <c r="U923" s="274"/>
      <c r="V923" s="274"/>
      <c r="W923" s="274"/>
      <c r="X923" s="274">
        <f t="shared" si="1655"/>
        <v>0</v>
      </c>
      <c r="Y923" s="274">
        <f t="shared" si="1656"/>
        <v>0</v>
      </c>
      <c r="Z923" s="274">
        <f t="shared" si="1657"/>
        <v>0</v>
      </c>
      <c r="AA923" s="274"/>
      <c r="AB923" s="306">
        <f t="shared" si="1658"/>
        <v>0</v>
      </c>
    </row>
    <row r="924" spans="1:28" s="90" customFormat="1" ht="14.1" hidden="1" customHeight="1" x14ac:dyDescent="0.2">
      <c r="A924" s="301"/>
      <c r="B924" s="349" t="s">
        <v>448</v>
      </c>
      <c r="C924" s="101"/>
      <c r="D924" s="101"/>
      <c r="E924" s="101"/>
      <c r="F924" s="370" t="s">
        <v>449</v>
      </c>
      <c r="G924" s="149"/>
      <c r="H924" s="149"/>
      <c r="I924" s="329">
        <f t="shared" si="1651"/>
        <v>0</v>
      </c>
      <c r="J924" s="329">
        <f t="shared" si="1652"/>
        <v>0</v>
      </c>
      <c r="K924" s="274"/>
      <c r="L924" s="274"/>
      <c r="M924" s="274"/>
      <c r="N924" s="275">
        <f t="shared" si="1653"/>
        <v>0</v>
      </c>
      <c r="O924" s="274"/>
      <c r="P924" s="274"/>
      <c r="Q924" s="274"/>
      <c r="R924" s="274"/>
      <c r="S924" s="274">
        <f t="shared" si="1654"/>
        <v>0</v>
      </c>
      <c r="T924" s="274"/>
      <c r="U924" s="274"/>
      <c r="V924" s="274"/>
      <c r="W924" s="274"/>
      <c r="X924" s="274">
        <f t="shared" si="1655"/>
        <v>0</v>
      </c>
      <c r="Y924" s="274">
        <f t="shared" si="1656"/>
        <v>0</v>
      </c>
      <c r="Z924" s="274">
        <f t="shared" si="1657"/>
        <v>0</v>
      </c>
      <c r="AA924" s="274"/>
      <c r="AB924" s="306">
        <f t="shared" si="1658"/>
        <v>0</v>
      </c>
    </row>
    <row r="925" spans="1:28" s="90" customFormat="1" ht="14.1" hidden="1" customHeight="1" x14ac:dyDescent="0.2">
      <c r="A925" s="301"/>
      <c r="B925" s="348" t="s">
        <v>450</v>
      </c>
      <c r="C925" s="101"/>
      <c r="D925" s="101"/>
      <c r="E925" s="101"/>
      <c r="F925" s="370"/>
      <c r="G925" s="149"/>
      <c r="H925" s="149"/>
      <c r="I925" s="149"/>
      <c r="J925" s="149"/>
      <c r="K925" s="159"/>
      <c r="L925" s="159"/>
      <c r="M925" s="159"/>
      <c r="N925" s="159"/>
      <c r="O925" s="159"/>
      <c r="P925" s="159"/>
      <c r="Q925" s="159"/>
      <c r="R925" s="159"/>
      <c r="S925" s="159"/>
      <c r="T925" s="159"/>
      <c r="U925" s="159"/>
      <c r="V925" s="159"/>
      <c r="W925" s="159"/>
      <c r="X925" s="159"/>
      <c r="Y925" s="159"/>
      <c r="Z925" s="159"/>
      <c r="AA925" s="159"/>
      <c r="AB925" s="583"/>
    </row>
    <row r="926" spans="1:28" s="90" customFormat="1" ht="14.1" hidden="1" customHeight="1" x14ac:dyDescent="0.2">
      <c r="A926" s="301"/>
      <c r="B926" s="349" t="s">
        <v>451</v>
      </c>
      <c r="C926" s="101"/>
      <c r="D926" s="101"/>
      <c r="E926" s="101"/>
      <c r="F926" s="370" t="s">
        <v>452</v>
      </c>
      <c r="G926" s="149"/>
      <c r="H926" s="149"/>
      <c r="I926" s="329">
        <f t="shared" ref="I926:I932" si="1659">G926+H926</f>
        <v>0</v>
      </c>
      <c r="J926" s="329">
        <f t="shared" ref="J926:J932" si="1660">I926</f>
        <v>0</v>
      </c>
      <c r="K926" s="274"/>
      <c r="L926" s="274"/>
      <c r="M926" s="274"/>
      <c r="N926" s="275">
        <f t="shared" ref="N926:N932" si="1661">J926+K926-L926+M926</f>
        <v>0</v>
      </c>
      <c r="O926" s="274"/>
      <c r="P926" s="274"/>
      <c r="Q926" s="274"/>
      <c r="R926" s="274"/>
      <c r="S926" s="274">
        <f t="shared" ref="S926:S932" si="1662">SUM(O926:R926)</f>
        <v>0</v>
      </c>
      <c r="T926" s="274"/>
      <c r="U926" s="274"/>
      <c r="V926" s="274"/>
      <c r="W926" s="274"/>
      <c r="X926" s="274">
        <f t="shared" ref="X926:X932" si="1663">SUM(T926:W926)</f>
        <v>0</v>
      </c>
      <c r="Y926" s="274">
        <f t="shared" ref="Y926:Y932" si="1664">I926-N926</f>
        <v>0</v>
      </c>
      <c r="Z926" s="274">
        <f t="shared" ref="Z926:Z932" si="1665">N926-S926</f>
        <v>0</v>
      </c>
      <c r="AA926" s="274"/>
      <c r="AB926" s="306">
        <f t="shared" ref="AB926:AB932" si="1666">+S926-X926-AA926</f>
        <v>0</v>
      </c>
    </row>
    <row r="927" spans="1:28" s="90" customFormat="1" ht="14.1" hidden="1" customHeight="1" x14ac:dyDescent="0.2">
      <c r="A927" s="301"/>
      <c r="B927" s="349" t="s">
        <v>453</v>
      </c>
      <c r="C927" s="101"/>
      <c r="D927" s="101"/>
      <c r="E927" s="101"/>
      <c r="F927" s="370" t="s">
        <v>454</v>
      </c>
      <c r="G927" s="149"/>
      <c r="H927" s="149"/>
      <c r="I927" s="329">
        <f t="shared" si="1659"/>
        <v>0</v>
      </c>
      <c r="J927" s="329">
        <f t="shared" si="1660"/>
        <v>0</v>
      </c>
      <c r="K927" s="274"/>
      <c r="L927" s="274"/>
      <c r="M927" s="274"/>
      <c r="N927" s="275">
        <f t="shared" si="1661"/>
        <v>0</v>
      </c>
      <c r="O927" s="274"/>
      <c r="P927" s="274"/>
      <c r="Q927" s="274"/>
      <c r="R927" s="274"/>
      <c r="S927" s="274">
        <f t="shared" si="1662"/>
        <v>0</v>
      </c>
      <c r="T927" s="274"/>
      <c r="U927" s="274"/>
      <c r="V927" s="274"/>
      <c r="W927" s="274"/>
      <c r="X927" s="274">
        <f t="shared" si="1663"/>
        <v>0</v>
      </c>
      <c r="Y927" s="274">
        <f t="shared" si="1664"/>
        <v>0</v>
      </c>
      <c r="Z927" s="274">
        <f t="shared" si="1665"/>
        <v>0</v>
      </c>
      <c r="AA927" s="274"/>
      <c r="AB927" s="306">
        <f t="shared" si="1666"/>
        <v>0</v>
      </c>
    </row>
    <row r="928" spans="1:28" s="90" customFormat="1" ht="14.1" hidden="1" customHeight="1" x14ac:dyDescent="0.2">
      <c r="A928" s="301"/>
      <c r="B928" s="349" t="s">
        <v>455</v>
      </c>
      <c r="C928" s="101"/>
      <c r="D928" s="101"/>
      <c r="E928" s="101"/>
      <c r="F928" s="370" t="s">
        <v>456</v>
      </c>
      <c r="G928" s="149"/>
      <c r="H928" s="149"/>
      <c r="I928" s="329">
        <f t="shared" si="1659"/>
        <v>0</v>
      </c>
      <c r="J928" s="329">
        <f t="shared" si="1660"/>
        <v>0</v>
      </c>
      <c r="K928" s="274"/>
      <c r="L928" s="274"/>
      <c r="M928" s="274"/>
      <c r="N928" s="275">
        <f t="shared" si="1661"/>
        <v>0</v>
      </c>
      <c r="O928" s="274"/>
      <c r="P928" s="274"/>
      <c r="Q928" s="274"/>
      <c r="R928" s="274"/>
      <c r="S928" s="274">
        <f t="shared" si="1662"/>
        <v>0</v>
      </c>
      <c r="T928" s="274"/>
      <c r="U928" s="274"/>
      <c r="V928" s="274"/>
      <c r="W928" s="274"/>
      <c r="X928" s="274">
        <f t="shared" si="1663"/>
        <v>0</v>
      </c>
      <c r="Y928" s="274">
        <f t="shared" si="1664"/>
        <v>0</v>
      </c>
      <c r="Z928" s="274">
        <f t="shared" si="1665"/>
        <v>0</v>
      </c>
      <c r="AA928" s="274"/>
      <c r="AB928" s="306">
        <f t="shared" si="1666"/>
        <v>0</v>
      </c>
    </row>
    <row r="929" spans="1:91" s="90" customFormat="1" ht="14.1" hidden="1" customHeight="1" x14ac:dyDescent="0.2">
      <c r="A929" s="301"/>
      <c r="B929" s="349" t="s">
        <v>457</v>
      </c>
      <c r="C929" s="101"/>
      <c r="D929" s="101"/>
      <c r="E929" s="101"/>
      <c r="F929" s="370" t="s">
        <v>458</v>
      </c>
      <c r="G929" s="149"/>
      <c r="H929" s="149"/>
      <c r="I929" s="329">
        <f t="shared" si="1659"/>
        <v>0</v>
      </c>
      <c r="J929" s="329">
        <f t="shared" si="1660"/>
        <v>0</v>
      </c>
      <c r="K929" s="274"/>
      <c r="L929" s="274"/>
      <c r="M929" s="274"/>
      <c r="N929" s="275">
        <f t="shared" si="1661"/>
        <v>0</v>
      </c>
      <c r="O929" s="274"/>
      <c r="P929" s="274"/>
      <c r="Q929" s="274"/>
      <c r="R929" s="274"/>
      <c r="S929" s="274">
        <f t="shared" si="1662"/>
        <v>0</v>
      </c>
      <c r="T929" s="274"/>
      <c r="U929" s="274"/>
      <c r="V929" s="274"/>
      <c r="W929" s="274"/>
      <c r="X929" s="274">
        <f t="shared" si="1663"/>
        <v>0</v>
      </c>
      <c r="Y929" s="274">
        <f t="shared" si="1664"/>
        <v>0</v>
      </c>
      <c r="Z929" s="274">
        <f t="shared" si="1665"/>
        <v>0</v>
      </c>
      <c r="AA929" s="274"/>
      <c r="AB929" s="306">
        <f t="shared" si="1666"/>
        <v>0</v>
      </c>
    </row>
    <row r="930" spans="1:91" s="90" customFormat="1" ht="14.1" hidden="1" customHeight="1" x14ac:dyDescent="0.2">
      <c r="A930" s="301"/>
      <c r="B930" s="349" t="s">
        <v>459</v>
      </c>
      <c r="C930" s="101"/>
      <c r="D930" s="101"/>
      <c r="E930" s="101"/>
      <c r="F930" s="370" t="s">
        <v>460</v>
      </c>
      <c r="G930" s="149"/>
      <c r="H930" s="149"/>
      <c r="I930" s="329">
        <f t="shared" si="1659"/>
        <v>0</v>
      </c>
      <c r="J930" s="329">
        <f t="shared" si="1660"/>
        <v>0</v>
      </c>
      <c r="K930" s="274"/>
      <c r="L930" s="274"/>
      <c r="M930" s="274"/>
      <c r="N930" s="275">
        <f t="shared" si="1661"/>
        <v>0</v>
      </c>
      <c r="O930" s="274"/>
      <c r="P930" s="274"/>
      <c r="Q930" s="274"/>
      <c r="R930" s="274"/>
      <c r="S930" s="274">
        <f t="shared" si="1662"/>
        <v>0</v>
      </c>
      <c r="T930" s="274"/>
      <c r="U930" s="274"/>
      <c r="V930" s="274"/>
      <c r="W930" s="274"/>
      <c r="X930" s="274">
        <f t="shared" si="1663"/>
        <v>0</v>
      </c>
      <c r="Y930" s="274">
        <f t="shared" si="1664"/>
        <v>0</v>
      </c>
      <c r="Z930" s="274">
        <f t="shared" si="1665"/>
        <v>0</v>
      </c>
      <c r="AA930" s="274"/>
      <c r="AB930" s="306">
        <f t="shared" si="1666"/>
        <v>0</v>
      </c>
    </row>
    <row r="931" spans="1:91" s="90" customFormat="1" ht="14.1" hidden="1" customHeight="1" x14ac:dyDescent="0.2">
      <c r="A931" s="301"/>
      <c r="B931" s="349" t="s">
        <v>461</v>
      </c>
      <c r="C931" s="101"/>
      <c r="D931" s="101"/>
      <c r="E931" s="101"/>
      <c r="F931" s="370" t="s">
        <v>462</v>
      </c>
      <c r="G931" s="149"/>
      <c r="H931" s="149"/>
      <c r="I931" s="329">
        <f t="shared" si="1659"/>
        <v>0</v>
      </c>
      <c r="J931" s="329">
        <f t="shared" si="1660"/>
        <v>0</v>
      </c>
      <c r="K931" s="274"/>
      <c r="L931" s="274"/>
      <c r="M931" s="274"/>
      <c r="N931" s="275">
        <f t="shared" si="1661"/>
        <v>0</v>
      </c>
      <c r="O931" s="274"/>
      <c r="P931" s="274"/>
      <c r="Q931" s="274"/>
      <c r="R931" s="274"/>
      <c r="S931" s="274">
        <f t="shared" si="1662"/>
        <v>0</v>
      </c>
      <c r="T931" s="274"/>
      <c r="U931" s="274"/>
      <c r="V931" s="274"/>
      <c r="W931" s="274"/>
      <c r="X931" s="274">
        <f t="shared" si="1663"/>
        <v>0</v>
      </c>
      <c r="Y931" s="274">
        <f t="shared" si="1664"/>
        <v>0</v>
      </c>
      <c r="Z931" s="274">
        <f t="shared" si="1665"/>
        <v>0</v>
      </c>
      <c r="AA931" s="274"/>
      <c r="AB931" s="306">
        <f t="shared" si="1666"/>
        <v>0</v>
      </c>
    </row>
    <row r="932" spans="1:91" s="90" customFormat="1" ht="14.1" hidden="1" customHeight="1" x14ac:dyDescent="0.2">
      <c r="A932" s="301"/>
      <c r="B932" s="349" t="s">
        <v>463</v>
      </c>
      <c r="C932" s="101"/>
      <c r="D932" s="101"/>
      <c r="E932" s="101"/>
      <c r="F932" s="370" t="s">
        <v>464</v>
      </c>
      <c r="G932" s="149"/>
      <c r="H932" s="149"/>
      <c r="I932" s="329">
        <f t="shared" si="1659"/>
        <v>0</v>
      </c>
      <c r="J932" s="329">
        <f t="shared" si="1660"/>
        <v>0</v>
      </c>
      <c r="K932" s="274"/>
      <c r="L932" s="274"/>
      <c r="M932" s="274"/>
      <c r="N932" s="275">
        <f t="shared" si="1661"/>
        <v>0</v>
      </c>
      <c r="O932" s="274"/>
      <c r="P932" s="274"/>
      <c r="Q932" s="274"/>
      <c r="R932" s="274"/>
      <c r="S932" s="274">
        <f t="shared" si="1662"/>
        <v>0</v>
      </c>
      <c r="T932" s="274"/>
      <c r="U932" s="274"/>
      <c r="V932" s="274"/>
      <c r="W932" s="274"/>
      <c r="X932" s="274">
        <f t="shared" si="1663"/>
        <v>0</v>
      </c>
      <c r="Y932" s="274">
        <f t="shared" si="1664"/>
        <v>0</v>
      </c>
      <c r="Z932" s="274">
        <f t="shared" si="1665"/>
        <v>0</v>
      </c>
      <c r="AA932" s="274"/>
      <c r="AB932" s="306">
        <f t="shared" si="1666"/>
        <v>0</v>
      </c>
    </row>
    <row r="933" spans="1:91" s="90" customFormat="1" ht="14.1" hidden="1" customHeight="1" x14ac:dyDescent="0.2">
      <c r="A933" s="301"/>
      <c r="B933" s="348" t="s">
        <v>465</v>
      </c>
      <c r="C933" s="101"/>
      <c r="D933" s="101"/>
      <c r="E933" s="101"/>
      <c r="F933" s="370"/>
      <c r="G933" s="149"/>
      <c r="H933" s="149"/>
      <c r="I933" s="149"/>
      <c r="J933" s="149"/>
      <c r="K933" s="159"/>
      <c r="L933" s="159"/>
      <c r="M933" s="159"/>
      <c r="N933" s="159"/>
      <c r="O933" s="159"/>
      <c r="P933" s="159"/>
      <c r="Q933" s="159"/>
      <c r="R933" s="159"/>
      <c r="S933" s="159"/>
      <c r="T933" s="159"/>
      <c r="U933" s="159"/>
      <c r="V933" s="159"/>
      <c r="W933" s="159"/>
      <c r="X933" s="159"/>
      <c r="Y933" s="159"/>
      <c r="Z933" s="159"/>
      <c r="AA933" s="159"/>
      <c r="AB933" s="583"/>
    </row>
    <row r="934" spans="1:91" s="90" customFormat="1" ht="14.1" hidden="1" customHeight="1" x14ac:dyDescent="0.2">
      <c r="A934" s="301"/>
      <c r="B934" s="349" t="s">
        <v>466</v>
      </c>
      <c r="C934" s="101"/>
      <c r="D934" s="101"/>
      <c r="E934" s="101"/>
      <c r="F934" s="370" t="s">
        <v>467</v>
      </c>
      <c r="G934" s="149"/>
      <c r="H934" s="149"/>
      <c r="I934" s="329">
        <f t="shared" ref="I934:I936" si="1667">G934+H934</f>
        <v>0</v>
      </c>
      <c r="J934" s="329">
        <f t="shared" ref="J934:J936" si="1668">I934</f>
        <v>0</v>
      </c>
      <c r="K934" s="274"/>
      <c r="L934" s="274"/>
      <c r="M934" s="274"/>
      <c r="N934" s="275">
        <f t="shared" ref="N934:N936" si="1669">J934+K934-L934+M934</f>
        <v>0</v>
      </c>
      <c r="O934" s="274"/>
      <c r="P934" s="274"/>
      <c r="Q934" s="274"/>
      <c r="R934" s="274"/>
      <c r="S934" s="274">
        <f t="shared" ref="S934:S936" si="1670">SUM(O934:R934)</f>
        <v>0</v>
      </c>
      <c r="T934" s="274"/>
      <c r="U934" s="274"/>
      <c r="V934" s="274"/>
      <c r="W934" s="274"/>
      <c r="X934" s="274">
        <f t="shared" ref="X934:X936" si="1671">SUM(T934:W934)</f>
        <v>0</v>
      </c>
      <c r="Y934" s="274">
        <f t="shared" ref="Y934:Y936" si="1672">I934-N934</f>
        <v>0</v>
      </c>
      <c r="Z934" s="274">
        <f t="shared" ref="Z934:Z936" si="1673">N934-S934</f>
        <v>0</v>
      </c>
      <c r="AA934" s="274"/>
      <c r="AB934" s="306">
        <f t="shared" ref="AB934:AB936" si="1674">+S934-X934-AA934</f>
        <v>0</v>
      </c>
    </row>
    <row r="935" spans="1:91" s="90" customFormat="1" ht="14.1" hidden="1" customHeight="1" x14ac:dyDescent="0.2">
      <c r="A935" s="301"/>
      <c r="B935" s="349" t="s">
        <v>468</v>
      </c>
      <c r="C935" s="101"/>
      <c r="D935" s="101"/>
      <c r="E935" s="101"/>
      <c r="F935" s="370" t="s">
        <v>469</v>
      </c>
      <c r="G935" s="149"/>
      <c r="H935" s="149"/>
      <c r="I935" s="329">
        <f t="shared" si="1667"/>
        <v>0</v>
      </c>
      <c r="J935" s="329">
        <f t="shared" si="1668"/>
        <v>0</v>
      </c>
      <c r="K935" s="274"/>
      <c r="L935" s="274"/>
      <c r="M935" s="274"/>
      <c r="N935" s="275">
        <f t="shared" si="1669"/>
        <v>0</v>
      </c>
      <c r="O935" s="274"/>
      <c r="P935" s="274"/>
      <c r="Q935" s="274"/>
      <c r="R935" s="274"/>
      <c r="S935" s="274">
        <f t="shared" si="1670"/>
        <v>0</v>
      </c>
      <c r="T935" s="274"/>
      <c r="U935" s="274"/>
      <c r="V935" s="274"/>
      <c r="W935" s="274"/>
      <c r="X935" s="274">
        <f t="shared" si="1671"/>
        <v>0</v>
      </c>
      <c r="Y935" s="274">
        <f t="shared" si="1672"/>
        <v>0</v>
      </c>
      <c r="Z935" s="274">
        <f t="shared" si="1673"/>
        <v>0</v>
      </c>
      <c r="AA935" s="274"/>
      <c r="AB935" s="306">
        <f t="shared" si="1674"/>
        <v>0</v>
      </c>
    </row>
    <row r="936" spans="1:91" s="90" customFormat="1" ht="14.1" hidden="1" customHeight="1" x14ac:dyDescent="0.2">
      <c r="A936" s="301"/>
      <c r="B936" s="349" t="s">
        <v>470</v>
      </c>
      <c r="C936" s="101"/>
      <c r="D936" s="101"/>
      <c r="E936" s="101"/>
      <c r="F936" s="370" t="s">
        <v>471</v>
      </c>
      <c r="G936" s="149"/>
      <c r="H936" s="149"/>
      <c r="I936" s="329">
        <f t="shared" si="1667"/>
        <v>0</v>
      </c>
      <c r="J936" s="329">
        <f t="shared" si="1668"/>
        <v>0</v>
      </c>
      <c r="K936" s="274"/>
      <c r="L936" s="274"/>
      <c r="M936" s="274"/>
      <c r="N936" s="275">
        <f t="shared" si="1669"/>
        <v>0</v>
      </c>
      <c r="O936" s="274"/>
      <c r="P936" s="274"/>
      <c r="Q936" s="274"/>
      <c r="R936" s="274"/>
      <c r="S936" s="274">
        <f t="shared" si="1670"/>
        <v>0</v>
      </c>
      <c r="T936" s="274"/>
      <c r="U936" s="274"/>
      <c r="V936" s="274"/>
      <c r="W936" s="274"/>
      <c r="X936" s="274">
        <f t="shared" si="1671"/>
        <v>0</v>
      </c>
      <c r="Y936" s="274">
        <f t="shared" si="1672"/>
        <v>0</v>
      </c>
      <c r="Z936" s="274">
        <f t="shared" si="1673"/>
        <v>0</v>
      </c>
      <c r="AA936" s="274"/>
      <c r="AB936" s="306">
        <f t="shared" si="1674"/>
        <v>0</v>
      </c>
    </row>
    <row r="937" spans="1:91" s="90" customFormat="1" ht="14.1" hidden="1" customHeight="1" x14ac:dyDescent="0.2">
      <c r="A937" s="301"/>
      <c r="B937" s="348" t="s">
        <v>472</v>
      </c>
      <c r="C937" s="101"/>
      <c r="D937" s="101"/>
      <c r="E937" s="101"/>
      <c r="F937" s="370"/>
      <c r="G937" s="149"/>
      <c r="H937" s="149"/>
      <c r="I937" s="149"/>
      <c r="J937" s="149"/>
      <c r="K937" s="159"/>
      <c r="L937" s="159"/>
      <c r="M937" s="159"/>
      <c r="N937" s="159"/>
      <c r="O937" s="159"/>
      <c r="P937" s="159"/>
      <c r="Q937" s="159"/>
      <c r="R937" s="159"/>
      <c r="S937" s="159"/>
      <c r="T937" s="159"/>
      <c r="U937" s="159"/>
      <c r="V937" s="159"/>
      <c r="W937" s="159"/>
      <c r="X937" s="159"/>
      <c r="Y937" s="159"/>
      <c r="Z937" s="159"/>
      <c r="AA937" s="159"/>
      <c r="AB937" s="583"/>
    </row>
    <row r="938" spans="1:91" s="90" customFormat="1" ht="14.1" hidden="1" customHeight="1" x14ac:dyDescent="0.2">
      <c r="A938" s="301"/>
      <c r="B938" s="349" t="s">
        <v>473</v>
      </c>
      <c r="C938" s="101"/>
      <c r="D938" s="101"/>
      <c r="E938" s="101"/>
      <c r="F938" s="370" t="s">
        <v>474</v>
      </c>
      <c r="G938" s="149"/>
      <c r="H938" s="149"/>
      <c r="I938" s="329">
        <f t="shared" ref="I938:I939" si="1675">G938+H938</f>
        <v>0</v>
      </c>
      <c r="J938" s="329">
        <f t="shared" ref="J938:J939" si="1676">I938</f>
        <v>0</v>
      </c>
      <c r="K938" s="274"/>
      <c r="L938" s="274"/>
      <c r="M938" s="274"/>
      <c r="N938" s="275">
        <f t="shared" ref="N938:N939" si="1677">J938+K938-L938+M938</f>
        <v>0</v>
      </c>
      <c r="O938" s="274"/>
      <c r="P938" s="274"/>
      <c r="Q938" s="274"/>
      <c r="R938" s="274"/>
      <c r="S938" s="274">
        <f t="shared" ref="S938:S939" si="1678">SUM(O938:R938)</f>
        <v>0</v>
      </c>
      <c r="T938" s="274"/>
      <c r="U938" s="274"/>
      <c r="V938" s="274"/>
      <c r="W938" s="274"/>
      <c r="X938" s="274">
        <f t="shared" ref="X938:X939" si="1679">SUM(T938:W938)</f>
        <v>0</v>
      </c>
      <c r="Y938" s="274">
        <f t="shared" ref="Y938:Y939" si="1680">I938-N938</f>
        <v>0</v>
      </c>
      <c r="Z938" s="274">
        <f t="shared" ref="Z938:Z939" si="1681">N938-S938</f>
        <v>0</v>
      </c>
      <c r="AA938" s="274"/>
      <c r="AB938" s="306">
        <f t="shared" ref="AB938:AB939" si="1682">+S938-X938-AA938</f>
        <v>0</v>
      </c>
    </row>
    <row r="939" spans="1:91" s="90" customFormat="1" ht="14.1" hidden="1" customHeight="1" x14ac:dyDescent="0.2">
      <c r="A939" s="301"/>
      <c r="B939" s="349" t="s">
        <v>475</v>
      </c>
      <c r="C939" s="101"/>
      <c r="D939" s="101"/>
      <c r="E939" s="101"/>
      <c r="F939" s="370" t="s">
        <v>476</v>
      </c>
      <c r="G939" s="149"/>
      <c r="H939" s="149"/>
      <c r="I939" s="329">
        <f t="shared" si="1675"/>
        <v>0</v>
      </c>
      <c r="J939" s="329">
        <f t="shared" si="1676"/>
        <v>0</v>
      </c>
      <c r="K939" s="274"/>
      <c r="L939" s="274"/>
      <c r="M939" s="274"/>
      <c r="N939" s="275">
        <f t="shared" si="1677"/>
        <v>0</v>
      </c>
      <c r="O939" s="274"/>
      <c r="P939" s="274"/>
      <c r="Q939" s="274"/>
      <c r="R939" s="274"/>
      <c r="S939" s="274">
        <f t="shared" si="1678"/>
        <v>0</v>
      </c>
      <c r="T939" s="274"/>
      <c r="U939" s="274"/>
      <c r="V939" s="274"/>
      <c r="W939" s="274"/>
      <c r="X939" s="274">
        <f t="shared" si="1679"/>
        <v>0</v>
      </c>
      <c r="Y939" s="274">
        <f t="shared" si="1680"/>
        <v>0</v>
      </c>
      <c r="Z939" s="274">
        <f t="shared" si="1681"/>
        <v>0</v>
      </c>
      <c r="AA939" s="274"/>
      <c r="AB939" s="306">
        <f t="shared" si="1682"/>
        <v>0</v>
      </c>
    </row>
    <row r="940" spans="1:91" s="90" customFormat="1" ht="14.1" hidden="1" customHeight="1" x14ac:dyDescent="0.2">
      <c r="A940" s="301"/>
      <c r="B940" s="348" t="s">
        <v>477</v>
      </c>
      <c r="C940" s="101"/>
      <c r="D940" s="101"/>
      <c r="E940" s="101"/>
      <c r="F940" s="370"/>
      <c r="G940" s="149"/>
      <c r="H940" s="149"/>
      <c r="I940" s="149"/>
      <c r="J940" s="149"/>
      <c r="K940" s="159"/>
      <c r="L940" s="159"/>
      <c r="M940" s="159"/>
      <c r="N940" s="159"/>
      <c r="O940" s="159"/>
      <c r="P940" s="159"/>
      <c r="Q940" s="159"/>
      <c r="R940" s="159"/>
      <c r="S940" s="159"/>
      <c r="T940" s="159"/>
      <c r="U940" s="159"/>
      <c r="V940" s="159"/>
      <c r="W940" s="159"/>
      <c r="X940" s="159"/>
      <c r="Y940" s="159"/>
      <c r="Z940" s="159"/>
      <c r="AA940" s="159"/>
      <c r="AB940" s="583"/>
    </row>
    <row r="941" spans="1:91" s="90" customFormat="1" ht="14.1" hidden="1" customHeight="1" x14ac:dyDescent="0.2">
      <c r="A941" s="301"/>
      <c r="B941" s="349" t="s">
        <v>478</v>
      </c>
      <c r="C941" s="101"/>
      <c r="D941" s="101"/>
      <c r="E941" s="101"/>
      <c r="F941" s="370" t="s">
        <v>479</v>
      </c>
      <c r="G941" s="149"/>
      <c r="H941" s="149"/>
      <c r="I941" s="329">
        <f t="shared" ref="I941" si="1683">G941+H941</f>
        <v>0</v>
      </c>
      <c r="J941" s="329">
        <f t="shared" ref="J941" si="1684">I941</f>
        <v>0</v>
      </c>
      <c r="K941" s="274"/>
      <c r="L941" s="274"/>
      <c r="M941" s="274"/>
      <c r="N941" s="275">
        <f t="shared" ref="N941" si="1685">J941+K941-L941+M941</f>
        <v>0</v>
      </c>
      <c r="O941" s="274"/>
      <c r="P941" s="274"/>
      <c r="Q941" s="274"/>
      <c r="R941" s="274"/>
      <c r="S941" s="274">
        <f t="shared" ref="S941" si="1686">SUM(O941:R941)</f>
        <v>0</v>
      </c>
      <c r="T941" s="274"/>
      <c r="U941" s="274"/>
      <c r="V941" s="274"/>
      <c r="W941" s="274"/>
      <c r="X941" s="274">
        <f t="shared" ref="X941" si="1687">SUM(T941:W941)</f>
        <v>0</v>
      </c>
      <c r="Y941" s="274">
        <f t="shared" ref="Y941" si="1688">I941-N941</f>
        <v>0</v>
      </c>
      <c r="Z941" s="274">
        <f t="shared" ref="Z941" si="1689">N941-S941</f>
        <v>0</v>
      </c>
      <c r="AA941" s="274"/>
      <c r="AB941" s="306">
        <f t="shared" ref="AB941" si="1690">+S941-X941-AA941</f>
        <v>0</v>
      </c>
    </row>
    <row r="942" spans="1:91" s="90" customFormat="1" ht="14.1" hidden="1" customHeight="1" x14ac:dyDescent="0.2">
      <c r="A942" s="301"/>
      <c r="B942" s="348" t="s">
        <v>480</v>
      </c>
      <c r="C942" s="101"/>
      <c r="D942" s="101"/>
      <c r="E942" s="101"/>
      <c r="F942" s="370"/>
      <c r="G942" s="149"/>
      <c r="H942" s="149"/>
      <c r="I942" s="149"/>
      <c r="J942" s="149"/>
      <c r="K942" s="159"/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9"/>
      <c r="Z942" s="159"/>
      <c r="AA942" s="159"/>
      <c r="AB942" s="583"/>
    </row>
    <row r="943" spans="1:91" s="90" customFormat="1" ht="14.1" hidden="1" customHeight="1" x14ac:dyDescent="0.2">
      <c r="A943" s="301"/>
      <c r="B943" s="349" t="s">
        <v>481</v>
      </c>
      <c r="C943" s="101"/>
      <c r="D943" s="101"/>
      <c r="E943" s="101"/>
      <c r="F943" s="370" t="s">
        <v>482</v>
      </c>
      <c r="G943" s="149"/>
      <c r="H943" s="149"/>
      <c r="I943" s="329">
        <f t="shared" ref="I943" si="1691">G943+H943</f>
        <v>0</v>
      </c>
      <c r="J943" s="329">
        <f t="shared" ref="J943" si="1692">I943</f>
        <v>0</v>
      </c>
      <c r="K943" s="274"/>
      <c r="L943" s="274"/>
      <c r="M943" s="274"/>
      <c r="N943" s="275">
        <f t="shared" ref="N943" si="1693">J943+K943-L943+M943</f>
        <v>0</v>
      </c>
      <c r="O943" s="274"/>
      <c r="P943" s="274"/>
      <c r="Q943" s="274"/>
      <c r="R943" s="274"/>
      <c r="S943" s="274">
        <f t="shared" ref="S943" si="1694">SUM(O943:R943)</f>
        <v>0</v>
      </c>
      <c r="T943" s="274"/>
      <c r="U943" s="274"/>
      <c r="V943" s="274"/>
      <c r="W943" s="274"/>
      <c r="X943" s="274">
        <f t="shared" ref="X943" si="1695">SUM(T943:W943)</f>
        <v>0</v>
      </c>
      <c r="Y943" s="274">
        <f t="shared" ref="Y943" si="1696">I943-N943</f>
        <v>0</v>
      </c>
      <c r="Z943" s="274">
        <f t="shared" ref="Z943" si="1697">N943-S943</f>
        <v>0</v>
      </c>
      <c r="AA943" s="274"/>
      <c r="AB943" s="306">
        <f t="shared" ref="AB943" si="1698">+S943-X943-AA943</f>
        <v>0</v>
      </c>
    </row>
    <row r="944" spans="1:91" s="61" customFormat="1" ht="14.1" customHeight="1" x14ac:dyDescent="0.2">
      <c r="A944" s="303"/>
      <c r="B944" s="80"/>
      <c r="C944" s="94"/>
      <c r="D944" s="94"/>
      <c r="E944" s="69"/>
      <c r="F944" s="289"/>
      <c r="G944" s="323"/>
      <c r="H944" s="323"/>
      <c r="I944" s="329"/>
      <c r="J944" s="329"/>
      <c r="K944" s="274"/>
      <c r="L944" s="274"/>
      <c r="M944" s="274"/>
      <c r="N944" s="275"/>
      <c r="O944" s="274"/>
      <c r="P944" s="274"/>
      <c r="Q944" s="274"/>
      <c r="R944" s="274"/>
      <c r="S944" s="274"/>
      <c r="T944" s="274"/>
      <c r="U944" s="274"/>
      <c r="V944" s="274"/>
      <c r="W944" s="274"/>
      <c r="X944" s="274"/>
      <c r="Y944" s="274"/>
      <c r="Z944" s="274"/>
      <c r="AA944" s="274"/>
      <c r="AB944" s="306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</row>
    <row r="945" spans="1:91" s="61" customFormat="1" ht="14.1" customHeight="1" x14ac:dyDescent="0.2">
      <c r="A945" s="301" t="s">
        <v>119</v>
      </c>
      <c r="B945" s="73" t="s">
        <v>120</v>
      </c>
      <c r="C945" s="73"/>
      <c r="D945" s="73"/>
      <c r="E945" s="69"/>
      <c r="F945" s="258" t="s">
        <v>255</v>
      </c>
      <c r="G945" s="324">
        <f>G946+G1128</f>
        <v>693333.92999999993</v>
      </c>
      <c r="H945" s="324">
        <f t="shared" ref="H945:AB945" si="1699">H946+H1128</f>
        <v>0</v>
      </c>
      <c r="I945" s="324">
        <f t="shared" si="1699"/>
        <v>693333.92999999993</v>
      </c>
      <c r="J945" s="324">
        <f t="shared" si="1699"/>
        <v>693333.92999999993</v>
      </c>
      <c r="K945" s="324">
        <f t="shared" si="1699"/>
        <v>0</v>
      </c>
      <c r="L945" s="324">
        <f t="shared" si="1699"/>
        <v>0</v>
      </c>
      <c r="M945" s="324">
        <f t="shared" si="1699"/>
        <v>0</v>
      </c>
      <c r="N945" s="324">
        <f t="shared" si="1699"/>
        <v>693333.92999999993</v>
      </c>
      <c r="O945" s="324">
        <f t="shared" si="1699"/>
        <v>2400</v>
      </c>
      <c r="P945" s="324">
        <f t="shared" si="1699"/>
        <v>241007.44999999998</v>
      </c>
      <c r="Q945" s="324">
        <f t="shared" si="1699"/>
        <v>237497.89</v>
      </c>
      <c r="R945" s="324">
        <f t="shared" si="1699"/>
        <v>178897.16</v>
      </c>
      <c r="S945" s="324">
        <f t="shared" si="1699"/>
        <v>659802.5</v>
      </c>
      <c r="T945" s="324">
        <f t="shared" si="1699"/>
        <v>2400</v>
      </c>
      <c r="U945" s="324">
        <f t="shared" si="1699"/>
        <v>210047.44999999998</v>
      </c>
      <c r="V945" s="324">
        <f t="shared" si="1699"/>
        <v>268457.89</v>
      </c>
      <c r="W945" s="324">
        <f t="shared" si="1699"/>
        <v>178897.16</v>
      </c>
      <c r="X945" s="324">
        <f t="shared" si="1699"/>
        <v>659802.5</v>
      </c>
      <c r="Y945" s="324">
        <f t="shared" si="1699"/>
        <v>0</v>
      </c>
      <c r="Z945" s="324">
        <f t="shared" si="1699"/>
        <v>33531.43</v>
      </c>
      <c r="AA945" s="324">
        <f t="shared" si="1699"/>
        <v>0</v>
      </c>
      <c r="AB945" s="324">
        <f t="shared" si="1699"/>
        <v>0</v>
      </c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</row>
    <row r="946" spans="1:91" s="61" customFormat="1" ht="14.1" customHeight="1" x14ac:dyDescent="0.2">
      <c r="A946" s="311" t="s">
        <v>256</v>
      </c>
      <c r="B946" s="73"/>
      <c r="C946" s="73"/>
      <c r="D946" s="73"/>
      <c r="E946" s="73"/>
      <c r="F946" s="258" t="s">
        <v>257</v>
      </c>
      <c r="G946" s="325">
        <f>G1023+G947</f>
        <v>510396.67</v>
      </c>
      <c r="H946" s="325">
        <f t="shared" ref="H946:AB946" si="1700">H1023+H947</f>
        <v>0</v>
      </c>
      <c r="I946" s="325">
        <f t="shared" si="1700"/>
        <v>510396.67</v>
      </c>
      <c r="J946" s="325">
        <f t="shared" si="1700"/>
        <v>510396.67</v>
      </c>
      <c r="K946" s="325">
        <f t="shared" si="1700"/>
        <v>0</v>
      </c>
      <c r="L946" s="325">
        <f t="shared" si="1700"/>
        <v>0</v>
      </c>
      <c r="M946" s="325">
        <f t="shared" si="1700"/>
        <v>0</v>
      </c>
      <c r="N946" s="325">
        <f t="shared" si="1700"/>
        <v>510396.67</v>
      </c>
      <c r="O946" s="325">
        <f t="shared" si="1700"/>
        <v>2400</v>
      </c>
      <c r="P946" s="325">
        <f t="shared" si="1700"/>
        <v>175991.36</v>
      </c>
      <c r="Q946" s="325">
        <f t="shared" si="1700"/>
        <v>188147.43000000002</v>
      </c>
      <c r="R946" s="325">
        <f t="shared" si="1700"/>
        <v>125326.45</v>
      </c>
      <c r="S946" s="325">
        <f t="shared" si="1700"/>
        <v>491865.24</v>
      </c>
      <c r="T946" s="325">
        <f t="shared" si="1700"/>
        <v>2400</v>
      </c>
      <c r="U946" s="325">
        <f t="shared" si="1700"/>
        <v>145031.35999999999</v>
      </c>
      <c r="V946" s="325">
        <f t="shared" si="1700"/>
        <v>219107.43</v>
      </c>
      <c r="W946" s="325">
        <f t="shared" si="1700"/>
        <v>125326.45</v>
      </c>
      <c r="X946" s="325">
        <f t="shared" si="1700"/>
        <v>491865.24</v>
      </c>
      <c r="Y946" s="325">
        <f t="shared" si="1700"/>
        <v>0</v>
      </c>
      <c r="Z946" s="325">
        <f t="shared" si="1700"/>
        <v>18531.43</v>
      </c>
      <c r="AA946" s="325">
        <f t="shared" si="1700"/>
        <v>0</v>
      </c>
      <c r="AB946" s="325">
        <f t="shared" si="1700"/>
        <v>0</v>
      </c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</row>
    <row r="947" spans="1:91" s="61" customFormat="1" ht="14.1" customHeight="1" x14ac:dyDescent="0.2">
      <c r="A947" s="303" t="s">
        <v>121</v>
      </c>
      <c r="B947" s="94" t="s">
        <v>122</v>
      </c>
      <c r="C947" s="94"/>
      <c r="D947" s="94"/>
      <c r="E947" s="94"/>
      <c r="F947" s="258" t="s">
        <v>258</v>
      </c>
      <c r="G947" s="325">
        <f>G948</f>
        <v>111632.71000000002</v>
      </c>
      <c r="H947" s="325">
        <f t="shared" ref="H947:AB947" si="1701">H948</f>
        <v>0</v>
      </c>
      <c r="I947" s="325">
        <f t="shared" si="1701"/>
        <v>111632.71000000002</v>
      </c>
      <c r="J947" s="325">
        <f t="shared" si="1701"/>
        <v>111632.71000000002</v>
      </c>
      <c r="K947" s="325">
        <f t="shared" si="1701"/>
        <v>0</v>
      </c>
      <c r="L947" s="325">
        <f t="shared" si="1701"/>
        <v>0</v>
      </c>
      <c r="M947" s="325">
        <f t="shared" si="1701"/>
        <v>0</v>
      </c>
      <c r="N947" s="325">
        <f t="shared" si="1701"/>
        <v>111632.71000000002</v>
      </c>
      <c r="O947" s="325">
        <f t="shared" si="1701"/>
        <v>2400</v>
      </c>
      <c r="P947" s="325">
        <f t="shared" si="1701"/>
        <v>26000</v>
      </c>
      <c r="Q947" s="325">
        <f t="shared" si="1701"/>
        <v>51637.279999999999</v>
      </c>
      <c r="R947" s="325">
        <f t="shared" si="1701"/>
        <v>13064</v>
      </c>
      <c r="S947" s="325">
        <f t="shared" si="1701"/>
        <v>93101.280000000013</v>
      </c>
      <c r="T947" s="325">
        <f t="shared" si="1701"/>
        <v>2400</v>
      </c>
      <c r="U947" s="325">
        <f t="shared" si="1701"/>
        <v>26000</v>
      </c>
      <c r="V947" s="325">
        <f t="shared" si="1701"/>
        <v>51637.279999999999</v>
      </c>
      <c r="W947" s="325">
        <f t="shared" si="1701"/>
        <v>13064</v>
      </c>
      <c r="X947" s="325">
        <f t="shared" si="1701"/>
        <v>93101.280000000013</v>
      </c>
      <c r="Y947" s="325">
        <f t="shared" si="1701"/>
        <v>0</v>
      </c>
      <c r="Z947" s="325">
        <f t="shared" si="1701"/>
        <v>18531.43</v>
      </c>
      <c r="AA947" s="325">
        <f t="shared" si="1701"/>
        <v>0</v>
      </c>
      <c r="AB947" s="325">
        <f t="shared" si="1701"/>
        <v>0</v>
      </c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</row>
    <row r="948" spans="1:91" s="90" customFormat="1" ht="14.1" customHeight="1" x14ac:dyDescent="0.2">
      <c r="A948" s="301"/>
      <c r="B948" s="347" t="s">
        <v>316</v>
      </c>
      <c r="C948" s="101"/>
      <c r="D948" s="101"/>
      <c r="E948" s="101"/>
      <c r="F948" s="370"/>
      <c r="G948" s="321">
        <f t="shared" ref="G948" si="1702">SUM(G950:G1021)</f>
        <v>111632.71000000002</v>
      </c>
      <c r="H948" s="321">
        <f t="shared" ref="H948:AB948" si="1703">SUM(H950:H1021)</f>
        <v>0</v>
      </c>
      <c r="I948" s="321">
        <f t="shared" si="1703"/>
        <v>111632.71000000002</v>
      </c>
      <c r="J948" s="321">
        <f t="shared" si="1703"/>
        <v>111632.71000000002</v>
      </c>
      <c r="K948" s="321">
        <f t="shared" si="1703"/>
        <v>0</v>
      </c>
      <c r="L948" s="321">
        <f t="shared" si="1703"/>
        <v>0</v>
      </c>
      <c r="M948" s="321">
        <f t="shared" si="1703"/>
        <v>0</v>
      </c>
      <c r="N948" s="321">
        <f t="shared" si="1703"/>
        <v>111632.71000000002</v>
      </c>
      <c r="O948" s="321">
        <f t="shared" si="1703"/>
        <v>2400</v>
      </c>
      <c r="P948" s="321">
        <f t="shared" si="1703"/>
        <v>26000</v>
      </c>
      <c r="Q948" s="321">
        <f t="shared" si="1703"/>
        <v>51637.279999999999</v>
      </c>
      <c r="R948" s="321">
        <f t="shared" si="1703"/>
        <v>13064</v>
      </c>
      <c r="S948" s="321">
        <f t="shared" si="1703"/>
        <v>93101.280000000013</v>
      </c>
      <c r="T948" s="321">
        <f t="shared" si="1703"/>
        <v>2400</v>
      </c>
      <c r="U948" s="321">
        <f t="shared" si="1703"/>
        <v>26000</v>
      </c>
      <c r="V948" s="321">
        <f t="shared" si="1703"/>
        <v>51637.279999999999</v>
      </c>
      <c r="W948" s="321">
        <f t="shared" si="1703"/>
        <v>13064</v>
      </c>
      <c r="X948" s="321">
        <f t="shared" si="1703"/>
        <v>93101.280000000013</v>
      </c>
      <c r="Y948" s="321">
        <f t="shared" si="1703"/>
        <v>0</v>
      </c>
      <c r="Z948" s="321">
        <f t="shared" si="1703"/>
        <v>18531.43</v>
      </c>
      <c r="AA948" s="332">
        <f t="shared" si="1703"/>
        <v>0</v>
      </c>
      <c r="AB948" s="302">
        <f t="shared" si="1703"/>
        <v>0</v>
      </c>
    </row>
    <row r="949" spans="1:91" s="90" customFormat="1" ht="14.1" customHeight="1" x14ac:dyDescent="0.2">
      <c r="A949" s="301"/>
      <c r="B949" s="348" t="s">
        <v>317</v>
      </c>
      <c r="C949" s="101"/>
      <c r="D949" s="101"/>
      <c r="E949" s="101"/>
      <c r="F949" s="370"/>
      <c r="G949" s="321"/>
      <c r="H949" s="321"/>
      <c r="I949" s="321"/>
      <c r="J949" s="321"/>
      <c r="K949" s="332"/>
      <c r="L949" s="332"/>
      <c r="M949" s="332"/>
      <c r="N949" s="332"/>
      <c r="O949" s="332"/>
      <c r="P949" s="332"/>
      <c r="Q949" s="332"/>
      <c r="R949" s="332"/>
      <c r="S949" s="332"/>
      <c r="T949" s="332"/>
      <c r="U949" s="332"/>
      <c r="V949" s="332"/>
      <c r="W949" s="332"/>
      <c r="X949" s="332"/>
      <c r="Y949" s="332"/>
      <c r="Z949" s="332"/>
      <c r="AA949" s="332"/>
      <c r="AB949" s="302"/>
    </row>
    <row r="950" spans="1:91" s="90" customFormat="1" ht="14.1" customHeight="1" x14ac:dyDescent="0.2">
      <c r="A950" s="301"/>
      <c r="B950" s="350" t="s">
        <v>318</v>
      </c>
      <c r="C950" s="101"/>
      <c r="D950" s="101"/>
      <c r="E950" s="101"/>
      <c r="F950" s="370" t="s">
        <v>319</v>
      </c>
      <c r="G950" s="149">
        <v>5000</v>
      </c>
      <c r="H950" s="149"/>
      <c r="I950" s="329">
        <f t="shared" ref="I950:I951" si="1704">G950+H950</f>
        <v>5000</v>
      </c>
      <c r="J950" s="329">
        <f t="shared" ref="J950:J951" si="1705">I950</f>
        <v>5000</v>
      </c>
      <c r="K950" s="274"/>
      <c r="L950" s="274"/>
      <c r="M950" s="274"/>
      <c r="N950" s="275">
        <f t="shared" ref="N950:N951" si="1706">J950+K950-L950+M950</f>
        <v>5000</v>
      </c>
      <c r="O950" s="274"/>
      <c r="P950" s="274">
        <v>5000</v>
      </c>
      <c r="Q950" s="274"/>
      <c r="R950" s="274"/>
      <c r="S950" s="274">
        <f t="shared" ref="S950:S951" si="1707">SUM(O950:R950)</f>
        <v>5000</v>
      </c>
      <c r="T950" s="274"/>
      <c r="U950" s="274">
        <v>5000</v>
      </c>
      <c r="V950" s="274"/>
      <c r="W950" s="274"/>
      <c r="X950" s="274">
        <f t="shared" ref="X950:X951" si="1708">SUM(T950:W950)</f>
        <v>5000</v>
      </c>
      <c r="Y950" s="274">
        <f t="shared" ref="Y950:Y951" si="1709">I950-N950</f>
        <v>0</v>
      </c>
      <c r="Z950" s="274">
        <f t="shared" ref="Z950:Z951" si="1710">N950-S950</f>
        <v>0</v>
      </c>
      <c r="AA950" s="274"/>
      <c r="AB950" s="306">
        <f t="shared" ref="AB950:AB951" si="1711">+S950-X950-AA950</f>
        <v>0</v>
      </c>
    </row>
    <row r="951" spans="1:91" s="90" customFormat="1" ht="14.1" hidden="1" customHeight="1" x14ac:dyDescent="0.2">
      <c r="A951" s="301"/>
      <c r="B951" s="350" t="s">
        <v>320</v>
      </c>
      <c r="C951" s="101"/>
      <c r="D951" s="101"/>
      <c r="E951" s="101"/>
      <c r="F951" s="370" t="s">
        <v>321</v>
      </c>
      <c r="G951" s="149"/>
      <c r="H951" s="149"/>
      <c r="I951" s="329">
        <f t="shared" si="1704"/>
        <v>0</v>
      </c>
      <c r="J951" s="329">
        <f t="shared" si="1705"/>
        <v>0</v>
      </c>
      <c r="K951" s="274"/>
      <c r="L951" s="274"/>
      <c r="M951" s="274"/>
      <c r="N951" s="275">
        <f t="shared" si="1706"/>
        <v>0</v>
      </c>
      <c r="O951" s="274"/>
      <c r="P951" s="274"/>
      <c r="Q951" s="274"/>
      <c r="R951" s="274"/>
      <c r="S951" s="274">
        <f t="shared" si="1707"/>
        <v>0</v>
      </c>
      <c r="T951" s="274"/>
      <c r="U951" s="274"/>
      <c r="V951" s="274"/>
      <c r="W951" s="274"/>
      <c r="X951" s="274">
        <f t="shared" si="1708"/>
        <v>0</v>
      </c>
      <c r="Y951" s="274">
        <f t="shared" si="1709"/>
        <v>0</v>
      </c>
      <c r="Z951" s="274">
        <f t="shared" si="1710"/>
        <v>0</v>
      </c>
      <c r="AA951" s="274"/>
      <c r="AB951" s="306">
        <f t="shared" si="1711"/>
        <v>0</v>
      </c>
    </row>
    <row r="952" spans="1:91" s="90" customFormat="1" ht="14.1" customHeight="1" x14ac:dyDescent="0.2">
      <c r="A952" s="301"/>
      <c r="B952" s="351" t="s">
        <v>322</v>
      </c>
      <c r="C952" s="101"/>
      <c r="D952" s="101"/>
      <c r="E952" s="101"/>
      <c r="F952" s="370"/>
      <c r="G952" s="149"/>
      <c r="H952" s="149"/>
      <c r="I952" s="149"/>
      <c r="J952" s="149"/>
      <c r="K952" s="159"/>
      <c r="L952" s="159"/>
      <c r="M952" s="159"/>
      <c r="N952" s="159"/>
      <c r="O952" s="159"/>
      <c r="P952" s="159"/>
      <c r="Q952" s="159"/>
      <c r="R952" s="159"/>
      <c r="S952" s="159"/>
      <c r="T952" s="159"/>
      <c r="U952" s="159"/>
      <c r="V952" s="159"/>
      <c r="W952" s="159"/>
      <c r="X952" s="159"/>
      <c r="Y952" s="159"/>
      <c r="Z952" s="159"/>
      <c r="AA952" s="159"/>
      <c r="AB952" s="583"/>
    </row>
    <row r="953" spans="1:91" s="90" customFormat="1" ht="14.1" customHeight="1" x14ac:dyDescent="0.2">
      <c r="A953" s="301"/>
      <c r="B953" s="350" t="s">
        <v>323</v>
      </c>
      <c r="C953" s="101"/>
      <c r="D953" s="101"/>
      <c r="E953" s="101"/>
      <c r="F953" s="370" t="s">
        <v>324</v>
      </c>
      <c r="G953" s="149">
        <v>6718.33</v>
      </c>
      <c r="H953" s="149"/>
      <c r="I953" s="329">
        <f t="shared" ref="I953:I955" si="1712">G953+H953</f>
        <v>6718.33</v>
      </c>
      <c r="J953" s="329">
        <f t="shared" ref="J953:J955" si="1713">I953</f>
        <v>6718.33</v>
      </c>
      <c r="K953" s="274"/>
      <c r="L953" s="274"/>
      <c r="M953" s="274"/>
      <c r="N953" s="275">
        <f t="shared" ref="N953:N955" si="1714">J953+K953-L953+M953</f>
        <v>6718.33</v>
      </c>
      <c r="O953" s="274">
        <v>2400</v>
      </c>
      <c r="P953" s="274"/>
      <c r="Q953" s="274">
        <f>2000+2000+318.33</f>
        <v>4318.33</v>
      </c>
      <c r="R953" s="274"/>
      <c r="S953" s="274">
        <f t="shared" ref="S953:S955" si="1715">SUM(O953:R953)</f>
        <v>6718.33</v>
      </c>
      <c r="T953" s="274">
        <v>2400</v>
      </c>
      <c r="U953" s="274"/>
      <c r="V953" s="274">
        <f>2000+2000+318.33</f>
        <v>4318.33</v>
      </c>
      <c r="W953" s="274"/>
      <c r="X953" s="274">
        <f t="shared" ref="X953:X955" si="1716">SUM(T953:W953)</f>
        <v>6718.33</v>
      </c>
      <c r="Y953" s="274">
        <f t="shared" ref="Y953:Y955" si="1717">I953-N953</f>
        <v>0</v>
      </c>
      <c r="Z953" s="274">
        <f t="shared" ref="Z953:Z955" si="1718">N953-S953</f>
        <v>0</v>
      </c>
      <c r="AA953" s="274"/>
      <c r="AB953" s="306">
        <f t="shared" ref="AB953:AB955" si="1719">+S953-X953-AA953</f>
        <v>0</v>
      </c>
    </row>
    <row r="954" spans="1:91" s="90" customFormat="1" ht="14.1" hidden="1" customHeight="1" x14ac:dyDescent="0.2">
      <c r="A954" s="301"/>
      <c r="B954" s="350" t="s">
        <v>720</v>
      </c>
      <c r="C954" s="718"/>
      <c r="D954" s="718"/>
      <c r="E954" s="718"/>
      <c r="F954" s="370" t="s">
        <v>721</v>
      </c>
      <c r="G954" s="149"/>
      <c r="H954" s="149"/>
      <c r="I954" s="329">
        <f t="shared" ref="I954" si="1720">G954+H954</f>
        <v>0</v>
      </c>
      <c r="J954" s="329">
        <f t="shared" ref="J954" si="1721">I954</f>
        <v>0</v>
      </c>
      <c r="K954" s="274"/>
      <c r="L954" s="274"/>
      <c r="M954" s="274"/>
      <c r="N954" s="275">
        <f t="shared" si="1714"/>
        <v>0</v>
      </c>
      <c r="O954" s="274"/>
      <c r="P954" s="274"/>
      <c r="Q954" s="274"/>
      <c r="R954" s="274"/>
      <c r="S954" s="274">
        <f t="shared" ref="S954" si="1722">SUM(O954:R954)</f>
        <v>0</v>
      </c>
      <c r="T954" s="274"/>
      <c r="U954" s="274"/>
      <c r="V954" s="274"/>
      <c r="W954" s="274"/>
      <c r="X954" s="274">
        <f t="shared" ref="X954" si="1723">SUM(T954:W954)</f>
        <v>0</v>
      </c>
      <c r="Y954" s="274">
        <f t="shared" ref="Y954" si="1724">I954-N954</f>
        <v>0</v>
      </c>
      <c r="Z954" s="274">
        <f t="shared" ref="Z954" si="1725">N954-S954</f>
        <v>0</v>
      </c>
      <c r="AA954" s="274"/>
      <c r="AB954" s="306">
        <f t="shared" ref="AB954" si="1726">+S954-X954-AA954</f>
        <v>0</v>
      </c>
    </row>
    <row r="955" spans="1:91" s="90" customFormat="1" ht="14.1" hidden="1" customHeight="1" x14ac:dyDescent="0.2">
      <c r="A955" s="301"/>
      <c r="B955" s="350" t="s">
        <v>325</v>
      </c>
      <c r="C955" s="101"/>
      <c r="D955" s="101"/>
      <c r="E955" s="101"/>
      <c r="F955" s="370" t="s">
        <v>326</v>
      </c>
      <c r="G955" s="149"/>
      <c r="H955" s="149"/>
      <c r="I955" s="329">
        <f t="shared" si="1712"/>
        <v>0</v>
      </c>
      <c r="J955" s="329">
        <f t="shared" si="1713"/>
        <v>0</v>
      </c>
      <c r="K955" s="274"/>
      <c r="L955" s="274"/>
      <c r="M955" s="274"/>
      <c r="N955" s="275">
        <f t="shared" si="1714"/>
        <v>0</v>
      </c>
      <c r="O955" s="274"/>
      <c r="P955" s="274"/>
      <c r="Q955" s="274"/>
      <c r="R955" s="274"/>
      <c r="S955" s="274">
        <f t="shared" si="1715"/>
        <v>0</v>
      </c>
      <c r="T955" s="274"/>
      <c r="U955" s="274"/>
      <c r="V955" s="274"/>
      <c r="W955" s="274"/>
      <c r="X955" s="274">
        <f t="shared" si="1716"/>
        <v>0</v>
      </c>
      <c r="Y955" s="274">
        <f t="shared" si="1717"/>
        <v>0</v>
      </c>
      <c r="Z955" s="274">
        <f t="shared" si="1718"/>
        <v>0</v>
      </c>
      <c r="AA955" s="274"/>
      <c r="AB955" s="306">
        <f t="shared" si="1719"/>
        <v>0</v>
      </c>
    </row>
    <row r="956" spans="1:91" s="90" customFormat="1" ht="14.1" customHeight="1" x14ac:dyDescent="0.2">
      <c r="A956" s="301"/>
      <c r="B956" s="351" t="s">
        <v>327</v>
      </c>
      <c r="C956" s="101"/>
      <c r="D956" s="101"/>
      <c r="E956" s="101"/>
      <c r="F956" s="370"/>
      <c r="G956" s="149"/>
      <c r="H956" s="149"/>
      <c r="I956" s="149"/>
      <c r="J956" s="149"/>
      <c r="K956" s="159"/>
      <c r="L956" s="159"/>
      <c r="M956" s="159"/>
      <c r="N956" s="159"/>
      <c r="O956" s="159"/>
      <c r="P956" s="159"/>
      <c r="Q956" s="159"/>
      <c r="R956" s="159"/>
      <c r="S956" s="159"/>
      <c r="T956" s="159"/>
      <c r="U956" s="159"/>
      <c r="V956" s="159"/>
      <c r="W956" s="159"/>
      <c r="X956" s="159"/>
      <c r="Y956" s="159"/>
      <c r="Z956" s="159"/>
      <c r="AA956" s="159"/>
      <c r="AB956" s="583"/>
    </row>
    <row r="957" spans="1:91" s="90" customFormat="1" ht="10.5" customHeight="1" x14ac:dyDescent="0.2">
      <c r="A957" s="301"/>
      <c r="B957" s="350" t="s">
        <v>328</v>
      </c>
      <c r="C957" s="101"/>
      <c r="D957" s="101"/>
      <c r="E957" s="101"/>
      <c r="F957" s="370" t="s">
        <v>743</v>
      </c>
      <c r="G957" s="149">
        <v>5000</v>
      </c>
      <c r="H957" s="149"/>
      <c r="I957" s="329">
        <f t="shared" ref="I957:I962" si="1727">G957+H957</f>
        <v>5000</v>
      </c>
      <c r="J957" s="329">
        <f t="shared" ref="J957:J962" si="1728">I957</f>
        <v>5000</v>
      </c>
      <c r="K957" s="274"/>
      <c r="L957" s="274"/>
      <c r="M957" s="274"/>
      <c r="N957" s="275">
        <f t="shared" ref="N957:N962" si="1729">J957+K957-L957+M957</f>
        <v>5000</v>
      </c>
      <c r="O957" s="274"/>
      <c r="P957" s="274">
        <v>5000</v>
      </c>
      <c r="Q957" s="274"/>
      <c r="R957" s="274"/>
      <c r="S957" s="274">
        <f t="shared" ref="S957:S962" si="1730">SUM(O957:R957)</f>
        <v>5000</v>
      </c>
      <c r="T957" s="274"/>
      <c r="U957" s="274">
        <v>5000</v>
      </c>
      <c r="V957" s="274"/>
      <c r="W957" s="274"/>
      <c r="X957" s="274">
        <f t="shared" ref="X957:X962" si="1731">SUM(T957:W957)</f>
        <v>5000</v>
      </c>
      <c r="Y957" s="274">
        <f t="shared" ref="Y957:Y962" si="1732">I957-N957</f>
        <v>0</v>
      </c>
      <c r="Z957" s="274">
        <f t="shared" ref="Z957:Z962" si="1733">N957-S957</f>
        <v>0</v>
      </c>
      <c r="AA957" s="274"/>
      <c r="AB957" s="306">
        <f t="shared" ref="AB957:AB962" si="1734">+S957-X957-AA957</f>
        <v>0</v>
      </c>
    </row>
    <row r="958" spans="1:91" s="90" customFormat="1" ht="14.1" hidden="1" customHeight="1" x14ac:dyDescent="0.2">
      <c r="A958" s="301"/>
      <c r="B958" s="350" t="s">
        <v>330</v>
      </c>
      <c r="C958" s="101"/>
      <c r="D958" s="101"/>
      <c r="E958" s="101"/>
      <c r="F958" s="370" t="s">
        <v>331</v>
      </c>
      <c r="G958" s="149"/>
      <c r="H958" s="149"/>
      <c r="I958" s="329">
        <f t="shared" si="1727"/>
        <v>0</v>
      </c>
      <c r="J958" s="329">
        <f t="shared" si="1728"/>
        <v>0</v>
      </c>
      <c r="K958" s="274"/>
      <c r="L958" s="274"/>
      <c r="M958" s="274"/>
      <c r="N958" s="275">
        <f t="shared" si="1729"/>
        <v>0</v>
      </c>
      <c r="O958" s="274"/>
      <c r="P958" s="274"/>
      <c r="Q958" s="274"/>
      <c r="R958" s="274"/>
      <c r="S958" s="274">
        <f t="shared" si="1730"/>
        <v>0</v>
      </c>
      <c r="T958" s="274"/>
      <c r="U958" s="274"/>
      <c r="V958" s="274"/>
      <c r="W958" s="274"/>
      <c r="X958" s="274">
        <f t="shared" si="1731"/>
        <v>0</v>
      </c>
      <c r="Y958" s="274">
        <f t="shared" si="1732"/>
        <v>0</v>
      </c>
      <c r="Z958" s="274">
        <f t="shared" si="1733"/>
        <v>0</v>
      </c>
      <c r="AA958" s="274"/>
      <c r="AB958" s="306">
        <f t="shared" si="1734"/>
        <v>0</v>
      </c>
    </row>
    <row r="959" spans="1:91" s="90" customFormat="1" ht="14.1" customHeight="1" x14ac:dyDescent="0.2">
      <c r="A959" s="301"/>
      <c r="B959" s="350" t="s">
        <v>332</v>
      </c>
      <c r="C959" s="101"/>
      <c r="D959" s="101"/>
      <c r="E959" s="101"/>
      <c r="F959" s="370" t="s">
        <v>333</v>
      </c>
      <c r="G959" s="149">
        <v>40499.5</v>
      </c>
      <c r="H959" s="149"/>
      <c r="I959" s="329">
        <f t="shared" si="1727"/>
        <v>40499.5</v>
      </c>
      <c r="J959" s="329">
        <f t="shared" si="1728"/>
        <v>40499.5</v>
      </c>
      <c r="K959" s="274"/>
      <c r="L959" s="274"/>
      <c r="M959" s="274"/>
      <c r="N959" s="275">
        <f t="shared" si="1729"/>
        <v>40499.5</v>
      </c>
      <c r="O959" s="274"/>
      <c r="P959" s="274"/>
      <c r="Q959" s="274">
        <f>17500.5+10000</f>
        <v>27500.5</v>
      </c>
      <c r="R959" s="274">
        <f>3500+9499</f>
        <v>12999</v>
      </c>
      <c r="S959" s="274">
        <f t="shared" si="1730"/>
        <v>40499.5</v>
      </c>
      <c r="T959" s="274"/>
      <c r="U959" s="274"/>
      <c r="V959" s="274">
        <f>10000+17500.5</f>
        <v>27500.5</v>
      </c>
      <c r="W959" s="274">
        <f>3500+9499</f>
        <v>12999</v>
      </c>
      <c r="X959" s="274">
        <f t="shared" si="1731"/>
        <v>40499.5</v>
      </c>
      <c r="Y959" s="274">
        <f t="shared" si="1732"/>
        <v>0</v>
      </c>
      <c r="Z959" s="274">
        <f t="shared" si="1733"/>
        <v>0</v>
      </c>
      <c r="AA959" s="274"/>
      <c r="AB959" s="306">
        <f t="shared" si="1734"/>
        <v>0</v>
      </c>
    </row>
    <row r="960" spans="1:91" s="90" customFormat="1" ht="14.1" hidden="1" customHeight="1" x14ac:dyDescent="0.2">
      <c r="A960" s="301"/>
      <c r="B960" s="350" t="s">
        <v>334</v>
      </c>
      <c r="C960" s="101"/>
      <c r="D960" s="101"/>
      <c r="E960" s="101"/>
      <c r="F960" s="370" t="s">
        <v>335</v>
      </c>
      <c r="G960" s="149"/>
      <c r="H960" s="149"/>
      <c r="I960" s="329">
        <f t="shared" si="1727"/>
        <v>0</v>
      </c>
      <c r="J960" s="329">
        <f t="shared" si="1728"/>
        <v>0</v>
      </c>
      <c r="K960" s="274"/>
      <c r="L960" s="274"/>
      <c r="M960" s="274"/>
      <c r="N960" s="275">
        <f t="shared" si="1729"/>
        <v>0</v>
      </c>
      <c r="O960" s="274"/>
      <c r="P960" s="274"/>
      <c r="Q960" s="274"/>
      <c r="R960" s="274"/>
      <c r="S960" s="274">
        <f t="shared" si="1730"/>
        <v>0</v>
      </c>
      <c r="T960" s="274"/>
      <c r="U960" s="274"/>
      <c r="V960" s="274"/>
      <c r="W960" s="274"/>
      <c r="X960" s="274">
        <f t="shared" si="1731"/>
        <v>0</v>
      </c>
      <c r="Y960" s="274">
        <f t="shared" si="1732"/>
        <v>0</v>
      </c>
      <c r="Z960" s="274">
        <f t="shared" si="1733"/>
        <v>0</v>
      </c>
      <c r="AA960" s="274"/>
      <c r="AB960" s="306">
        <f t="shared" si="1734"/>
        <v>0</v>
      </c>
    </row>
    <row r="961" spans="1:28" s="90" customFormat="1" ht="14.1" customHeight="1" x14ac:dyDescent="0.2">
      <c r="A961" s="301"/>
      <c r="B961" s="350" t="s">
        <v>336</v>
      </c>
      <c r="C961" s="101"/>
      <c r="D961" s="101"/>
      <c r="E961" s="101"/>
      <c r="F961" s="370" t="s">
        <v>337</v>
      </c>
      <c r="G961" s="149">
        <v>23337.14</v>
      </c>
      <c r="H961" s="149"/>
      <c r="I961" s="329">
        <f t="shared" si="1727"/>
        <v>23337.14</v>
      </c>
      <c r="J961" s="329">
        <f t="shared" si="1728"/>
        <v>23337.14</v>
      </c>
      <c r="K961" s="274"/>
      <c r="L961" s="274"/>
      <c r="M961" s="274"/>
      <c r="N961" s="275">
        <f t="shared" si="1729"/>
        <v>23337.14</v>
      </c>
      <c r="O961" s="274"/>
      <c r="P961" s="274">
        <f>1000+15000</f>
        <v>16000</v>
      </c>
      <c r="Q961" s="274">
        <v>7337.14</v>
      </c>
      <c r="R961" s="274"/>
      <c r="S961" s="274">
        <f t="shared" si="1730"/>
        <v>23337.14</v>
      </c>
      <c r="T961" s="274"/>
      <c r="U961" s="274">
        <f>1000+15000</f>
        <v>16000</v>
      </c>
      <c r="V961" s="274">
        <v>7337.14</v>
      </c>
      <c r="W961" s="274"/>
      <c r="X961" s="274">
        <f t="shared" si="1731"/>
        <v>23337.14</v>
      </c>
      <c r="Y961" s="274">
        <f t="shared" si="1732"/>
        <v>0</v>
      </c>
      <c r="Z961" s="274">
        <f t="shared" si="1733"/>
        <v>0</v>
      </c>
      <c r="AA961" s="274"/>
      <c r="AB961" s="306">
        <f t="shared" si="1734"/>
        <v>0</v>
      </c>
    </row>
    <row r="962" spans="1:28" s="90" customFormat="1" ht="14.1" hidden="1" customHeight="1" x14ac:dyDescent="0.2">
      <c r="A962" s="301"/>
      <c r="B962" s="350" t="s">
        <v>338</v>
      </c>
      <c r="C962" s="101"/>
      <c r="D962" s="101"/>
      <c r="E962" s="101"/>
      <c r="F962" s="370" t="s">
        <v>339</v>
      </c>
      <c r="G962" s="149"/>
      <c r="H962" s="149"/>
      <c r="I962" s="329">
        <f t="shared" si="1727"/>
        <v>0</v>
      </c>
      <c r="J962" s="329">
        <f t="shared" si="1728"/>
        <v>0</v>
      </c>
      <c r="K962" s="274"/>
      <c r="L962" s="274"/>
      <c r="M962" s="274"/>
      <c r="N962" s="275">
        <f t="shared" si="1729"/>
        <v>0</v>
      </c>
      <c r="O962" s="274"/>
      <c r="P962" s="274"/>
      <c r="Q962" s="274"/>
      <c r="R962" s="274"/>
      <c r="S962" s="274">
        <f t="shared" si="1730"/>
        <v>0</v>
      </c>
      <c r="T962" s="274"/>
      <c r="U962" s="274"/>
      <c r="V962" s="274"/>
      <c r="W962" s="274"/>
      <c r="X962" s="274">
        <f t="shared" si="1731"/>
        <v>0</v>
      </c>
      <c r="Y962" s="274">
        <f t="shared" si="1732"/>
        <v>0</v>
      </c>
      <c r="Z962" s="274">
        <f t="shared" si="1733"/>
        <v>0</v>
      </c>
      <c r="AA962" s="274"/>
      <c r="AB962" s="306">
        <f t="shared" si="1734"/>
        <v>0</v>
      </c>
    </row>
    <row r="963" spans="1:28" s="90" customFormat="1" ht="14.1" hidden="1" customHeight="1" x14ac:dyDescent="0.2">
      <c r="A963" s="301"/>
      <c r="B963" s="351" t="s">
        <v>340</v>
      </c>
      <c r="C963" s="101"/>
      <c r="D963" s="101"/>
      <c r="E963" s="101"/>
      <c r="F963" s="370"/>
      <c r="G963" s="149"/>
      <c r="H963" s="149"/>
      <c r="I963" s="149"/>
      <c r="J963" s="149"/>
      <c r="K963" s="159"/>
      <c r="L963" s="159"/>
      <c r="M963" s="159"/>
      <c r="N963" s="159"/>
      <c r="O963" s="159"/>
      <c r="P963" s="159"/>
      <c r="Q963" s="159"/>
      <c r="R963" s="159"/>
      <c r="S963" s="159"/>
      <c r="T963" s="159"/>
      <c r="U963" s="159"/>
      <c r="V963" s="159"/>
      <c r="W963" s="159"/>
      <c r="X963" s="159"/>
      <c r="Y963" s="159"/>
      <c r="Z963" s="159"/>
      <c r="AA963" s="159"/>
      <c r="AB963" s="583"/>
    </row>
    <row r="964" spans="1:28" s="90" customFormat="1" ht="14.1" hidden="1" customHeight="1" x14ac:dyDescent="0.2">
      <c r="A964" s="301"/>
      <c r="B964" s="350" t="s">
        <v>341</v>
      </c>
      <c r="C964" s="101"/>
      <c r="D964" s="101"/>
      <c r="E964" s="101"/>
      <c r="F964" s="370" t="s">
        <v>342</v>
      </c>
      <c r="G964" s="149"/>
      <c r="H964" s="149"/>
      <c r="I964" s="329">
        <f t="shared" ref="I964:I965" si="1735">G964+H964</f>
        <v>0</v>
      </c>
      <c r="J964" s="329">
        <f t="shared" ref="J964:J965" si="1736">I964</f>
        <v>0</v>
      </c>
      <c r="K964" s="274"/>
      <c r="L964" s="274"/>
      <c r="M964" s="274"/>
      <c r="N964" s="275">
        <f t="shared" ref="N964:N965" si="1737">J964+K964-L964+M964</f>
        <v>0</v>
      </c>
      <c r="O964" s="274"/>
      <c r="P964" s="274"/>
      <c r="Q964" s="274"/>
      <c r="R964" s="274"/>
      <c r="S964" s="274">
        <f t="shared" ref="S964:S965" si="1738">SUM(O964:R964)</f>
        <v>0</v>
      </c>
      <c r="T964" s="274"/>
      <c r="U964" s="274"/>
      <c r="V964" s="274"/>
      <c r="W964" s="274"/>
      <c r="X964" s="274">
        <f t="shared" ref="X964:X965" si="1739">SUM(T964:W964)</f>
        <v>0</v>
      </c>
      <c r="Y964" s="274">
        <f t="shared" ref="Y964:Y965" si="1740">I964-N964</f>
        <v>0</v>
      </c>
      <c r="Z964" s="274">
        <f t="shared" ref="Z964:Z965" si="1741">N964-S964</f>
        <v>0</v>
      </c>
      <c r="AA964" s="274"/>
      <c r="AB964" s="306">
        <f t="shared" ref="AB964:AB965" si="1742">+S964-X964-AA964</f>
        <v>0</v>
      </c>
    </row>
    <row r="965" spans="1:28" s="90" customFormat="1" ht="14.1" hidden="1" customHeight="1" x14ac:dyDescent="0.2">
      <c r="A965" s="301"/>
      <c r="B965" s="350" t="s">
        <v>343</v>
      </c>
      <c r="C965" s="101"/>
      <c r="D965" s="101"/>
      <c r="E965" s="101"/>
      <c r="F965" s="370" t="s">
        <v>344</v>
      </c>
      <c r="G965" s="149"/>
      <c r="H965" s="149"/>
      <c r="I965" s="329">
        <f t="shared" si="1735"/>
        <v>0</v>
      </c>
      <c r="J965" s="329">
        <f t="shared" si="1736"/>
        <v>0</v>
      </c>
      <c r="K965" s="274"/>
      <c r="L965" s="274"/>
      <c r="M965" s="274"/>
      <c r="N965" s="275">
        <f t="shared" si="1737"/>
        <v>0</v>
      </c>
      <c r="O965" s="274"/>
      <c r="P965" s="274"/>
      <c r="Q965" s="274"/>
      <c r="R965" s="274"/>
      <c r="S965" s="274">
        <f t="shared" si="1738"/>
        <v>0</v>
      </c>
      <c r="T965" s="274"/>
      <c r="U965" s="274"/>
      <c r="V965" s="274"/>
      <c r="W965" s="274"/>
      <c r="X965" s="274">
        <f t="shared" si="1739"/>
        <v>0</v>
      </c>
      <c r="Y965" s="274">
        <f t="shared" si="1740"/>
        <v>0</v>
      </c>
      <c r="Z965" s="274">
        <f t="shared" si="1741"/>
        <v>0</v>
      </c>
      <c r="AA965" s="274"/>
      <c r="AB965" s="306">
        <f t="shared" si="1742"/>
        <v>0</v>
      </c>
    </row>
    <row r="966" spans="1:28" s="90" customFormat="1" ht="14.1" customHeight="1" x14ac:dyDescent="0.2">
      <c r="A966" s="301"/>
      <c r="B966" s="351" t="s">
        <v>345</v>
      </c>
      <c r="C966" s="101"/>
      <c r="D966" s="101"/>
      <c r="E966" s="101"/>
      <c r="F966" s="370"/>
      <c r="G966" s="149"/>
      <c r="H966" s="149"/>
      <c r="I966" s="149"/>
      <c r="J966" s="149"/>
      <c r="K966" s="159"/>
      <c r="L966" s="159"/>
      <c r="M966" s="159"/>
      <c r="N966" s="159"/>
      <c r="O966" s="159"/>
      <c r="P966" s="159"/>
      <c r="Q966" s="159"/>
      <c r="R966" s="159"/>
      <c r="S966" s="159"/>
      <c r="T966" s="159"/>
      <c r="U966" s="159"/>
      <c r="V966" s="159"/>
      <c r="W966" s="159"/>
      <c r="X966" s="159"/>
      <c r="Y966" s="159"/>
      <c r="Z966" s="159"/>
      <c r="AA966" s="159"/>
      <c r="AB966" s="583"/>
    </row>
    <row r="967" spans="1:28" s="90" customFormat="1" ht="14.1" hidden="1" customHeight="1" x14ac:dyDescent="0.2">
      <c r="A967" s="301"/>
      <c r="B967" s="350" t="s">
        <v>346</v>
      </c>
      <c r="C967" s="101"/>
      <c r="D967" s="101"/>
      <c r="E967" s="101"/>
      <c r="F967" s="370" t="s">
        <v>347</v>
      </c>
      <c r="G967" s="149"/>
      <c r="H967" s="149"/>
      <c r="I967" s="329">
        <f t="shared" ref="I967:I971" si="1743">G967+H967</f>
        <v>0</v>
      </c>
      <c r="J967" s="329">
        <f t="shared" ref="J967:J971" si="1744">I967</f>
        <v>0</v>
      </c>
      <c r="K967" s="274"/>
      <c r="L967" s="274"/>
      <c r="M967" s="274"/>
      <c r="N967" s="275">
        <f t="shared" ref="N967:N971" si="1745">J967+K967-L967+M967</f>
        <v>0</v>
      </c>
      <c r="O967" s="274"/>
      <c r="P967" s="274"/>
      <c r="Q967" s="274"/>
      <c r="R967" s="274"/>
      <c r="S967" s="274">
        <f t="shared" ref="S967:S971" si="1746">SUM(O967:R967)</f>
        <v>0</v>
      </c>
      <c r="T967" s="274"/>
      <c r="U967" s="274"/>
      <c r="V967" s="274"/>
      <c r="W967" s="274"/>
      <c r="X967" s="274">
        <f t="shared" ref="X967:X971" si="1747">SUM(T967:W967)</f>
        <v>0</v>
      </c>
      <c r="Y967" s="274">
        <f t="shared" ref="Y967:Y971" si="1748">I967-N967</f>
        <v>0</v>
      </c>
      <c r="Z967" s="274">
        <f t="shared" ref="Z967:Z971" si="1749">N967-S967</f>
        <v>0</v>
      </c>
      <c r="AA967" s="274"/>
      <c r="AB967" s="306">
        <f t="shared" ref="AB967:AB971" si="1750">+S967-X967-AA967</f>
        <v>0</v>
      </c>
    </row>
    <row r="968" spans="1:28" s="90" customFormat="1" ht="14.1" hidden="1" customHeight="1" x14ac:dyDescent="0.2">
      <c r="A968" s="301"/>
      <c r="B968" s="350" t="s">
        <v>348</v>
      </c>
      <c r="C968" s="101"/>
      <c r="D968" s="101"/>
      <c r="E968" s="101"/>
      <c r="F968" s="370" t="s">
        <v>349</v>
      </c>
      <c r="G968" s="149"/>
      <c r="H968" s="149"/>
      <c r="I968" s="329">
        <f t="shared" si="1743"/>
        <v>0</v>
      </c>
      <c r="J968" s="329">
        <f t="shared" si="1744"/>
        <v>0</v>
      </c>
      <c r="K968" s="274"/>
      <c r="L968" s="274"/>
      <c r="M968" s="274"/>
      <c r="N968" s="275">
        <f t="shared" si="1745"/>
        <v>0</v>
      </c>
      <c r="O968" s="274"/>
      <c r="P968" s="274"/>
      <c r="Q968" s="274"/>
      <c r="R968" s="274"/>
      <c r="S968" s="274">
        <f t="shared" si="1746"/>
        <v>0</v>
      </c>
      <c r="T968" s="274"/>
      <c r="U968" s="274"/>
      <c r="V968" s="274"/>
      <c r="W968" s="274"/>
      <c r="X968" s="274">
        <f t="shared" si="1747"/>
        <v>0</v>
      </c>
      <c r="Y968" s="274">
        <f t="shared" si="1748"/>
        <v>0</v>
      </c>
      <c r="Z968" s="274">
        <f t="shared" si="1749"/>
        <v>0</v>
      </c>
      <c r="AA968" s="274"/>
      <c r="AB968" s="306">
        <f t="shared" si="1750"/>
        <v>0</v>
      </c>
    </row>
    <row r="969" spans="1:28" s="90" customFormat="1" ht="14.1" hidden="1" customHeight="1" x14ac:dyDescent="0.2">
      <c r="A969" s="301"/>
      <c r="B969" s="350" t="s">
        <v>350</v>
      </c>
      <c r="C969" s="101"/>
      <c r="D969" s="101"/>
      <c r="E969" s="101"/>
      <c r="F969" s="370" t="s">
        <v>351</v>
      </c>
      <c r="G969" s="149"/>
      <c r="H969" s="149"/>
      <c r="I969" s="329">
        <f t="shared" si="1743"/>
        <v>0</v>
      </c>
      <c r="J969" s="329">
        <f t="shared" si="1744"/>
        <v>0</v>
      </c>
      <c r="K969" s="274"/>
      <c r="L969" s="274"/>
      <c r="M969" s="274"/>
      <c r="N969" s="275">
        <f t="shared" si="1745"/>
        <v>0</v>
      </c>
      <c r="O969" s="274"/>
      <c r="P969" s="274"/>
      <c r="Q969" s="274"/>
      <c r="R969" s="274"/>
      <c r="S969" s="274">
        <f t="shared" si="1746"/>
        <v>0</v>
      </c>
      <c r="T969" s="274"/>
      <c r="U969" s="274"/>
      <c r="V969" s="274"/>
      <c r="W969" s="274"/>
      <c r="X969" s="274">
        <f t="shared" si="1747"/>
        <v>0</v>
      </c>
      <c r="Y969" s="274">
        <f t="shared" si="1748"/>
        <v>0</v>
      </c>
      <c r="Z969" s="274">
        <f t="shared" si="1749"/>
        <v>0</v>
      </c>
      <c r="AA969" s="274"/>
      <c r="AB969" s="306">
        <f t="shared" si="1750"/>
        <v>0</v>
      </c>
    </row>
    <row r="970" spans="1:28" s="90" customFormat="1" ht="14.1" hidden="1" customHeight="1" x14ac:dyDescent="0.2">
      <c r="A970" s="301"/>
      <c r="B970" s="350" t="s">
        <v>352</v>
      </c>
      <c r="C970" s="101"/>
      <c r="D970" s="101"/>
      <c r="E970" s="101"/>
      <c r="F970" s="370" t="s">
        <v>353</v>
      </c>
      <c r="G970" s="149"/>
      <c r="H970" s="149"/>
      <c r="I970" s="329">
        <f t="shared" si="1743"/>
        <v>0</v>
      </c>
      <c r="J970" s="329">
        <f t="shared" si="1744"/>
        <v>0</v>
      </c>
      <c r="K970" s="274"/>
      <c r="L970" s="274"/>
      <c r="M970" s="274"/>
      <c r="N970" s="275">
        <f t="shared" si="1745"/>
        <v>0</v>
      </c>
      <c r="O970" s="274"/>
      <c r="P970" s="274"/>
      <c r="Q970" s="274"/>
      <c r="R970" s="274"/>
      <c r="S970" s="274">
        <f t="shared" si="1746"/>
        <v>0</v>
      </c>
      <c r="T970" s="274"/>
      <c r="U970" s="274"/>
      <c r="V970" s="274"/>
      <c r="W970" s="274"/>
      <c r="X970" s="274">
        <f t="shared" si="1747"/>
        <v>0</v>
      </c>
      <c r="Y970" s="274">
        <f t="shared" si="1748"/>
        <v>0</v>
      </c>
      <c r="Z970" s="274">
        <f t="shared" si="1749"/>
        <v>0</v>
      </c>
      <c r="AA970" s="274"/>
      <c r="AB970" s="306">
        <f t="shared" si="1750"/>
        <v>0</v>
      </c>
    </row>
    <row r="971" spans="1:28" s="90" customFormat="1" ht="14.1" hidden="1" customHeight="1" x14ac:dyDescent="0.2">
      <c r="A971" s="301"/>
      <c r="B971" s="350" t="s">
        <v>354</v>
      </c>
      <c r="C971" s="101"/>
      <c r="D971" s="101"/>
      <c r="E971" s="101"/>
      <c r="F971" s="370" t="s">
        <v>355</v>
      </c>
      <c r="G971" s="149"/>
      <c r="H971" s="149"/>
      <c r="I971" s="329">
        <f t="shared" si="1743"/>
        <v>0</v>
      </c>
      <c r="J971" s="329">
        <f t="shared" si="1744"/>
        <v>0</v>
      </c>
      <c r="K971" s="274"/>
      <c r="L971" s="274"/>
      <c r="M971" s="274"/>
      <c r="N971" s="275">
        <f t="shared" si="1745"/>
        <v>0</v>
      </c>
      <c r="O971" s="274"/>
      <c r="P971" s="274"/>
      <c r="Q971" s="274"/>
      <c r="R971" s="274"/>
      <c r="S971" s="274">
        <f t="shared" si="1746"/>
        <v>0</v>
      </c>
      <c r="T971" s="274"/>
      <c r="U971" s="274"/>
      <c r="V971" s="274"/>
      <c r="W971" s="274"/>
      <c r="X971" s="274">
        <f t="shared" si="1747"/>
        <v>0</v>
      </c>
      <c r="Y971" s="274">
        <f t="shared" si="1748"/>
        <v>0</v>
      </c>
      <c r="Z971" s="274">
        <f t="shared" si="1749"/>
        <v>0</v>
      </c>
      <c r="AA971" s="274"/>
      <c r="AB971" s="306">
        <f t="shared" si="1750"/>
        <v>0</v>
      </c>
    </row>
    <row r="972" spans="1:28" s="90" customFormat="1" ht="14.1" hidden="1" customHeight="1" x14ac:dyDescent="0.2">
      <c r="A972" s="301"/>
      <c r="B972" s="351" t="s">
        <v>356</v>
      </c>
      <c r="C972" s="101"/>
      <c r="D972" s="101"/>
      <c r="E972" s="101"/>
      <c r="F972" s="370"/>
      <c r="G972" s="149"/>
      <c r="H972" s="149"/>
      <c r="I972" s="149"/>
      <c r="J972" s="149"/>
      <c r="K972" s="159"/>
      <c r="L972" s="159"/>
      <c r="M972" s="159"/>
      <c r="N972" s="159"/>
      <c r="O972" s="159"/>
      <c r="P972" s="159"/>
      <c r="Q972" s="159"/>
      <c r="R972" s="159"/>
      <c r="S972" s="159"/>
      <c r="T972" s="159"/>
      <c r="U972" s="159"/>
      <c r="V972" s="159"/>
      <c r="W972" s="159"/>
      <c r="X972" s="159"/>
      <c r="Y972" s="159"/>
      <c r="Z972" s="159"/>
      <c r="AA972" s="159"/>
      <c r="AB972" s="583"/>
    </row>
    <row r="973" spans="1:28" s="90" customFormat="1" ht="14.1" hidden="1" customHeight="1" x14ac:dyDescent="0.2">
      <c r="A973" s="301"/>
      <c r="B973" s="350" t="s">
        <v>357</v>
      </c>
      <c r="C973" s="101"/>
      <c r="D973" s="101"/>
      <c r="E973" s="101"/>
      <c r="F973" s="370" t="s">
        <v>358</v>
      </c>
      <c r="G973" s="149"/>
      <c r="H973" s="149"/>
      <c r="I973" s="329">
        <f t="shared" ref="I973" si="1751">G973+H973</f>
        <v>0</v>
      </c>
      <c r="J973" s="329">
        <f t="shared" ref="J973" si="1752">I973</f>
        <v>0</v>
      </c>
      <c r="K973" s="274"/>
      <c r="L973" s="274"/>
      <c r="M973" s="274"/>
      <c r="N973" s="275">
        <f t="shared" ref="N973" si="1753">J973+K973-L973+M973</f>
        <v>0</v>
      </c>
      <c r="O973" s="274"/>
      <c r="P973" s="274"/>
      <c r="Q973" s="274"/>
      <c r="R973" s="274"/>
      <c r="S973" s="274">
        <f t="shared" ref="S973" si="1754">SUM(O973:R973)</f>
        <v>0</v>
      </c>
      <c r="T973" s="274"/>
      <c r="U973" s="274"/>
      <c r="V973" s="274"/>
      <c r="W973" s="274"/>
      <c r="X973" s="274">
        <f t="shared" ref="X973" si="1755">SUM(T973:W973)</f>
        <v>0</v>
      </c>
      <c r="Y973" s="274">
        <f t="shared" ref="Y973" si="1756">I973-N973</f>
        <v>0</v>
      </c>
      <c r="Z973" s="274">
        <f t="shared" ref="Z973" si="1757">N973-S973</f>
        <v>0</v>
      </c>
      <c r="AA973" s="274"/>
      <c r="AB973" s="306">
        <f t="shared" ref="AB973" si="1758">+S973-X973-AA973</f>
        <v>0</v>
      </c>
    </row>
    <row r="974" spans="1:28" s="90" customFormat="1" ht="14.1" customHeight="1" x14ac:dyDescent="0.2">
      <c r="A974" s="301"/>
      <c r="B974" s="351" t="s">
        <v>359</v>
      </c>
      <c r="C974" s="101"/>
      <c r="D974" s="101"/>
      <c r="E974" s="101"/>
      <c r="F974" s="370"/>
      <c r="G974" s="149"/>
      <c r="H974" s="149"/>
      <c r="I974" s="149"/>
      <c r="J974" s="149"/>
      <c r="K974" s="159"/>
      <c r="L974" s="159"/>
      <c r="M974" s="159"/>
      <c r="N974" s="159"/>
      <c r="O974" s="159"/>
      <c r="P974" s="159"/>
      <c r="Q974" s="159"/>
      <c r="R974" s="159"/>
      <c r="S974" s="159"/>
      <c r="T974" s="159"/>
      <c r="U974" s="159"/>
      <c r="V974" s="159"/>
      <c r="W974" s="159"/>
      <c r="X974" s="159"/>
      <c r="Y974" s="159"/>
      <c r="Z974" s="159"/>
      <c r="AA974" s="159"/>
      <c r="AB974" s="583"/>
    </row>
    <row r="975" spans="1:28" s="90" customFormat="1" ht="14.1" hidden="1" customHeight="1" x14ac:dyDescent="0.2">
      <c r="A975" s="301"/>
      <c r="B975" s="350" t="s">
        <v>360</v>
      </c>
      <c r="C975" s="101"/>
      <c r="D975" s="101"/>
      <c r="E975" s="101"/>
      <c r="F975" s="370" t="s">
        <v>361</v>
      </c>
      <c r="G975" s="149"/>
      <c r="H975" s="149"/>
      <c r="I975" s="329">
        <f t="shared" ref="I975:I978" si="1759">G975+H975</f>
        <v>0</v>
      </c>
      <c r="J975" s="329">
        <f t="shared" ref="J975:J978" si="1760">I975</f>
        <v>0</v>
      </c>
      <c r="K975" s="274"/>
      <c r="L975" s="274"/>
      <c r="M975" s="274"/>
      <c r="N975" s="275">
        <f t="shared" ref="N975:N978" si="1761">J975+K975-L975+M975</f>
        <v>0</v>
      </c>
      <c r="O975" s="274"/>
      <c r="P975" s="274"/>
      <c r="Q975" s="274"/>
      <c r="R975" s="274"/>
      <c r="S975" s="274">
        <f t="shared" ref="S975:S978" si="1762">SUM(O975:R975)</f>
        <v>0</v>
      </c>
      <c r="T975" s="274"/>
      <c r="U975" s="274"/>
      <c r="V975" s="274"/>
      <c r="W975" s="274"/>
      <c r="X975" s="274">
        <f t="shared" ref="X975:X978" si="1763">SUM(T975:W975)</f>
        <v>0</v>
      </c>
      <c r="Y975" s="274">
        <f t="shared" ref="Y975:Y978" si="1764">I975-N975</f>
        <v>0</v>
      </c>
      <c r="Z975" s="274">
        <f t="shared" ref="Z975:Z978" si="1765">N975-S975</f>
        <v>0</v>
      </c>
      <c r="AA975" s="274"/>
      <c r="AB975" s="306">
        <f t="shared" ref="AB975:AB978" si="1766">+S975-X975-AA975</f>
        <v>0</v>
      </c>
    </row>
    <row r="976" spans="1:28" s="90" customFormat="1" ht="14.1" hidden="1" customHeight="1" x14ac:dyDescent="0.2">
      <c r="A976" s="301"/>
      <c r="B976" s="350" t="s">
        <v>362</v>
      </c>
      <c r="C976" s="101"/>
      <c r="D976" s="101"/>
      <c r="E976" s="101"/>
      <c r="F976" s="370" t="s">
        <v>363</v>
      </c>
      <c r="G976" s="149"/>
      <c r="H976" s="149"/>
      <c r="I976" s="329">
        <f t="shared" si="1759"/>
        <v>0</v>
      </c>
      <c r="J976" s="329">
        <f t="shared" si="1760"/>
        <v>0</v>
      </c>
      <c r="K976" s="274"/>
      <c r="L976" s="274"/>
      <c r="M976" s="274"/>
      <c r="N976" s="275">
        <f t="shared" si="1761"/>
        <v>0</v>
      </c>
      <c r="O976" s="274"/>
      <c r="P976" s="274"/>
      <c r="Q976" s="274"/>
      <c r="R976" s="274"/>
      <c r="S976" s="274">
        <f t="shared" si="1762"/>
        <v>0</v>
      </c>
      <c r="T976" s="274"/>
      <c r="U976" s="274"/>
      <c r="V976" s="274"/>
      <c r="W976" s="274"/>
      <c r="X976" s="274">
        <f t="shared" si="1763"/>
        <v>0</v>
      </c>
      <c r="Y976" s="274">
        <f t="shared" si="1764"/>
        <v>0</v>
      </c>
      <c r="Z976" s="274">
        <f t="shared" si="1765"/>
        <v>0</v>
      </c>
      <c r="AA976" s="274"/>
      <c r="AB976" s="306">
        <f t="shared" si="1766"/>
        <v>0</v>
      </c>
    </row>
    <row r="977" spans="1:28" s="90" customFormat="1" ht="14.1" hidden="1" customHeight="1" x14ac:dyDescent="0.2">
      <c r="A977" s="301"/>
      <c r="B977" s="350" t="s">
        <v>722</v>
      </c>
      <c r="C977" s="718"/>
      <c r="D977" s="718"/>
      <c r="E977" s="718"/>
      <c r="F977" s="370" t="s">
        <v>723</v>
      </c>
      <c r="G977" s="149"/>
      <c r="H977" s="149"/>
      <c r="I977" s="329">
        <f t="shared" si="1759"/>
        <v>0</v>
      </c>
      <c r="J977" s="329">
        <f t="shared" si="1760"/>
        <v>0</v>
      </c>
      <c r="K977" s="274"/>
      <c r="L977" s="274"/>
      <c r="M977" s="274"/>
      <c r="N977" s="275">
        <f t="shared" si="1761"/>
        <v>0</v>
      </c>
      <c r="O977" s="274"/>
      <c r="P977" s="274"/>
      <c r="Q977" s="274"/>
      <c r="R977" s="274"/>
      <c r="S977" s="274">
        <f t="shared" si="1762"/>
        <v>0</v>
      </c>
      <c r="T977" s="274"/>
      <c r="U977" s="274"/>
      <c r="V977" s="274"/>
      <c r="W977" s="274"/>
      <c r="X977" s="274">
        <f t="shared" si="1763"/>
        <v>0</v>
      </c>
      <c r="Y977" s="274">
        <f t="shared" si="1764"/>
        <v>0</v>
      </c>
      <c r="Z977" s="274">
        <f t="shared" si="1765"/>
        <v>0</v>
      </c>
      <c r="AA977" s="274"/>
      <c r="AB977" s="306">
        <f t="shared" si="1766"/>
        <v>0</v>
      </c>
    </row>
    <row r="978" spans="1:28" s="90" customFormat="1" ht="14.1" hidden="1" customHeight="1" x14ac:dyDescent="0.2">
      <c r="A978" s="301"/>
      <c r="B978" s="350" t="s">
        <v>364</v>
      </c>
      <c r="C978" s="101"/>
      <c r="D978" s="101"/>
      <c r="E978" s="101"/>
      <c r="F978" s="370" t="s">
        <v>365</v>
      </c>
      <c r="G978" s="149"/>
      <c r="H978" s="149"/>
      <c r="I978" s="329">
        <f t="shared" si="1759"/>
        <v>0</v>
      </c>
      <c r="J978" s="329">
        <f t="shared" si="1760"/>
        <v>0</v>
      </c>
      <c r="K978" s="274"/>
      <c r="L978" s="274"/>
      <c r="M978" s="274"/>
      <c r="N978" s="275">
        <f t="shared" si="1761"/>
        <v>0</v>
      </c>
      <c r="O978" s="274"/>
      <c r="P978" s="274"/>
      <c r="Q978" s="274"/>
      <c r="R978" s="274"/>
      <c r="S978" s="274">
        <f t="shared" si="1762"/>
        <v>0</v>
      </c>
      <c r="T978" s="274"/>
      <c r="U978" s="274"/>
      <c r="V978" s="274"/>
      <c r="W978" s="274"/>
      <c r="X978" s="274">
        <f t="shared" si="1763"/>
        <v>0</v>
      </c>
      <c r="Y978" s="274">
        <f t="shared" si="1764"/>
        <v>0</v>
      </c>
      <c r="Z978" s="274">
        <f t="shared" si="1765"/>
        <v>0</v>
      </c>
      <c r="AA978" s="274"/>
      <c r="AB978" s="306">
        <f t="shared" si="1766"/>
        <v>0</v>
      </c>
    </row>
    <row r="979" spans="1:28" s="90" customFormat="1" ht="14.1" customHeight="1" x14ac:dyDescent="0.2">
      <c r="A979" s="301"/>
      <c r="B979" s="351" t="s">
        <v>366</v>
      </c>
      <c r="C979" s="101"/>
      <c r="D979" s="101"/>
      <c r="E979" s="101"/>
      <c r="F979" s="370"/>
      <c r="G979" s="149"/>
      <c r="H979" s="149"/>
      <c r="I979" s="149"/>
      <c r="J979" s="149"/>
      <c r="K979" s="159"/>
      <c r="L979" s="159"/>
      <c r="M979" s="159"/>
      <c r="N979" s="159"/>
      <c r="O979" s="159"/>
      <c r="P979" s="159"/>
      <c r="Q979" s="159"/>
      <c r="R979" s="159"/>
      <c r="S979" s="159"/>
      <c r="T979" s="159"/>
      <c r="U979" s="159"/>
      <c r="V979" s="159"/>
      <c r="W979" s="159"/>
      <c r="X979" s="159"/>
      <c r="Y979" s="159"/>
      <c r="Z979" s="159"/>
      <c r="AA979" s="159"/>
      <c r="AB979" s="583"/>
    </row>
    <row r="980" spans="1:28" s="90" customFormat="1" ht="14.1" hidden="1" customHeight="1" x14ac:dyDescent="0.2">
      <c r="A980" s="301"/>
      <c r="B980" s="350" t="s">
        <v>366</v>
      </c>
      <c r="C980" s="101"/>
      <c r="D980" s="101"/>
      <c r="E980" s="101"/>
      <c r="F980" s="370" t="s">
        <v>367</v>
      </c>
      <c r="G980" s="149"/>
      <c r="H980" s="149"/>
      <c r="I980" s="329">
        <f t="shared" ref="I980:I984" si="1767">G980+H980</f>
        <v>0</v>
      </c>
      <c r="J980" s="329">
        <f t="shared" ref="J980:J984" si="1768">I980</f>
        <v>0</v>
      </c>
      <c r="K980" s="274"/>
      <c r="L980" s="274"/>
      <c r="M980" s="274"/>
      <c r="N980" s="275">
        <f t="shared" ref="N980:N984" si="1769">J980+K980-L980+M980</f>
        <v>0</v>
      </c>
      <c r="O980" s="274"/>
      <c r="P980" s="274"/>
      <c r="Q980" s="274"/>
      <c r="R980" s="274"/>
      <c r="S980" s="274">
        <f t="shared" ref="S980:S984" si="1770">SUM(O980:R980)</f>
        <v>0</v>
      </c>
      <c r="T980" s="274"/>
      <c r="U980" s="274"/>
      <c r="V980" s="274"/>
      <c r="W980" s="274"/>
      <c r="X980" s="274">
        <f t="shared" ref="X980:X984" si="1771">SUM(T980:W980)</f>
        <v>0</v>
      </c>
      <c r="Y980" s="274">
        <f t="shared" ref="Y980:Y984" si="1772">I980-N980</f>
        <v>0</v>
      </c>
      <c r="Z980" s="274">
        <f t="shared" ref="Z980:Z984" si="1773">N980-S980</f>
        <v>0</v>
      </c>
      <c r="AA980" s="274"/>
      <c r="AB980" s="306">
        <f t="shared" ref="AB980:AB984" si="1774">+S980-X980-AA980</f>
        <v>0</v>
      </c>
    </row>
    <row r="981" spans="1:28" s="90" customFormat="1" ht="14.1" hidden="1" customHeight="1" x14ac:dyDescent="0.2">
      <c r="A981" s="301"/>
      <c r="B981" s="350" t="s">
        <v>724</v>
      </c>
      <c r="C981" s="718"/>
      <c r="D981" s="718"/>
      <c r="E981" s="718"/>
      <c r="F981" s="370" t="s">
        <v>725</v>
      </c>
      <c r="G981" s="149"/>
      <c r="H981" s="149"/>
      <c r="I981" s="329">
        <f t="shared" ref="I981" si="1775">G981+H981</f>
        <v>0</v>
      </c>
      <c r="J981" s="329">
        <f t="shared" ref="J981" si="1776">I981</f>
        <v>0</v>
      </c>
      <c r="K981" s="274"/>
      <c r="L981" s="274"/>
      <c r="M981" s="274"/>
      <c r="N981" s="275">
        <f t="shared" si="1769"/>
        <v>0</v>
      </c>
      <c r="O981" s="274"/>
      <c r="P981" s="274"/>
      <c r="Q981" s="274"/>
      <c r="R981" s="274"/>
      <c r="S981" s="274">
        <f t="shared" ref="S981" si="1777">SUM(O981:R981)</f>
        <v>0</v>
      </c>
      <c r="T981" s="274"/>
      <c r="U981" s="274"/>
      <c r="V981" s="274"/>
      <c r="W981" s="274"/>
      <c r="X981" s="274">
        <f t="shared" ref="X981" si="1778">SUM(T981:W981)</f>
        <v>0</v>
      </c>
      <c r="Y981" s="274">
        <f t="shared" ref="Y981" si="1779">I981-N981</f>
        <v>0</v>
      </c>
      <c r="Z981" s="274">
        <f t="shared" ref="Z981" si="1780">N981-S981</f>
        <v>0</v>
      </c>
      <c r="AA981" s="274"/>
      <c r="AB981" s="306">
        <f t="shared" ref="AB981" si="1781">+S981-X981-AA981</f>
        <v>0</v>
      </c>
    </row>
    <row r="982" spans="1:28" s="90" customFormat="1" ht="14.1" customHeight="1" x14ac:dyDescent="0.2">
      <c r="A982" s="301"/>
      <c r="B982" s="350" t="s">
        <v>368</v>
      </c>
      <c r="C982" s="101"/>
      <c r="D982" s="101"/>
      <c r="E982" s="101"/>
      <c r="F982" s="370" t="s">
        <v>369</v>
      </c>
      <c r="G982" s="149">
        <v>3403.57</v>
      </c>
      <c r="H982" s="149"/>
      <c r="I982" s="329">
        <f t="shared" si="1767"/>
        <v>3403.57</v>
      </c>
      <c r="J982" s="329">
        <f t="shared" si="1768"/>
        <v>3403.57</v>
      </c>
      <c r="K982" s="274"/>
      <c r="L982" s="274"/>
      <c r="M982" s="274"/>
      <c r="N982" s="275">
        <f t="shared" si="1769"/>
        <v>3403.57</v>
      </c>
      <c r="O982" s="274"/>
      <c r="P982" s="274"/>
      <c r="Q982" s="274">
        <f>497.63+2905.94</f>
        <v>3403.57</v>
      </c>
      <c r="R982" s="274"/>
      <c r="S982" s="274">
        <f t="shared" si="1770"/>
        <v>3403.57</v>
      </c>
      <c r="T982" s="274"/>
      <c r="U982" s="274"/>
      <c r="V982" s="274">
        <f>2905.94+97.63+400</f>
        <v>3403.57</v>
      </c>
      <c r="W982" s="274"/>
      <c r="X982" s="274">
        <f t="shared" si="1771"/>
        <v>3403.57</v>
      </c>
      <c r="Y982" s="274">
        <f t="shared" si="1772"/>
        <v>0</v>
      </c>
      <c r="Z982" s="274">
        <f t="shared" si="1773"/>
        <v>0</v>
      </c>
      <c r="AA982" s="274"/>
      <c r="AB982" s="306">
        <f t="shared" si="1774"/>
        <v>0</v>
      </c>
    </row>
    <row r="983" spans="1:28" s="90" customFormat="1" ht="14.1" hidden="1" customHeight="1" x14ac:dyDescent="0.2">
      <c r="A983" s="301"/>
      <c r="B983" s="350" t="s">
        <v>370</v>
      </c>
      <c r="C983" s="101"/>
      <c r="D983" s="101"/>
      <c r="E983" s="101"/>
      <c r="F983" s="370" t="s">
        <v>371</v>
      </c>
      <c r="G983" s="149"/>
      <c r="H983" s="149"/>
      <c r="I983" s="329">
        <f t="shared" si="1767"/>
        <v>0</v>
      </c>
      <c r="J983" s="329">
        <f t="shared" si="1768"/>
        <v>0</v>
      </c>
      <c r="K983" s="274"/>
      <c r="L983" s="274"/>
      <c r="M983" s="274"/>
      <c r="N983" s="275">
        <f t="shared" si="1769"/>
        <v>0</v>
      </c>
      <c r="O983" s="274"/>
      <c r="P983" s="274"/>
      <c r="Q983" s="274"/>
      <c r="R983" s="274"/>
      <c r="S983" s="274">
        <f t="shared" si="1770"/>
        <v>0</v>
      </c>
      <c r="T983" s="274"/>
      <c r="U983" s="274"/>
      <c r="V983" s="274"/>
      <c r="W983" s="274"/>
      <c r="X983" s="274">
        <f t="shared" si="1771"/>
        <v>0</v>
      </c>
      <c r="Y983" s="274">
        <f t="shared" si="1772"/>
        <v>0</v>
      </c>
      <c r="Z983" s="274">
        <f t="shared" si="1773"/>
        <v>0</v>
      </c>
      <c r="AA983" s="274"/>
      <c r="AB983" s="306">
        <f t="shared" si="1774"/>
        <v>0</v>
      </c>
    </row>
    <row r="984" spans="1:28" s="90" customFormat="1" ht="14.1" hidden="1" customHeight="1" x14ac:dyDescent="0.2">
      <c r="A984" s="301"/>
      <c r="B984" s="350" t="s">
        <v>372</v>
      </c>
      <c r="C984" s="101"/>
      <c r="D984" s="101"/>
      <c r="E984" s="101"/>
      <c r="F984" s="370" t="s">
        <v>373</v>
      </c>
      <c r="G984" s="149"/>
      <c r="H984" s="149"/>
      <c r="I984" s="329">
        <f t="shared" si="1767"/>
        <v>0</v>
      </c>
      <c r="J984" s="329">
        <f t="shared" si="1768"/>
        <v>0</v>
      </c>
      <c r="K984" s="274"/>
      <c r="L984" s="274"/>
      <c r="M984" s="274"/>
      <c r="N984" s="275">
        <f t="shared" si="1769"/>
        <v>0</v>
      </c>
      <c r="O984" s="274"/>
      <c r="P984" s="274"/>
      <c r="Q984" s="274"/>
      <c r="R984" s="274"/>
      <c r="S984" s="274">
        <f t="shared" si="1770"/>
        <v>0</v>
      </c>
      <c r="T984" s="274"/>
      <c r="U984" s="274"/>
      <c r="V984" s="274"/>
      <c r="W984" s="274"/>
      <c r="X984" s="274">
        <f t="shared" si="1771"/>
        <v>0</v>
      </c>
      <c r="Y984" s="274">
        <f t="shared" si="1772"/>
        <v>0</v>
      </c>
      <c r="Z984" s="274">
        <f t="shared" si="1773"/>
        <v>0</v>
      </c>
      <c r="AA984" s="274"/>
      <c r="AB984" s="306">
        <f t="shared" si="1774"/>
        <v>0</v>
      </c>
    </row>
    <row r="985" spans="1:28" s="90" customFormat="1" ht="14.1" customHeight="1" x14ac:dyDescent="0.2">
      <c r="A985" s="301"/>
      <c r="B985" s="351" t="s">
        <v>374</v>
      </c>
      <c r="C985" s="101"/>
      <c r="D985" s="101"/>
      <c r="E985" s="101"/>
      <c r="F985" s="370"/>
      <c r="G985" s="149"/>
      <c r="H985" s="149"/>
      <c r="I985" s="149"/>
      <c r="J985" s="149"/>
      <c r="K985" s="159"/>
      <c r="L985" s="159"/>
      <c r="M985" s="159"/>
      <c r="N985" s="159"/>
      <c r="O985" s="159"/>
      <c r="P985" s="159"/>
      <c r="Q985" s="159"/>
      <c r="R985" s="159"/>
      <c r="S985" s="159"/>
      <c r="T985" s="159"/>
      <c r="U985" s="159"/>
      <c r="V985" s="159"/>
      <c r="W985" s="159"/>
      <c r="X985" s="159"/>
      <c r="Y985" s="159"/>
      <c r="Z985" s="159"/>
      <c r="AA985" s="159"/>
      <c r="AB985" s="583"/>
    </row>
    <row r="986" spans="1:28" s="90" customFormat="1" ht="14.1" hidden="1" customHeight="1" x14ac:dyDescent="0.2">
      <c r="A986" s="301"/>
      <c r="B986" s="350" t="s">
        <v>375</v>
      </c>
      <c r="C986" s="101"/>
      <c r="D986" s="101"/>
      <c r="E986" s="101"/>
      <c r="F986" s="370" t="s">
        <v>376</v>
      </c>
      <c r="G986" s="149"/>
      <c r="H986" s="149"/>
      <c r="I986" s="329">
        <f t="shared" ref="I986:I1003" si="1782">G986+H986</f>
        <v>0</v>
      </c>
      <c r="J986" s="329">
        <f t="shared" ref="J986:J1003" si="1783">I986</f>
        <v>0</v>
      </c>
      <c r="K986" s="274"/>
      <c r="L986" s="274"/>
      <c r="M986" s="274"/>
      <c r="N986" s="275">
        <f t="shared" ref="N986:N1021" si="1784">J986+K986-L986+M986</f>
        <v>0</v>
      </c>
      <c r="O986" s="274"/>
      <c r="P986" s="274"/>
      <c r="Q986" s="274"/>
      <c r="R986" s="274"/>
      <c r="S986" s="274">
        <f t="shared" ref="S986:S1003" si="1785">SUM(O986:R986)</f>
        <v>0</v>
      </c>
      <c r="T986" s="274"/>
      <c r="U986" s="274"/>
      <c r="V986" s="274"/>
      <c r="W986" s="274"/>
      <c r="X986" s="274">
        <f t="shared" ref="X986:X1003" si="1786">SUM(T986:W986)</f>
        <v>0</v>
      </c>
      <c r="Y986" s="274">
        <f t="shared" ref="Y986:Y1003" si="1787">I986-N986</f>
        <v>0</v>
      </c>
      <c r="Z986" s="274">
        <f t="shared" ref="Z986:Z1003" si="1788">N986-S986</f>
        <v>0</v>
      </c>
      <c r="AA986" s="274"/>
      <c r="AB986" s="306">
        <f t="shared" ref="AB986:AB1003" si="1789">+S986-X986-AA986</f>
        <v>0</v>
      </c>
    </row>
    <row r="987" spans="1:28" s="90" customFormat="1" ht="14.1" hidden="1" customHeight="1" x14ac:dyDescent="0.2">
      <c r="A987" s="301"/>
      <c r="B987" s="350" t="s">
        <v>377</v>
      </c>
      <c r="C987" s="101"/>
      <c r="D987" s="101"/>
      <c r="E987" s="101"/>
      <c r="F987" s="370" t="s">
        <v>378</v>
      </c>
      <c r="G987" s="149"/>
      <c r="H987" s="149"/>
      <c r="I987" s="329">
        <f t="shared" si="1782"/>
        <v>0</v>
      </c>
      <c r="J987" s="329">
        <f t="shared" si="1783"/>
        <v>0</v>
      </c>
      <c r="K987" s="274"/>
      <c r="L987" s="274"/>
      <c r="M987" s="274"/>
      <c r="N987" s="275">
        <f t="shared" si="1784"/>
        <v>0</v>
      </c>
      <c r="O987" s="274"/>
      <c r="P987" s="274"/>
      <c r="Q987" s="274"/>
      <c r="R987" s="274"/>
      <c r="S987" s="274">
        <f t="shared" si="1785"/>
        <v>0</v>
      </c>
      <c r="T987" s="274"/>
      <c r="U987" s="274"/>
      <c r="V987" s="274"/>
      <c r="W987" s="274"/>
      <c r="X987" s="274">
        <f t="shared" si="1786"/>
        <v>0</v>
      </c>
      <c r="Y987" s="274">
        <f t="shared" si="1787"/>
        <v>0</v>
      </c>
      <c r="Z987" s="274">
        <f t="shared" si="1788"/>
        <v>0</v>
      </c>
      <c r="AA987" s="274"/>
      <c r="AB987" s="306">
        <f t="shared" si="1789"/>
        <v>0</v>
      </c>
    </row>
    <row r="988" spans="1:28" s="90" customFormat="1" ht="14.1" hidden="1" customHeight="1" x14ac:dyDescent="0.2">
      <c r="A988" s="301"/>
      <c r="B988" s="350" t="s">
        <v>379</v>
      </c>
      <c r="C988" s="101"/>
      <c r="D988" s="101"/>
      <c r="E988" s="101"/>
      <c r="F988" s="370" t="s">
        <v>380</v>
      </c>
      <c r="G988" s="149"/>
      <c r="H988" s="149"/>
      <c r="I988" s="329">
        <f t="shared" si="1782"/>
        <v>0</v>
      </c>
      <c r="J988" s="329">
        <f t="shared" si="1783"/>
        <v>0</v>
      </c>
      <c r="K988" s="274"/>
      <c r="L988" s="274"/>
      <c r="M988" s="274"/>
      <c r="N988" s="275">
        <f t="shared" si="1784"/>
        <v>0</v>
      </c>
      <c r="O988" s="274"/>
      <c r="P988" s="274"/>
      <c r="Q988" s="274"/>
      <c r="R988" s="274"/>
      <c r="S988" s="274">
        <f t="shared" si="1785"/>
        <v>0</v>
      </c>
      <c r="T988" s="274"/>
      <c r="U988" s="274"/>
      <c r="V988" s="274"/>
      <c r="W988" s="274"/>
      <c r="X988" s="274">
        <f t="shared" si="1786"/>
        <v>0</v>
      </c>
      <c r="Y988" s="274">
        <f t="shared" si="1787"/>
        <v>0</v>
      </c>
      <c r="Z988" s="274">
        <f t="shared" si="1788"/>
        <v>0</v>
      </c>
      <c r="AA988" s="274"/>
      <c r="AB988" s="306">
        <f t="shared" si="1789"/>
        <v>0</v>
      </c>
    </row>
    <row r="989" spans="1:28" s="90" customFormat="1" ht="14.1" hidden="1" customHeight="1" x14ac:dyDescent="0.2">
      <c r="A989" s="301"/>
      <c r="B989" s="350" t="s">
        <v>381</v>
      </c>
      <c r="C989" s="101"/>
      <c r="D989" s="101"/>
      <c r="E989" s="101"/>
      <c r="F989" s="370" t="s">
        <v>382</v>
      </c>
      <c r="G989" s="149"/>
      <c r="H989" s="149"/>
      <c r="I989" s="329">
        <f t="shared" si="1782"/>
        <v>0</v>
      </c>
      <c r="J989" s="329">
        <f t="shared" si="1783"/>
        <v>0</v>
      </c>
      <c r="K989" s="274"/>
      <c r="L989" s="274"/>
      <c r="M989" s="274"/>
      <c r="N989" s="275">
        <f t="shared" si="1784"/>
        <v>0</v>
      </c>
      <c r="O989" s="274"/>
      <c r="P989" s="274"/>
      <c r="Q989" s="274"/>
      <c r="R989" s="274"/>
      <c r="S989" s="274">
        <f t="shared" si="1785"/>
        <v>0</v>
      </c>
      <c r="T989" s="274"/>
      <c r="U989" s="274"/>
      <c r="V989" s="274"/>
      <c r="W989" s="274"/>
      <c r="X989" s="274">
        <f t="shared" si="1786"/>
        <v>0</v>
      </c>
      <c r="Y989" s="274">
        <f t="shared" si="1787"/>
        <v>0</v>
      </c>
      <c r="Z989" s="274">
        <f t="shared" si="1788"/>
        <v>0</v>
      </c>
      <c r="AA989" s="274"/>
      <c r="AB989" s="306">
        <f t="shared" si="1789"/>
        <v>0</v>
      </c>
    </row>
    <row r="990" spans="1:28" s="90" customFormat="1" ht="14.1" hidden="1" customHeight="1" x14ac:dyDescent="0.2">
      <c r="A990" s="301"/>
      <c r="B990" s="350" t="s">
        <v>383</v>
      </c>
      <c r="C990" s="101"/>
      <c r="D990" s="101"/>
      <c r="E990" s="101"/>
      <c r="F990" s="370" t="s">
        <v>384</v>
      </c>
      <c r="G990" s="149"/>
      <c r="H990" s="149"/>
      <c r="I990" s="329">
        <f t="shared" si="1782"/>
        <v>0</v>
      </c>
      <c r="J990" s="329">
        <f t="shared" si="1783"/>
        <v>0</v>
      </c>
      <c r="K990" s="274"/>
      <c r="L990" s="274"/>
      <c r="M990" s="274"/>
      <c r="N990" s="275">
        <f t="shared" si="1784"/>
        <v>0</v>
      </c>
      <c r="O990" s="274"/>
      <c r="P990" s="274"/>
      <c r="Q990" s="274"/>
      <c r="R990" s="274"/>
      <c r="S990" s="274">
        <f t="shared" si="1785"/>
        <v>0</v>
      </c>
      <c r="T990" s="274"/>
      <c r="U990" s="274"/>
      <c r="V990" s="274"/>
      <c r="W990" s="274"/>
      <c r="X990" s="274">
        <f t="shared" si="1786"/>
        <v>0</v>
      </c>
      <c r="Y990" s="274">
        <f t="shared" si="1787"/>
        <v>0</v>
      </c>
      <c r="Z990" s="274">
        <f t="shared" si="1788"/>
        <v>0</v>
      </c>
      <c r="AA990" s="274"/>
      <c r="AB990" s="306">
        <f t="shared" si="1789"/>
        <v>0</v>
      </c>
    </row>
    <row r="991" spans="1:28" s="90" customFormat="1" ht="14.1" hidden="1" customHeight="1" x14ac:dyDescent="0.2">
      <c r="A991" s="301"/>
      <c r="B991" s="350" t="s">
        <v>385</v>
      </c>
      <c r="C991" s="101"/>
      <c r="D991" s="101"/>
      <c r="E991" s="101"/>
      <c r="F991" s="370" t="s">
        <v>386</v>
      </c>
      <c r="G991" s="149"/>
      <c r="H991" s="149"/>
      <c r="I991" s="329">
        <f t="shared" si="1782"/>
        <v>0</v>
      </c>
      <c r="J991" s="329">
        <f t="shared" si="1783"/>
        <v>0</v>
      </c>
      <c r="K991" s="274"/>
      <c r="L991" s="274"/>
      <c r="M991" s="274"/>
      <c r="N991" s="275">
        <f t="shared" si="1784"/>
        <v>0</v>
      </c>
      <c r="O991" s="274"/>
      <c r="P991" s="274"/>
      <c r="Q991" s="274"/>
      <c r="R991" s="274"/>
      <c r="S991" s="274">
        <f t="shared" si="1785"/>
        <v>0</v>
      </c>
      <c r="T991" s="274"/>
      <c r="U991" s="274"/>
      <c r="V991" s="274"/>
      <c r="W991" s="274"/>
      <c r="X991" s="274">
        <f t="shared" si="1786"/>
        <v>0</v>
      </c>
      <c r="Y991" s="274">
        <f t="shared" si="1787"/>
        <v>0</v>
      </c>
      <c r="Z991" s="274">
        <f t="shared" si="1788"/>
        <v>0</v>
      </c>
      <c r="AA991" s="274"/>
      <c r="AB991" s="306">
        <f t="shared" si="1789"/>
        <v>0</v>
      </c>
    </row>
    <row r="992" spans="1:28" s="90" customFormat="1" ht="14.1" hidden="1" customHeight="1" x14ac:dyDescent="0.2">
      <c r="A992" s="301"/>
      <c r="B992" s="350" t="s">
        <v>726</v>
      </c>
      <c r="C992" s="718"/>
      <c r="D992" s="718"/>
      <c r="E992" s="718"/>
      <c r="F992" s="370" t="s">
        <v>387</v>
      </c>
      <c r="G992" s="149"/>
      <c r="H992" s="149"/>
      <c r="I992" s="329">
        <f t="shared" si="1782"/>
        <v>0</v>
      </c>
      <c r="J992" s="329">
        <f t="shared" si="1783"/>
        <v>0</v>
      </c>
      <c r="K992" s="274"/>
      <c r="L992" s="274"/>
      <c r="M992" s="274"/>
      <c r="N992" s="275">
        <f t="shared" si="1784"/>
        <v>0</v>
      </c>
      <c r="O992" s="274"/>
      <c r="P992" s="274"/>
      <c r="Q992" s="274"/>
      <c r="R992" s="274"/>
      <c r="S992" s="274">
        <f t="shared" si="1785"/>
        <v>0</v>
      </c>
      <c r="T992" s="274"/>
      <c r="U992" s="274"/>
      <c r="V992" s="274"/>
      <c r="W992" s="274"/>
      <c r="X992" s="274">
        <f t="shared" si="1786"/>
        <v>0</v>
      </c>
      <c r="Y992" s="274">
        <f t="shared" si="1787"/>
        <v>0</v>
      </c>
      <c r="Z992" s="274">
        <f t="shared" si="1788"/>
        <v>0</v>
      </c>
      <c r="AA992" s="274"/>
      <c r="AB992" s="306">
        <f t="shared" si="1789"/>
        <v>0</v>
      </c>
    </row>
    <row r="993" spans="1:28" s="90" customFormat="1" ht="14.1" hidden="1" customHeight="1" x14ac:dyDescent="0.2">
      <c r="A993" s="301"/>
      <c r="B993" s="350" t="s">
        <v>388</v>
      </c>
      <c r="C993" s="101"/>
      <c r="D993" s="101"/>
      <c r="E993" s="101"/>
      <c r="F993" s="370" t="s">
        <v>389</v>
      </c>
      <c r="G993" s="149"/>
      <c r="H993" s="149"/>
      <c r="I993" s="329">
        <f t="shared" si="1782"/>
        <v>0</v>
      </c>
      <c r="J993" s="329">
        <f t="shared" si="1783"/>
        <v>0</v>
      </c>
      <c r="K993" s="274"/>
      <c r="L993" s="274"/>
      <c r="M993" s="274"/>
      <c r="N993" s="275">
        <f t="shared" si="1784"/>
        <v>0</v>
      </c>
      <c r="O993" s="274"/>
      <c r="P993" s="274"/>
      <c r="Q993" s="274"/>
      <c r="R993" s="274"/>
      <c r="S993" s="274">
        <f t="shared" si="1785"/>
        <v>0</v>
      </c>
      <c r="T993" s="274"/>
      <c r="U993" s="274"/>
      <c r="V993" s="274"/>
      <c r="W993" s="274"/>
      <c r="X993" s="274">
        <f t="shared" si="1786"/>
        <v>0</v>
      </c>
      <c r="Y993" s="274">
        <f t="shared" si="1787"/>
        <v>0</v>
      </c>
      <c r="Z993" s="274">
        <f t="shared" si="1788"/>
        <v>0</v>
      </c>
      <c r="AA993" s="274"/>
      <c r="AB993" s="306">
        <f t="shared" si="1789"/>
        <v>0</v>
      </c>
    </row>
    <row r="994" spans="1:28" s="90" customFormat="1" ht="14.1" hidden="1" customHeight="1" x14ac:dyDescent="0.2">
      <c r="A994" s="301"/>
      <c r="B994" s="350" t="s">
        <v>390</v>
      </c>
      <c r="C994" s="101"/>
      <c r="D994" s="101"/>
      <c r="E994" s="101"/>
      <c r="F994" s="370" t="s">
        <v>391</v>
      </c>
      <c r="G994" s="149"/>
      <c r="H994" s="149"/>
      <c r="I994" s="329">
        <f t="shared" si="1782"/>
        <v>0</v>
      </c>
      <c r="J994" s="329">
        <f t="shared" si="1783"/>
        <v>0</v>
      </c>
      <c r="K994" s="274"/>
      <c r="L994" s="274"/>
      <c r="M994" s="274"/>
      <c r="N994" s="275">
        <f t="shared" si="1784"/>
        <v>0</v>
      </c>
      <c r="O994" s="274"/>
      <c r="P994" s="274"/>
      <c r="Q994" s="274"/>
      <c r="R994" s="274"/>
      <c r="S994" s="274">
        <f t="shared" si="1785"/>
        <v>0</v>
      </c>
      <c r="T994" s="274"/>
      <c r="U994" s="274"/>
      <c r="V994" s="274"/>
      <c r="W994" s="274"/>
      <c r="X994" s="274">
        <f t="shared" si="1786"/>
        <v>0</v>
      </c>
      <c r="Y994" s="274">
        <f t="shared" si="1787"/>
        <v>0</v>
      </c>
      <c r="Z994" s="274">
        <f t="shared" si="1788"/>
        <v>0</v>
      </c>
      <c r="AA994" s="274"/>
      <c r="AB994" s="306">
        <f t="shared" si="1789"/>
        <v>0</v>
      </c>
    </row>
    <row r="995" spans="1:28" s="90" customFormat="1" ht="14.1" hidden="1" customHeight="1" x14ac:dyDescent="0.2">
      <c r="A995" s="301"/>
      <c r="B995" s="350" t="s">
        <v>392</v>
      </c>
      <c r="C995" s="101"/>
      <c r="D995" s="101"/>
      <c r="E995" s="101"/>
      <c r="F995" s="370" t="s">
        <v>393</v>
      </c>
      <c r="G995" s="149"/>
      <c r="H995" s="149"/>
      <c r="I995" s="329">
        <f t="shared" si="1782"/>
        <v>0</v>
      </c>
      <c r="J995" s="329">
        <f t="shared" si="1783"/>
        <v>0</v>
      </c>
      <c r="K995" s="274"/>
      <c r="L995" s="274"/>
      <c r="M995" s="274"/>
      <c r="N995" s="275">
        <f t="shared" si="1784"/>
        <v>0</v>
      </c>
      <c r="O995" s="274"/>
      <c r="P995" s="274"/>
      <c r="Q995" s="274"/>
      <c r="R995" s="274"/>
      <c r="S995" s="274">
        <f t="shared" si="1785"/>
        <v>0</v>
      </c>
      <c r="T995" s="274"/>
      <c r="U995" s="274"/>
      <c r="V995" s="274"/>
      <c r="W995" s="274"/>
      <c r="X995" s="274">
        <f t="shared" si="1786"/>
        <v>0</v>
      </c>
      <c r="Y995" s="274">
        <f t="shared" si="1787"/>
        <v>0</v>
      </c>
      <c r="Z995" s="274">
        <f t="shared" si="1788"/>
        <v>0</v>
      </c>
      <c r="AA995" s="274"/>
      <c r="AB995" s="306">
        <f t="shared" si="1789"/>
        <v>0</v>
      </c>
    </row>
    <row r="996" spans="1:28" s="90" customFormat="1" ht="14.1" hidden="1" customHeight="1" x14ac:dyDescent="0.2">
      <c r="A996" s="301"/>
      <c r="B996" s="350" t="s">
        <v>394</v>
      </c>
      <c r="C996" s="101"/>
      <c r="D996" s="101"/>
      <c r="E996" s="101"/>
      <c r="F996" s="370" t="s">
        <v>395</v>
      </c>
      <c r="G996" s="149"/>
      <c r="H996" s="149"/>
      <c r="I996" s="329">
        <f t="shared" si="1782"/>
        <v>0</v>
      </c>
      <c r="J996" s="329">
        <f t="shared" si="1783"/>
        <v>0</v>
      </c>
      <c r="K996" s="274"/>
      <c r="L996" s="274"/>
      <c r="M996" s="274"/>
      <c r="N996" s="275">
        <f t="shared" si="1784"/>
        <v>0</v>
      </c>
      <c r="O996" s="274"/>
      <c r="P996" s="274"/>
      <c r="Q996" s="274"/>
      <c r="R996" s="274"/>
      <c r="S996" s="274">
        <f t="shared" si="1785"/>
        <v>0</v>
      </c>
      <c r="T996" s="274"/>
      <c r="U996" s="274"/>
      <c r="V996" s="274"/>
      <c r="W996" s="274"/>
      <c r="X996" s="274">
        <f t="shared" si="1786"/>
        <v>0</v>
      </c>
      <c r="Y996" s="274">
        <f t="shared" si="1787"/>
        <v>0</v>
      </c>
      <c r="Z996" s="274">
        <f t="shared" si="1788"/>
        <v>0</v>
      </c>
      <c r="AA996" s="274"/>
      <c r="AB996" s="306">
        <f t="shared" si="1789"/>
        <v>0</v>
      </c>
    </row>
    <row r="997" spans="1:28" s="90" customFormat="1" ht="14.1" hidden="1" customHeight="1" x14ac:dyDescent="0.2">
      <c r="A997" s="301"/>
      <c r="B997" s="350" t="s">
        <v>396</v>
      </c>
      <c r="C997" s="101"/>
      <c r="D997" s="101"/>
      <c r="E997" s="101"/>
      <c r="F997" s="370" t="s">
        <v>397</v>
      </c>
      <c r="G997" s="149"/>
      <c r="H997" s="149"/>
      <c r="I997" s="329">
        <f t="shared" si="1782"/>
        <v>0</v>
      </c>
      <c r="J997" s="329">
        <f t="shared" si="1783"/>
        <v>0</v>
      </c>
      <c r="K997" s="274"/>
      <c r="L997" s="274"/>
      <c r="M997" s="274"/>
      <c r="N997" s="275">
        <f t="shared" si="1784"/>
        <v>0</v>
      </c>
      <c r="O997" s="274"/>
      <c r="P997" s="274"/>
      <c r="Q997" s="274"/>
      <c r="R997" s="274"/>
      <c r="S997" s="274">
        <f t="shared" si="1785"/>
        <v>0</v>
      </c>
      <c r="T997" s="274"/>
      <c r="U997" s="274"/>
      <c r="V997" s="274"/>
      <c r="W997" s="274"/>
      <c r="X997" s="274">
        <f t="shared" si="1786"/>
        <v>0</v>
      </c>
      <c r="Y997" s="274">
        <f t="shared" si="1787"/>
        <v>0</v>
      </c>
      <c r="Z997" s="274">
        <f t="shared" si="1788"/>
        <v>0</v>
      </c>
      <c r="AA997" s="274"/>
      <c r="AB997" s="306">
        <f t="shared" si="1789"/>
        <v>0</v>
      </c>
    </row>
    <row r="998" spans="1:28" s="90" customFormat="1" ht="14.1" hidden="1" customHeight="1" x14ac:dyDescent="0.2">
      <c r="A998" s="301"/>
      <c r="B998" s="350" t="s">
        <v>398</v>
      </c>
      <c r="C998" s="101"/>
      <c r="D998" s="101"/>
      <c r="E998" s="101"/>
      <c r="F998" s="370" t="s">
        <v>399</v>
      </c>
      <c r="G998" s="149"/>
      <c r="H998" s="149"/>
      <c r="I998" s="329">
        <f t="shared" si="1782"/>
        <v>0</v>
      </c>
      <c r="J998" s="329">
        <f t="shared" si="1783"/>
        <v>0</v>
      </c>
      <c r="K998" s="274"/>
      <c r="L998" s="274"/>
      <c r="M998" s="274"/>
      <c r="N998" s="275">
        <f t="shared" si="1784"/>
        <v>0</v>
      </c>
      <c r="O998" s="274"/>
      <c r="P998" s="274"/>
      <c r="Q998" s="274"/>
      <c r="R998" s="274"/>
      <c r="S998" s="274">
        <f t="shared" si="1785"/>
        <v>0</v>
      </c>
      <c r="T998" s="274"/>
      <c r="U998" s="274"/>
      <c r="V998" s="274"/>
      <c r="W998" s="274"/>
      <c r="X998" s="274">
        <f t="shared" si="1786"/>
        <v>0</v>
      </c>
      <c r="Y998" s="274">
        <f t="shared" si="1787"/>
        <v>0</v>
      </c>
      <c r="Z998" s="274">
        <f t="shared" si="1788"/>
        <v>0</v>
      </c>
      <c r="AA998" s="274"/>
      <c r="AB998" s="306">
        <f t="shared" si="1789"/>
        <v>0</v>
      </c>
    </row>
    <row r="999" spans="1:28" s="90" customFormat="1" ht="14.1" hidden="1" customHeight="1" x14ac:dyDescent="0.2">
      <c r="A999" s="301"/>
      <c r="B999" s="350" t="s">
        <v>400</v>
      </c>
      <c r="C999" s="101"/>
      <c r="D999" s="101"/>
      <c r="E999" s="101"/>
      <c r="F999" s="370" t="s">
        <v>401</v>
      </c>
      <c r="G999" s="149"/>
      <c r="H999" s="149"/>
      <c r="I999" s="329">
        <f t="shared" si="1782"/>
        <v>0</v>
      </c>
      <c r="J999" s="329">
        <f t="shared" si="1783"/>
        <v>0</v>
      </c>
      <c r="K999" s="274"/>
      <c r="L999" s="274"/>
      <c r="M999" s="274"/>
      <c r="N999" s="275">
        <f t="shared" si="1784"/>
        <v>0</v>
      </c>
      <c r="O999" s="274"/>
      <c r="P999" s="274"/>
      <c r="Q999" s="274"/>
      <c r="R999" s="274"/>
      <c r="S999" s="274">
        <f t="shared" si="1785"/>
        <v>0</v>
      </c>
      <c r="T999" s="274"/>
      <c r="U999" s="274"/>
      <c r="V999" s="274"/>
      <c r="W999" s="274"/>
      <c r="X999" s="274">
        <f t="shared" si="1786"/>
        <v>0</v>
      </c>
      <c r="Y999" s="274">
        <f t="shared" si="1787"/>
        <v>0</v>
      </c>
      <c r="Z999" s="274">
        <f t="shared" si="1788"/>
        <v>0</v>
      </c>
      <c r="AA999" s="274"/>
      <c r="AB999" s="306">
        <f t="shared" si="1789"/>
        <v>0</v>
      </c>
    </row>
    <row r="1000" spans="1:28" s="90" customFormat="1" ht="14.1" hidden="1" customHeight="1" x14ac:dyDescent="0.2">
      <c r="A1000" s="301"/>
      <c r="B1000" s="350" t="s">
        <v>402</v>
      </c>
      <c r="C1000" s="101"/>
      <c r="D1000" s="101"/>
      <c r="E1000" s="101"/>
      <c r="F1000" s="370" t="s">
        <v>403</v>
      </c>
      <c r="G1000" s="149"/>
      <c r="H1000" s="149"/>
      <c r="I1000" s="329">
        <f t="shared" si="1782"/>
        <v>0</v>
      </c>
      <c r="J1000" s="329">
        <f t="shared" si="1783"/>
        <v>0</v>
      </c>
      <c r="K1000" s="274"/>
      <c r="L1000" s="274"/>
      <c r="M1000" s="274"/>
      <c r="N1000" s="275">
        <f t="shared" si="1784"/>
        <v>0</v>
      </c>
      <c r="O1000" s="274"/>
      <c r="P1000" s="274"/>
      <c r="Q1000" s="274"/>
      <c r="R1000" s="274"/>
      <c r="S1000" s="274">
        <f t="shared" si="1785"/>
        <v>0</v>
      </c>
      <c r="T1000" s="274"/>
      <c r="U1000" s="274"/>
      <c r="V1000" s="274"/>
      <c r="W1000" s="274"/>
      <c r="X1000" s="274">
        <f t="shared" si="1786"/>
        <v>0</v>
      </c>
      <c r="Y1000" s="274">
        <f t="shared" si="1787"/>
        <v>0</v>
      </c>
      <c r="Z1000" s="274">
        <f t="shared" si="1788"/>
        <v>0</v>
      </c>
      <c r="AA1000" s="274"/>
      <c r="AB1000" s="306">
        <f t="shared" si="1789"/>
        <v>0</v>
      </c>
    </row>
    <row r="1001" spans="1:28" s="90" customFormat="1" ht="14.1" hidden="1" customHeight="1" x14ac:dyDescent="0.2">
      <c r="A1001" s="301"/>
      <c r="B1001" s="350" t="s">
        <v>404</v>
      </c>
      <c r="C1001" s="101"/>
      <c r="D1001" s="101"/>
      <c r="E1001" s="101"/>
      <c r="F1001" s="370" t="s">
        <v>405</v>
      </c>
      <c r="G1001" s="149"/>
      <c r="H1001" s="149"/>
      <c r="I1001" s="329">
        <f t="shared" si="1782"/>
        <v>0</v>
      </c>
      <c r="J1001" s="329">
        <f t="shared" si="1783"/>
        <v>0</v>
      </c>
      <c r="K1001" s="274"/>
      <c r="L1001" s="274"/>
      <c r="M1001" s="274"/>
      <c r="N1001" s="275">
        <f t="shared" si="1784"/>
        <v>0</v>
      </c>
      <c r="O1001" s="274"/>
      <c r="P1001" s="274"/>
      <c r="Q1001" s="274"/>
      <c r="R1001" s="274"/>
      <c r="S1001" s="274">
        <f t="shared" si="1785"/>
        <v>0</v>
      </c>
      <c r="T1001" s="274"/>
      <c r="U1001" s="274"/>
      <c r="V1001" s="274"/>
      <c r="W1001" s="274"/>
      <c r="X1001" s="274">
        <f t="shared" si="1786"/>
        <v>0</v>
      </c>
      <c r="Y1001" s="274">
        <f t="shared" si="1787"/>
        <v>0</v>
      </c>
      <c r="Z1001" s="274">
        <f t="shared" si="1788"/>
        <v>0</v>
      </c>
      <c r="AA1001" s="274"/>
      <c r="AB1001" s="306">
        <f t="shared" si="1789"/>
        <v>0</v>
      </c>
    </row>
    <row r="1002" spans="1:28" s="90" customFormat="1" ht="14.1" hidden="1" customHeight="1" x14ac:dyDescent="0.2">
      <c r="A1002" s="301"/>
      <c r="B1002" s="350" t="s">
        <v>727</v>
      </c>
      <c r="C1002" s="718"/>
      <c r="D1002" s="718"/>
      <c r="E1002" s="718"/>
      <c r="F1002" s="370" t="s">
        <v>728</v>
      </c>
      <c r="G1002" s="149"/>
      <c r="H1002" s="149"/>
      <c r="I1002" s="329">
        <f t="shared" ref="I1002" si="1790">G1002+H1002</f>
        <v>0</v>
      </c>
      <c r="J1002" s="329">
        <f t="shared" ref="J1002" si="1791">I1002</f>
        <v>0</v>
      </c>
      <c r="K1002" s="274"/>
      <c r="L1002" s="274"/>
      <c r="M1002" s="274"/>
      <c r="N1002" s="275">
        <f t="shared" si="1784"/>
        <v>0</v>
      </c>
      <c r="O1002" s="274"/>
      <c r="P1002" s="274"/>
      <c r="Q1002" s="274"/>
      <c r="R1002" s="274"/>
      <c r="S1002" s="274">
        <f t="shared" ref="S1002" si="1792">SUM(O1002:R1002)</f>
        <v>0</v>
      </c>
      <c r="T1002" s="274"/>
      <c r="U1002" s="274"/>
      <c r="V1002" s="274"/>
      <c r="W1002" s="274"/>
      <c r="X1002" s="274">
        <f t="shared" ref="X1002" si="1793">SUM(T1002:W1002)</f>
        <v>0</v>
      </c>
      <c r="Y1002" s="274">
        <f t="shared" ref="Y1002" si="1794">I1002-N1002</f>
        <v>0</v>
      </c>
      <c r="Z1002" s="274">
        <f t="shared" ref="Z1002" si="1795">N1002-S1002</f>
        <v>0</v>
      </c>
      <c r="AA1002" s="274"/>
      <c r="AB1002" s="306">
        <f t="shared" ref="AB1002" si="1796">+S1002-X1002-AA1002</f>
        <v>0</v>
      </c>
    </row>
    <row r="1003" spans="1:28" s="90" customFormat="1" ht="14.1" hidden="1" customHeight="1" x14ac:dyDescent="0.2">
      <c r="A1003" s="301"/>
      <c r="B1003" s="350" t="s">
        <v>406</v>
      </c>
      <c r="C1003" s="101"/>
      <c r="D1003" s="101"/>
      <c r="E1003" s="101"/>
      <c r="F1003" s="370" t="s">
        <v>407</v>
      </c>
      <c r="G1003" s="149"/>
      <c r="H1003" s="149"/>
      <c r="I1003" s="329">
        <f t="shared" si="1782"/>
        <v>0</v>
      </c>
      <c r="J1003" s="329">
        <f t="shared" si="1783"/>
        <v>0</v>
      </c>
      <c r="K1003" s="274"/>
      <c r="L1003" s="274"/>
      <c r="M1003" s="274"/>
      <c r="N1003" s="275">
        <f t="shared" si="1784"/>
        <v>0</v>
      </c>
      <c r="O1003" s="274"/>
      <c r="P1003" s="274"/>
      <c r="Q1003" s="274"/>
      <c r="R1003" s="274"/>
      <c r="S1003" s="274">
        <f t="shared" si="1785"/>
        <v>0</v>
      </c>
      <c r="T1003" s="274"/>
      <c r="U1003" s="274"/>
      <c r="V1003" s="274"/>
      <c r="W1003" s="274"/>
      <c r="X1003" s="274">
        <f t="shared" si="1786"/>
        <v>0</v>
      </c>
      <c r="Y1003" s="274">
        <f t="shared" si="1787"/>
        <v>0</v>
      </c>
      <c r="Z1003" s="274">
        <f t="shared" si="1788"/>
        <v>0</v>
      </c>
      <c r="AA1003" s="274"/>
      <c r="AB1003" s="306">
        <f t="shared" si="1789"/>
        <v>0</v>
      </c>
    </row>
    <row r="1004" spans="1:28" s="90" customFormat="1" ht="14.1" customHeight="1" x14ac:dyDescent="0.2">
      <c r="A1004" s="301"/>
      <c r="B1004" s="351" t="s">
        <v>408</v>
      </c>
      <c r="C1004" s="101"/>
      <c r="D1004" s="101"/>
      <c r="E1004" s="101"/>
      <c r="F1004" s="370"/>
      <c r="G1004" s="149"/>
      <c r="H1004" s="149"/>
      <c r="I1004" s="149"/>
      <c r="J1004" s="149"/>
      <c r="K1004" s="159"/>
      <c r="L1004" s="159"/>
      <c r="M1004" s="159"/>
      <c r="N1004" s="275"/>
      <c r="O1004" s="159"/>
      <c r="P1004" s="159"/>
      <c r="Q1004" s="159"/>
      <c r="R1004" s="159"/>
      <c r="S1004" s="159"/>
      <c r="T1004" s="159"/>
      <c r="U1004" s="159"/>
      <c r="V1004" s="159"/>
      <c r="W1004" s="159"/>
      <c r="X1004" s="159"/>
      <c r="Y1004" s="159"/>
      <c r="Z1004" s="159"/>
      <c r="AA1004" s="159"/>
      <c r="AB1004" s="583"/>
    </row>
    <row r="1005" spans="1:28" s="90" customFormat="1" ht="14.1" hidden="1" customHeight="1" x14ac:dyDescent="0.2">
      <c r="A1005" s="301"/>
      <c r="B1005" s="350" t="s">
        <v>409</v>
      </c>
      <c r="C1005" s="101"/>
      <c r="D1005" s="101"/>
      <c r="E1005" s="101"/>
      <c r="F1005" s="370" t="s">
        <v>410</v>
      </c>
      <c r="G1005" s="149"/>
      <c r="H1005" s="149"/>
      <c r="I1005" s="329">
        <f t="shared" ref="I1005:I1007" si="1797">G1005+H1005</f>
        <v>0</v>
      </c>
      <c r="J1005" s="329">
        <f t="shared" ref="J1005:J1007" si="1798">I1005</f>
        <v>0</v>
      </c>
      <c r="K1005" s="274"/>
      <c r="L1005" s="274"/>
      <c r="M1005" s="274"/>
      <c r="N1005" s="275">
        <f t="shared" si="1784"/>
        <v>0</v>
      </c>
      <c r="O1005" s="274"/>
      <c r="P1005" s="274"/>
      <c r="Q1005" s="274"/>
      <c r="R1005" s="274"/>
      <c r="S1005" s="274">
        <f t="shared" ref="S1005:S1007" si="1799">SUM(O1005:R1005)</f>
        <v>0</v>
      </c>
      <c r="T1005" s="274"/>
      <c r="U1005" s="274"/>
      <c r="V1005" s="274"/>
      <c r="W1005" s="274"/>
      <c r="X1005" s="274">
        <f t="shared" ref="X1005:X1007" si="1800">SUM(T1005:W1005)</f>
        <v>0</v>
      </c>
      <c r="Y1005" s="274">
        <f t="shared" ref="Y1005:Y1007" si="1801">I1005-N1005</f>
        <v>0</v>
      </c>
      <c r="Z1005" s="274">
        <f t="shared" ref="Z1005:Z1007" si="1802">N1005-S1005</f>
        <v>0</v>
      </c>
      <c r="AA1005" s="274"/>
      <c r="AB1005" s="306">
        <f t="shared" ref="AB1005:AB1007" si="1803">+S1005-X1005-AA1005</f>
        <v>0</v>
      </c>
    </row>
    <row r="1006" spans="1:28" s="90" customFormat="1" ht="14.1" customHeight="1" x14ac:dyDescent="0.2">
      <c r="A1006" s="301"/>
      <c r="B1006" s="350" t="s">
        <v>411</v>
      </c>
      <c r="C1006" s="101"/>
      <c r="D1006" s="101"/>
      <c r="E1006" s="101"/>
      <c r="F1006" s="370" t="s">
        <v>412</v>
      </c>
      <c r="G1006" s="149">
        <v>2000</v>
      </c>
      <c r="H1006" s="149"/>
      <c r="I1006" s="329">
        <f t="shared" si="1797"/>
        <v>2000</v>
      </c>
      <c r="J1006" s="329">
        <f t="shared" si="1798"/>
        <v>2000</v>
      </c>
      <c r="K1006" s="274"/>
      <c r="L1006" s="274"/>
      <c r="M1006" s="274"/>
      <c r="N1006" s="275">
        <f t="shared" si="1784"/>
        <v>2000</v>
      </c>
      <c r="O1006" s="274"/>
      <c r="P1006" s="274"/>
      <c r="Q1006" s="274"/>
      <c r="R1006" s="274">
        <v>65</v>
      </c>
      <c r="S1006" s="274">
        <f t="shared" si="1799"/>
        <v>65</v>
      </c>
      <c r="T1006" s="274"/>
      <c r="U1006" s="274"/>
      <c r="V1006" s="274"/>
      <c r="W1006" s="274">
        <v>65</v>
      </c>
      <c r="X1006" s="274">
        <f t="shared" si="1800"/>
        <v>65</v>
      </c>
      <c r="Y1006" s="274">
        <f t="shared" si="1801"/>
        <v>0</v>
      </c>
      <c r="Z1006" s="274">
        <f t="shared" si="1802"/>
        <v>1935</v>
      </c>
      <c r="AA1006" s="274"/>
      <c r="AB1006" s="306">
        <f t="shared" si="1803"/>
        <v>0</v>
      </c>
    </row>
    <row r="1007" spans="1:28" s="90" customFormat="1" ht="14.1" customHeight="1" x14ac:dyDescent="0.2">
      <c r="A1007" s="301"/>
      <c r="B1007" s="350" t="s">
        <v>413</v>
      </c>
      <c r="C1007" s="101"/>
      <c r="D1007" s="101"/>
      <c r="E1007" s="101"/>
      <c r="F1007" s="370" t="s">
        <v>414</v>
      </c>
      <c r="G1007" s="149">
        <v>6077.74</v>
      </c>
      <c r="H1007" s="149"/>
      <c r="I1007" s="329">
        <f t="shared" si="1797"/>
        <v>6077.74</v>
      </c>
      <c r="J1007" s="329">
        <f t="shared" si="1798"/>
        <v>6077.74</v>
      </c>
      <c r="K1007" s="274"/>
      <c r="L1007" s="274"/>
      <c r="M1007" s="274"/>
      <c r="N1007" s="275">
        <f t="shared" si="1784"/>
        <v>6077.74</v>
      </c>
      <c r="O1007" s="274"/>
      <c r="P1007" s="274"/>
      <c r="Q1007" s="274">
        <f>2113.33+3964.41</f>
        <v>6077.74</v>
      </c>
      <c r="R1007" s="274"/>
      <c r="S1007" s="274">
        <f t="shared" si="1799"/>
        <v>6077.74</v>
      </c>
      <c r="T1007" s="274"/>
      <c r="U1007" s="274"/>
      <c r="V1007" s="274">
        <f>2113.33+886.67+3077.74</f>
        <v>6077.74</v>
      </c>
      <c r="W1007" s="274"/>
      <c r="X1007" s="274">
        <f t="shared" si="1800"/>
        <v>6077.74</v>
      </c>
      <c r="Y1007" s="274">
        <f t="shared" si="1801"/>
        <v>0</v>
      </c>
      <c r="Z1007" s="274">
        <f t="shared" si="1802"/>
        <v>0</v>
      </c>
      <c r="AA1007" s="274"/>
      <c r="AB1007" s="306">
        <f t="shared" si="1803"/>
        <v>0</v>
      </c>
    </row>
    <row r="1008" spans="1:28" s="90" customFormat="1" ht="14.1" customHeight="1" x14ac:dyDescent="0.2">
      <c r="A1008" s="301"/>
      <c r="B1008" s="351" t="s">
        <v>415</v>
      </c>
      <c r="C1008" s="101"/>
      <c r="D1008" s="101"/>
      <c r="E1008" s="101"/>
      <c r="F1008" s="370"/>
      <c r="G1008" s="149"/>
      <c r="H1008" s="149"/>
      <c r="I1008" s="149"/>
      <c r="J1008" s="149"/>
      <c r="K1008" s="159"/>
      <c r="L1008" s="159"/>
      <c r="M1008" s="159"/>
      <c r="N1008" s="159"/>
      <c r="O1008" s="159"/>
      <c r="P1008" s="159"/>
      <c r="Q1008" s="159"/>
      <c r="R1008" s="159"/>
      <c r="S1008" s="159"/>
      <c r="T1008" s="159"/>
      <c r="U1008" s="159"/>
      <c r="V1008" s="159"/>
      <c r="W1008" s="159"/>
      <c r="X1008" s="159"/>
      <c r="Y1008" s="159"/>
      <c r="Z1008" s="159"/>
      <c r="AA1008" s="159"/>
      <c r="AB1008" s="583"/>
    </row>
    <row r="1009" spans="1:91" s="90" customFormat="1" ht="14.1" customHeight="1" x14ac:dyDescent="0.2">
      <c r="A1009" s="301"/>
      <c r="B1009" s="350" t="s">
        <v>416</v>
      </c>
      <c r="C1009" s="101"/>
      <c r="D1009" s="101"/>
      <c r="E1009" s="101"/>
      <c r="F1009" s="370" t="s">
        <v>417</v>
      </c>
      <c r="G1009" s="149">
        <v>16596.43</v>
      </c>
      <c r="H1009" s="149"/>
      <c r="I1009" s="329">
        <f t="shared" ref="I1009:I1021" si="1804">G1009+H1009</f>
        <v>16596.43</v>
      </c>
      <c r="J1009" s="329">
        <f t="shared" ref="J1009:J1021" si="1805">I1009</f>
        <v>16596.43</v>
      </c>
      <c r="K1009" s="274"/>
      <c r="L1009" s="274"/>
      <c r="M1009" s="274"/>
      <c r="N1009" s="275">
        <f t="shared" si="1784"/>
        <v>16596.43</v>
      </c>
      <c r="O1009" s="274"/>
      <c r="P1009" s="274"/>
      <c r="Q1009" s="274"/>
      <c r="R1009" s="274"/>
      <c r="S1009" s="274">
        <f t="shared" ref="S1009:S1021" si="1806">SUM(O1009:R1009)</f>
        <v>0</v>
      </c>
      <c r="T1009" s="274"/>
      <c r="U1009" s="274"/>
      <c r="V1009" s="274"/>
      <c r="W1009" s="274"/>
      <c r="X1009" s="274">
        <f t="shared" ref="X1009:X1021" si="1807">SUM(T1009:W1009)</f>
        <v>0</v>
      </c>
      <c r="Y1009" s="274">
        <f t="shared" ref="Y1009:Y1021" si="1808">I1009-N1009</f>
        <v>0</v>
      </c>
      <c r="Z1009" s="274">
        <f t="shared" ref="Z1009:Z1021" si="1809">N1009-S1009</f>
        <v>16596.43</v>
      </c>
      <c r="AA1009" s="274"/>
      <c r="AB1009" s="306">
        <f t="shared" ref="AB1009:AB1021" si="1810">+S1009-X1009-AA1009</f>
        <v>0</v>
      </c>
    </row>
    <row r="1010" spans="1:91" s="90" customFormat="1" ht="14.1" hidden="1" customHeight="1" x14ac:dyDescent="0.2">
      <c r="A1010" s="301"/>
      <c r="B1010" s="350" t="s">
        <v>418</v>
      </c>
      <c r="C1010" s="101"/>
      <c r="D1010" s="101"/>
      <c r="E1010" s="101"/>
      <c r="F1010" s="370" t="s">
        <v>419</v>
      </c>
      <c r="G1010" s="149"/>
      <c r="H1010" s="149"/>
      <c r="I1010" s="329">
        <f t="shared" si="1804"/>
        <v>0</v>
      </c>
      <c r="J1010" s="329">
        <f t="shared" si="1805"/>
        <v>0</v>
      </c>
      <c r="K1010" s="274"/>
      <c r="L1010" s="274"/>
      <c r="M1010" s="274"/>
      <c r="N1010" s="275">
        <f t="shared" si="1784"/>
        <v>0</v>
      </c>
      <c r="O1010" s="274"/>
      <c r="P1010" s="274"/>
      <c r="Q1010" s="274"/>
      <c r="R1010" s="274"/>
      <c r="S1010" s="274">
        <f t="shared" si="1806"/>
        <v>0</v>
      </c>
      <c r="T1010" s="274"/>
      <c r="U1010" s="274"/>
      <c r="V1010" s="274"/>
      <c r="W1010" s="274"/>
      <c r="X1010" s="274">
        <f t="shared" si="1807"/>
        <v>0</v>
      </c>
      <c r="Y1010" s="274">
        <f t="shared" si="1808"/>
        <v>0</v>
      </c>
      <c r="Z1010" s="274">
        <f t="shared" si="1809"/>
        <v>0</v>
      </c>
      <c r="AA1010" s="274"/>
      <c r="AB1010" s="306">
        <f t="shared" si="1810"/>
        <v>0</v>
      </c>
    </row>
    <row r="1011" spans="1:91" s="90" customFormat="1" ht="14.1" hidden="1" customHeight="1" x14ac:dyDescent="0.2">
      <c r="A1011" s="301"/>
      <c r="B1011" s="350" t="s">
        <v>420</v>
      </c>
      <c r="C1011" s="101"/>
      <c r="D1011" s="101"/>
      <c r="E1011" s="101"/>
      <c r="F1011" s="370" t="s">
        <v>421</v>
      </c>
      <c r="G1011" s="149"/>
      <c r="H1011" s="149"/>
      <c r="I1011" s="329">
        <f t="shared" si="1804"/>
        <v>0</v>
      </c>
      <c r="J1011" s="329">
        <f t="shared" si="1805"/>
        <v>0</v>
      </c>
      <c r="K1011" s="274"/>
      <c r="L1011" s="274"/>
      <c r="M1011" s="274"/>
      <c r="N1011" s="275">
        <f t="shared" si="1784"/>
        <v>0</v>
      </c>
      <c r="O1011" s="274"/>
      <c r="P1011" s="274"/>
      <c r="Q1011" s="274"/>
      <c r="R1011" s="274"/>
      <c r="S1011" s="274">
        <f t="shared" si="1806"/>
        <v>0</v>
      </c>
      <c r="T1011" s="274"/>
      <c r="U1011" s="274"/>
      <c r="V1011" s="274"/>
      <c r="W1011" s="274"/>
      <c r="X1011" s="274">
        <f t="shared" si="1807"/>
        <v>0</v>
      </c>
      <c r="Y1011" s="274">
        <f t="shared" si="1808"/>
        <v>0</v>
      </c>
      <c r="Z1011" s="274">
        <f t="shared" si="1809"/>
        <v>0</v>
      </c>
      <c r="AA1011" s="274"/>
      <c r="AB1011" s="306">
        <f t="shared" si="1810"/>
        <v>0</v>
      </c>
    </row>
    <row r="1012" spans="1:91" s="90" customFormat="1" ht="14.1" customHeight="1" x14ac:dyDescent="0.2">
      <c r="A1012" s="301"/>
      <c r="B1012" s="350" t="s">
        <v>422</v>
      </c>
      <c r="C1012" s="101"/>
      <c r="D1012" s="101"/>
      <c r="E1012" s="101"/>
      <c r="F1012" s="370" t="s">
        <v>423</v>
      </c>
      <c r="G1012" s="149">
        <v>3000</v>
      </c>
      <c r="H1012" s="149"/>
      <c r="I1012" s="329">
        <f t="shared" si="1804"/>
        <v>3000</v>
      </c>
      <c r="J1012" s="329">
        <f t="shared" si="1805"/>
        <v>3000</v>
      </c>
      <c r="K1012" s="274"/>
      <c r="L1012" s="274"/>
      <c r="M1012" s="274"/>
      <c r="N1012" s="275">
        <f t="shared" si="1784"/>
        <v>3000</v>
      </c>
      <c r="O1012" s="274"/>
      <c r="P1012" s="274"/>
      <c r="Q1012" s="274">
        <v>3000</v>
      </c>
      <c r="R1012" s="274"/>
      <c r="S1012" s="274">
        <f t="shared" si="1806"/>
        <v>3000</v>
      </c>
      <c r="T1012" s="274"/>
      <c r="U1012" s="274"/>
      <c r="V1012" s="274">
        <v>3000</v>
      </c>
      <c r="W1012" s="274"/>
      <c r="X1012" s="274">
        <f t="shared" si="1807"/>
        <v>3000</v>
      </c>
      <c r="Y1012" s="274">
        <f t="shared" si="1808"/>
        <v>0</v>
      </c>
      <c r="Z1012" s="274">
        <f t="shared" si="1809"/>
        <v>0</v>
      </c>
      <c r="AA1012" s="274"/>
      <c r="AB1012" s="306">
        <f t="shared" si="1810"/>
        <v>0</v>
      </c>
    </row>
    <row r="1013" spans="1:91" s="90" customFormat="1" ht="14.1" hidden="1" customHeight="1" x14ac:dyDescent="0.2">
      <c r="A1013" s="301"/>
      <c r="B1013" s="350" t="s">
        <v>424</v>
      </c>
      <c r="C1013" s="101"/>
      <c r="D1013" s="101"/>
      <c r="E1013" s="101"/>
      <c r="F1013" s="370" t="s">
        <v>425</v>
      </c>
      <c r="G1013" s="149"/>
      <c r="H1013" s="149"/>
      <c r="I1013" s="329">
        <f t="shared" si="1804"/>
        <v>0</v>
      </c>
      <c r="J1013" s="329">
        <f t="shared" si="1805"/>
        <v>0</v>
      </c>
      <c r="K1013" s="274"/>
      <c r="L1013" s="274"/>
      <c r="M1013" s="274"/>
      <c r="N1013" s="275">
        <f t="shared" si="1784"/>
        <v>0</v>
      </c>
      <c r="O1013" s="274"/>
      <c r="P1013" s="274"/>
      <c r="Q1013" s="274"/>
      <c r="R1013" s="274"/>
      <c r="S1013" s="274">
        <f t="shared" si="1806"/>
        <v>0</v>
      </c>
      <c r="T1013" s="274"/>
      <c r="U1013" s="274"/>
      <c r="V1013" s="274"/>
      <c r="W1013" s="274"/>
      <c r="X1013" s="274">
        <f t="shared" si="1807"/>
        <v>0</v>
      </c>
      <c r="Y1013" s="274">
        <f t="shared" si="1808"/>
        <v>0</v>
      </c>
      <c r="Z1013" s="274">
        <f t="shared" si="1809"/>
        <v>0</v>
      </c>
      <c r="AA1013" s="274"/>
      <c r="AB1013" s="306">
        <f t="shared" si="1810"/>
        <v>0</v>
      </c>
    </row>
    <row r="1014" spans="1:91" s="90" customFormat="1" ht="14.1" hidden="1" customHeight="1" x14ac:dyDescent="0.2">
      <c r="A1014" s="301"/>
      <c r="B1014" s="350" t="s">
        <v>426</v>
      </c>
      <c r="C1014" s="101"/>
      <c r="D1014" s="101"/>
      <c r="E1014" s="101"/>
      <c r="F1014" s="370" t="s">
        <v>427</v>
      </c>
      <c r="G1014" s="149"/>
      <c r="H1014" s="149"/>
      <c r="I1014" s="329">
        <f t="shared" si="1804"/>
        <v>0</v>
      </c>
      <c r="J1014" s="329">
        <f t="shared" si="1805"/>
        <v>0</v>
      </c>
      <c r="K1014" s="274"/>
      <c r="L1014" s="274"/>
      <c r="M1014" s="274"/>
      <c r="N1014" s="275">
        <f t="shared" si="1784"/>
        <v>0</v>
      </c>
      <c r="O1014" s="274"/>
      <c r="P1014" s="274"/>
      <c r="Q1014" s="274"/>
      <c r="R1014" s="274"/>
      <c r="S1014" s="274">
        <f t="shared" si="1806"/>
        <v>0</v>
      </c>
      <c r="T1014" s="274"/>
      <c r="U1014" s="274"/>
      <c r="V1014" s="274"/>
      <c r="W1014" s="274"/>
      <c r="X1014" s="274">
        <f t="shared" si="1807"/>
        <v>0</v>
      </c>
      <c r="Y1014" s="274">
        <f t="shared" si="1808"/>
        <v>0</v>
      </c>
      <c r="Z1014" s="274">
        <f t="shared" si="1809"/>
        <v>0</v>
      </c>
      <c r="AA1014" s="274"/>
      <c r="AB1014" s="306">
        <f t="shared" si="1810"/>
        <v>0</v>
      </c>
    </row>
    <row r="1015" spans="1:91" s="90" customFormat="1" ht="14.1" hidden="1" customHeight="1" x14ac:dyDescent="0.2">
      <c r="A1015" s="301"/>
      <c r="B1015" s="350" t="s">
        <v>428</v>
      </c>
      <c r="C1015" s="101"/>
      <c r="D1015" s="101"/>
      <c r="E1015" s="101"/>
      <c r="F1015" s="370" t="s">
        <v>429</v>
      </c>
      <c r="G1015" s="149"/>
      <c r="H1015" s="149"/>
      <c r="I1015" s="329">
        <f t="shared" si="1804"/>
        <v>0</v>
      </c>
      <c r="J1015" s="329">
        <f t="shared" si="1805"/>
        <v>0</v>
      </c>
      <c r="K1015" s="274"/>
      <c r="L1015" s="274"/>
      <c r="M1015" s="274"/>
      <c r="N1015" s="275">
        <f t="shared" si="1784"/>
        <v>0</v>
      </c>
      <c r="O1015" s="274"/>
      <c r="P1015" s="274"/>
      <c r="Q1015" s="274"/>
      <c r="R1015" s="274"/>
      <c r="S1015" s="274">
        <f t="shared" si="1806"/>
        <v>0</v>
      </c>
      <c r="T1015" s="274"/>
      <c r="U1015" s="274"/>
      <c r="V1015" s="274"/>
      <c r="W1015" s="274"/>
      <c r="X1015" s="274">
        <f t="shared" si="1807"/>
        <v>0</v>
      </c>
      <c r="Y1015" s="274">
        <f t="shared" si="1808"/>
        <v>0</v>
      </c>
      <c r="Z1015" s="274">
        <f t="shared" si="1809"/>
        <v>0</v>
      </c>
      <c r="AA1015" s="274"/>
      <c r="AB1015" s="306">
        <f t="shared" si="1810"/>
        <v>0</v>
      </c>
    </row>
    <row r="1016" spans="1:91" s="90" customFormat="1" ht="14.1" hidden="1" customHeight="1" x14ac:dyDescent="0.2">
      <c r="A1016" s="301"/>
      <c r="B1016" s="350" t="s">
        <v>718</v>
      </c>
      <c r="C1016" s="615"/>
      <c r="D1016" s="615"/>
      <c r="E1016" s="615"/>
      <c r="F1016" s="370" t="s">
        <v>719</v>
      </c>
      <c r="G1016" s="149"/>
      <c r="H1016" s="149"/>
      <c r="I1016" s="329">
        <f t="shared" si="1804"/>
        <v>0</v>
      </c>
      <c r="J1016" s="329">
        <f t="shared" si="1805"/>
        <v>0</v>
      </c>
      <c r="K1016" s="274"/>
      <c r="L1016" s="274"/>
      <c r="M1016" s="274"/>
      <c r="N1016" s="275">
        <f t="shared" si="1784"/>
        <v>0</v>
      </c>
      <c r="O1016" s="274"/>
      <c r="P1016" s="274"/>
      <c r="Q1016" s="274"/>
      <c r="R1016" s="274"/>
      <c r="S1016" s="274">
        <f t="shared" si="1806"/>
        <v>0</v>
      </c>
      <c r="T1016" s="274"/>
      <c r="U1016" s="274"/>
      <c r="V1016" s="274"/>
      <c r="W1016" s="274"/>
      <c r="X1016" s="274">
        <f t="shared" si="1807"/>
        <v>0</v>
      </c>
      <c r="Y1016" s="274">
        <f t="shared" si="1808"/>
        <v>0</v>
      </c>
      <c r="Z1016" s="274">
        <f t="shared" si="1809"/>
        <v>0</v>
      </c>
      <c r="AA1016" s="274"/>
      <c r="AB1016" s="306">
        <f t="shared" si="1810"/>
        <v>0</v>
      </c>
    </row>
    <row r="1017" spans="1:91" s="90" customFormat="1" ht="14.1" hidden="1" customHeight="1" x14ac:dyDescent="0.2">
      <c r="A1017" s="301"/>
      <c r="B1017" s="350" t="s">
        <v>432</v>
      </c>
      <c r="C1017" s="101"/>
      <c r="D1017" s="101"/>
      <c r="E1017" s="101"/>
      <c r="F1017" s="370" t="s">
        <v>433</v>
      </c>
      <c r="G1017" s="149"/>
      <c r="H1017" s="149"/>
      <c r="I1017" s="329">
        <f t="shared" si="1804"/>
        <v>0</v>
      </c>
      <c r="J1017" s="329">
        <f t="shared" si="1805"/>
        <v>0</v>
      </c>
      <c r="K1017" s="274"/>
      <c r="L1017" s="274"/>
      <c r="M1017" s="274"/>
      <c r="N1017" s="275">
        <f t="shared" si="1784"/>
        <v>0</v>
      </c>
      <c r="O1017" s="274"/>
      <c r="P1017" s="274"/>
      <c r="Q1017" s="274"/>
      <c r="R1017" s="274"/>
      <c r="S1017" s="274">
        <f t="shared" si="1806"/>
        <v>0</v>
      </c>
      <c r="T1017" s="274"/>
      <c r="U1017" s="274"/>
      <c r="V1017" s="274"/>
      <c r="W1017" s="274"/>
      <c r="X1017" s="274">
        <f t="shared" si="1807"/>
        <v>0</v>
      </c>
      <c r="Y1017" s="274">
        <f t="shared" si="1808"/>
        <v>0</v>
      </c>
      <c r="Z1017" s="274">
        <f t="shared" si="1809"/>
        <v>0</v>
      </c>
      <c r="AA1017" s="274"/>
      <c r="AB1017" s="306">
        <f t="shared" si="1810"/>
        <v>0</v>
      </c>
    </row>
    <row r="1018" spans="1:91" s="90" customFormat="1" ht="14.1" hidden="1" customHeight="1" x14ac:dyDescent="0.2">
      <c r="A1018" s="301"/>
      <c r="B1018" s="350" t="s">
        <v>730</v>
      </c>
      <c r="C1018" s="744"/>
      <c r="D1018" s="744"/>
      <c r="E1018" s="744"/>
      <c r="F1018" s="370" t="s">
        <v>733</v>
      </c>
      <c r="G1018" s="149"/>
      <c r="H1018" s="149"/>
      <c r="I1018" s="329">
        <f t="shared" si="1804"/>
        <v>0</v>
      </c>
      <c r="J1018" s="329">
        <f t="shared" si="1805"/>
        <v>0</v>
      </c>
      <c r="K1018" s="274"/>
      <c r="L1018" s="274"/>
      <c r="M1018" s="274"/>
      <c r="N1018" s="275">
        <f t="shared" si="1784"/>
        <v>0</v>
      </c>
      <c r="O1018" s="274"/>
      <c r="P1018" s="274"/>
      <c r="Q1018" s="274"/>
      <c r="R1018" s="274"/>
      <c r="S1018" s="274">
        <f t="shared" si="1806"/>
        <v>0</v>
      </c>
      <c r="T1018" s="274"/>
      <c r="U1018" s="274"/>
      <c r="V1018" s="274"/>
      <c r="W1018" s="274"/>
      <c r="X1018" s="274">
        <f t="shared" si="1807"/>
        <v>0</v>
      </c>
      <c r="Y1018" s="274">
        <f t="shared" si="1808"/>
        <v>0</v>
      </c>
      <c r="Z1018" s="274">
        <f t="shared" si="1809"/>
        <v>0</v>
      </c>
      <c r="AA1018" s="274"/>
      <c r="AB1018" s="306">
        <f t="shared" si="1810"/>
        <v>0</v>
      </c>
    </row>
    <row r="1019" spans="1:91" s="90" customFormat="1" ht="14.1" hidden="1" customHeight="1" x14ac:dyDescent="0.2">
      <c r="A1019" s="301"/>
      <c r="B1019" s="350" t="s">
        <v>737</v>
      </c>
      <c r="C1019" s="744"/>
      <c r="D1019" s="744"/>
      <c r="E1019" s="744"/>
      <c r="F1019" s="370" t="s">
        <v>738</v>
      </c>
      <c r="G1019" s="149"/>
      <c r="H1019" s="149"/>
      <c r="I1019" s="329">
        <f t="shared" ref="I1019:I1020" si="1811">G1019+H1019</f>
        <v>0</v>
      </c>
      <c r="J1019" s="329">
        <f t="shared" ref="J1019:J1020" si="1812">I1019</f>
        <v>0</v>
      </c>
      <c r="K1019" s="274"/>
      <c r="L1019" s="274"/>
      <c r="M1019" s="274"/>
      <c r="N1019" s="275">
        <f t="shared" si="1784"/>
        <v>0</v>
      </c>
      <c r="O1019" s="274"/>
      <c r="P1019" s="274"/>
      <c r="Q1019" s="274"/>
      <c r="R1019" s="274"/>
      <c r="S1019" s="274">
        <f t="shared" ref="S1019:S1020" si="1813">SUM(O1019:R1019)</f>
        <v>0</v>
      </c>
      <c r="T1019" s="274"/>
      <c r="U1019" s="274"/>
      <c r="V1019" s="274"/>
      <c r="W1019" s="274"/>
      <c r="X1019" s="274">
        <f t="shared" ref="X1019:X1020" si="1814">SUM(T1019:W1019)</f>
        <v>0</v>
      </c>
      <c r="Y1019" s="274">
        <f t="shared" ref="Y1019:Y1020" si="1815">I1019-N1019</f>
        <v>0</v>
      </c>
      <c r="Z1019" s="274">
        <f t="shared" ref="Z1019:Z1020" si="1816">N1019-S1019</f>
        <v>0</v>
      </c>
      <c r="AA1019" s="274"/>
      <c r="AB1019" s="306">
        <f t="shared" ref="AB1019:AB1020" si="1817">+S1019-X1019-AA1019</f>
        <v>0</v>
      </c>
    </row>
    <row r="1020" spans="1:91" s="90" customFormat="1" ht="14.1" hidden="1" customHeight="1" x14ac:dyDescent="0.2">
      <c r="A1020" s="301"/>
      <c r="B1020" s="350" t="s">
        <v>434</v>
      </c>
      <c r="C1020" s="718"/>
      <c r="D1020" s="718"/>
      <c r="E1020" s="718"/>
      <c r="F1020" s="370" t="s">
        <v>435</v>
      </c>
      <c r="G1020" s="149"/>
      <c r="H1020" s="149"/>
      <c r="I1020" s="329">
        <f t="shared" si="1811"/>
        <v>0</v>
      </c>
      <c r="J1020" s="329">
        <f t="shared" si="1812"/>
        <v>0</v>
      </c>
      <c r="K1020" s="274"/>
      <c r="L1020" s="274"/>
      <c r="M1020" s="274"/>
      <c r="N1020" s="275">
        <f t="shared" si="1784"/>
        <v>0</v>
      </c>
      <c r="O1020" s="274"/>
      <c r="P1020" s="274"/>
      <c r="Q1020" s="274"/>
      <c r="R1020" s="274"/>
      <c r="S1020" s="274">
        <f t="shared" si="1813"/>
        <v>0</v>
      </c>
      <c r="T1020" s="274"/>
      <c r="U1020" s="274"/>
      <c r="V1020" s="274"/>
      <c r="W1020" s="274"/>
      <c r="X1020" s="274">
        <f t="shared" si="1814"/>
        <v>0</v>
      </c>
      <c r="Y1020" s="274">
        <f t="shared" si="1815"/>
        <v>0</v>
      </c>
      <c r="Z1020" s="274">
        <f t="shared" si="1816"/>
        <v>0</v>
      </c>
      <c r="AA1020" s="274"/>
      <c r="AB1020" s="306">
        <f t="shared" si="1817"/>
        <v>0</v>
      </c>
    </row>
    <row r="1021" spans="1:91" s="90" customFormat="1" ht="14.1" hidden="1" customHeight="1" x14ac:dyDescent="0.2">
      <c r="A1021" s="301"/>
      <c r="B1021" s="350" t="s">
        <v>732</v>
      </c>
      <c r="C1021" s="718"/>
      <c r="D1021" s="718"/>
      <c r="E1021" s="718"/>
      <c r="F1021" s="370" t="s">
        <v>731</v>
      </c>
      <c r="G1021" s="149"/>
      <c r="H1021" s="149"/>
      <c r="I1021" s="329">
        <f t="shared" si="1804"/>
        <v>0</v>
      </c>
      <c r="J1021" s="329">
        <f t="shared" si="1805"/>
        <v>0</v>
      </c>
      <c r="K1021" s="274"/>
      <c r="L1021" s="274"/>
      <c r="M1021" s="274"/>
      <c r="N1021" s="275">
        <f t="shared" si="1784"/>
        <v>0</v>
      </c>
      <c r="O1021" s="274"/>
      <c r="P1021" s="274"/>
      <c r="Q1021" s="274"/>
      <c r="R1021" s="274"/>
      <c r="S1021" s="274">
        <f t="shared" si="1806"/>
        <v>0</v>
      </c>
      <c r="T1021" s="274"/>
      <c r="U1021" s="274"/>
      <c r="V1021" s="274"/>
      <c r="W1021" s="274"/>
      <c r="X1021" s="274">
        <f t="shared" si="1807"/>
        <v>0</v>
      </c>
      <c r="Y1021" s="274">
        <f t="shared" si="1808"/>
        <v>0</v>
      </c>
      <c r="Z1021" s="274">
        <f t="shared" si="1809"/>
        <v>0</v>
      </c>
      <c r="AA1021" s="274"/>
      <c r="AB1021" s="306">
        <f t="shared" si="1810"/>
        <v>0</v>
      </c>
    </row>
    <row r="1022" spans="1:91" s="61" customFormat="1" ht="14.1" customHeight="1" x14ac:dyDescent="0.2">
      <c r="A1022" s="303"/>
      <c r="B1022" s="94"/>
      <c r="C1022" s="94"/>
      <c r="D1022" s="94"/>
      <c r="E1022" s="94"/>
      <c r="F1022" s="258"/>
      <c r="G1022" s="148"/>
      <c r="H1022" s="148"/>
      <c r="I1022" s="148"/>
      <c r="J1022" s="148"/>
      <c r="K1022" s="152"/>
      <c r="L1022" s="152"/>
      <c r="M1022" s="152"/>
      <c r="N1022" s="152"/>
      <c r="O1022" s="152"/>
      <c r="P1022" s="152"/>
      <c r="Q1022" s="152"/>
      <c r="R1022" s="340"/>
      <c r="S1022" s="340"/>
      <c r="T1022" s="340"/>
      <c r="U1022" s="340"/>
      <c r="V1022" s="340"/>
      <c r="W1022" s="340"/>
      <c r="X1022" s="340"/>
      <c r="Y1022" s="340"/>
      <c r="Z1022" s="340"/>
      <c r="AA1022" s="340"/>
      <c r="AB1022" s="300"/>
      <c r="AC1022" s="59"/>
      <c r="AD1022" s="59"/>
      <c r="AE1022" s="59"/>
      <c r="AF1022" s="59"/>
      <c r="AG1022" s="59"/>
      <c r="AH1022" s="59"/>
      <c r="AI1022" s="59"/>
      <c r="AJ1022" s="59"/>
      <c r="AK1022" s="59"/>
      <c r="AL1022" s="59"/>
      <c r="AM1022" s="59"/>
      <c r="AN1022" s="59"/>
      <c r="AO1022" s="59"/>
      <c r="AP1022" s="59"/>
      <c r="AQ1022" s="59"/>
      <c r="AR1022" s="59"/>
      <c r="AS1022" s="59"/>
      <c r="AT1022" s="59"/>
      <c r="AU1022" s="59"/>
      <c r="AV1022" s="59"/>
      <c r="AW1022" s="59"/>
      <c r="AX1022" s="59"/>
      <c r="AY1022" s="59"/>
      <c r="AZ1022" s="59"/>
      <c r="BA1022" s="59"/>
      <c r="BB1022" s="59"/>
      <c r="BC1022" s="59"/>
      <c r="BD1022" s="59"/>
      <c r="BE1022" s="59"/>
      <c r="BF1022" s="59"/>
      <c r="BG1022" s="59"/>
      <c r="BH1022" s="59"/>
      <c r="BI1022" s="59"/>
      <c r="BJ1022" s="59"/>
      <c r="BK1022" s="59"/>
      <c r="BL1022" s="59"/>
      <c r="BM1022" s="59"/>
      <c r="BN1022" s="59"/>
      <c r="BO1022" s="59"/>
      <c r="BP1022" s="59"/>
      <c r="BQ1022" s="59"/>
      <c r="BR1022" s="59"/>
      <c r="BS1022" s="59"/>
      <c r="BT1022" s="59"/>
      <c r="BU1022" s="59"/>
      <c r="BV1022" s="59"/>
      <c r="BW1022" s="59"/>
      <c r="BX1022" s="59"/>
      <c r="BY1022" s="59"/>
      <c r="BZ1022" s="59"/>
      <c r="CA1022" s="59"/>
      <c r="CB1022" s="59"/>
      <c r="CC1022" s="59"/>
      <c r="CD1022" s="59"/>
      <c r="CE1022" s="59"/>
      <c r="CF1022" s="59"/>
      <c r="CG1022" s="59"/>
      <c r="CH1022" s="59"/>
      <c r="CI1022" s="59"/>
      <c r="CJ1022" s="59"/>
      <c r="CK1022" s="59"/>
      <c r="CL1022" s="59"/>
      <c r="CM1022" s="59"/>
    </row>
    <row r="1023" spans="1:91" s="95" customFormat="1" ht="14.1" customHeight="1" x14ac:dyDescent="0.2">
      <c r="A1023" s="301" t="s">
        <v>151</v>
      </c>
      <c r="B1023" s="101" t="s">
        <v>152</v>
      </c>
      <c r="C1023" s="101"/>
      <c r="D1023" s="101"/>
      <c r="E1023" s="73"/>
      <c r="F1023" s="252" t="s">
        <v>261</v>
      </c>
      <c r="G1023" s="321">
        <f t="shared" ref="G1023:AB1023" si="1818">+G1099+G1024</f>
        <v>398763.95999999996</v>
      </c>
      <c r="H1023" s="321">
        <f t="shared" si="1818"/>
        <v>0</v>
      </c>
      <c r="I1023" s="321">
        <f t="shared" si="1818"/>
        <v>398763.95999999996</v>
      </c>
      <c r="J1023" s="321">
        <f t="shared" si="1818"/>
        <v>398763.95999999996</v>
      </c>
      <c r="K1023" s="321">
        <f t="shared" si="1818"/>
        <v>0</v>
      </c>
      <c r="L1023" s="321">
        <f t="shared" si="1818"/>
        <v>0</v>
      </c>
      <c r="M1023" s="321">
        <f t="shared" si="1818"/>
        <v>0</v>
      </c>
      <c r="N1023" s="321">
        <f t="shared" si="1818"/>
        <v>398763.95999999996</v>
      </c>
      <c r="O1023" s="321">
        <f t="shared" si="1818"/>
        <v>0</v>
      </c>
      <c r="P1023" s="321">
        <f t="shared" si="1818"/>
        <v>149991.35999999999</v>
      </c>
      <c r="Q1023" s="321">
        <f t="shared" si="1818"/>
        <v>136510.15000000002</v>
      </c>
      <c r="R1023" s="321">
        <f t="shared" si="1818"/>
        <v>112262.45</v>
      </c>
      <c r="S1023" s="321">
        <f t="shared" si="1818"/>
        <v>398763.95999999996</v>
      </c>
      <c r="T1023" s="321">
        <f t="shared" si="1818"/>
        <v>0</v>
      </c>
      <c r="U1023" s="321">
        <f t="shared" si="1818"/>
        <v>119031.36</v>
      </c>
      <c r="V1023" s="321">
        <f t="shared" si="1818"/>
        <v>167470.15</v>
      </c>
      <c r="W1023" s="321">
        <f t="shared" si="1818"/>
        <v>112262.45</v>
      </c>
      <c r="X1023" s="321">
        <f t="shared" si="1818"/>
        <v>398763.95999999996</v>
      </c>
      <c r="Y1023" s="321">
        <f t="shared" si="1818"/>
        <v>0</v>
      </c>
      <c r="Z1023" s="321">
        <f t="shared" si="1818"/>
        <v>0</v>
      </c>
      <c r="AA1023" s="332">
        <f t="shared" si="1818"/>
        <v>0</v>
      </c>
      <c r="AB1023" s="302">
        <f t="shared" si="1818"/>
        <v>0</v>
      </c>
      <c r="AC1023" s="87"/>
      <c r="AD1023" s="87"/>
      <c r="AE1023" s="87"/>
      <c r="AF1023" s="87"/>
      <c r="AG1023" s="87"/>
      <c r="AH1023" s="87"/>
      <c r="AI1023" s="87"/>
      <c r="AJ1023" s="87"/>
      <c r="AK1023" s="87"/>
      <c r="AL1023" s="87"/>
      <c r="AM1023" s="87"/>
      <c r="AN1023" s="87"/>
      <c r="AO1023" s="87"/>
      <c r="AP1023" s="87"/>
      <c r="AQ1023" s="87"/>
      <c r="AR1023" s="87"/>
      <c r="AS1023" s="87"/>
      <c r="AT1023" s="87"/>
      <c r="AU1023" s="87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87"/>
      <c r="BG1023" s="87"/>
      <c r="BH1023" s="87"/>
      <c r="BI1023" s="87"/>
      <c r="BJ1023" s="87"/>
      <c r="BK1023" s="87"/>
      <c r="BL1023" s="87"/>
      <c r="BM1023" s="87"/>
      <c r="BN1023" s="87"/>
      <c r="BO1023" s="87"/>
      <c r="BP1023" s="87"/>
      <c r="BQ1023" s="87"/>
      <c r="BR1023" s="87"/>
      <c r="BS1023" s="87"/>
      <c r="BT1023" s="87"/>
      <c r="BU1023" s="87"/>
      <c r="BV1023" s="87"/>
      <c r="BW1023" s="87"/>
      <c r="BX1023" s="87"/>
      <c r="BY1023" s="87"/>
      <c r="BZ1023" s="87"/>
      <c r="CA1023" s="87"/>
      <c r="CB1023" s="87"/>
      <c r="CC1023" s="87"/>
      <c r="CD1023" s="87"/>
      <c r="CE1023" s="87"/>
      <c r="CF1023" s="87"/>
      <c r="CG1023" s="87"/>
      <c r="CH1023" s="87"/>
      <c r="CI1023" s="87"/>
      <c r="CJ1023" s="87"/>
      <c r="CK1023" s="87"/>
      <c r="CL1023" s="87"/>
      <c r="CM1023" s="87"/>
    </row>
    <row r="1024" spans="1:91" s="90" customFormat="1" ht="14.1" customHeight="1" x14ac:dyDescent="0.2">
      <c r="A1024" s="301"/>
      <c r="B1024" s="347" t="s">
        <v>316</v>
      </c>
      <c r="C1024" s="101"/>
      <c r="D1024" s="101"/>
      <c r="E1024" s="101"/>
      <c r="F1024" s="370"/>
      <c r="G1024" s="321">
        <f t="shared" ref="G1024" si="1819">SUM(G1026:G1097)</f>
        <v>398763.95999999996</v>
      </c>
      <c r="H1024" s="321">
        <f t="shared" ref="H1024:AB1024" si="1820">SUM(H1026:H1097)</f>
        <v>0</v>
      </c>
      <c r="I1024" s="321">
        <f t="shared" si="1820"/>
        <v>398763.95999999996</v>
      </c>
      <c r="J1024" s="321">
        <f t="shared" si="1820"/>
        <v>398763.95999999996</v>
      </c>
      <c r="K1024" s="321">
        <f t="shared" si="1820"/>
        <v>0</v>
      </c>
      <c r="L1024" s="321">
        <f t="shared" si="1820"/>
        <v>0</v>
      </c>
      <c r="M1024" s="321">
        <f t="shared" si="1820"/>
        <v>0</v>
      </c>
      <c r="N1024" s="321">
        <f t="shared" si="1820"/>
        <v>398763.95999999996</v>
      </c>
      <c r="O1024" s="321">
        <f t="shared" si="1820"/>
        <v>0</v>
      </c>
      <c r="P1024" s="321">
        <f t="shared" si="1820"/>
        <v>149991.35999999999</v>
      </c>
      <c r="Q1024" s="321">
        <f t="shared" si="1820"/>
        <v>136510.15000000002</v>
      </c>
      <c r="R1024" s="321">
        <f t="shared" si="1820"/>
        <v>112262.45</v>
      </c>
      <c r="S1024" s="321">
        <f t="shared" si="1820"/>
        <v>398763.95999999996</v>
      </c>
      <c r="T1024" s="321">
        <f t="shared" si="1820"/>
        <v>0</v>
      </c>
      <c r="U1024" s="321">
        <f t="shared" si="1820"/>
        <v>119031.36</v>
      </c>
      <c r="V1024" s="321">
        <f t="shared" si="1820"/>
        <v>167470.15</v>
      </c>
      <c r="W1024" s="321">
        <f t="shared" si="1820"/>
        <v>112262.45</v>
      </c>
      <c r="X1024" s="321">
        <f t="shared" si="1820"/>
        <v>398763.95999999996</v>
      </c>
      <c r="Y1024" s="321">
        <f t="shared" si="1820"/>
        <v>0</v>
      </c>
      <c r="Z1024" s="321">
        <f t="shared" si="1820"/>
        <v>0</v>
      </c>
      <c r="AA1024" s="332">
        <f t="shared" ref="AA1024" si="1821">SUM(AA1026:AA1097)</f>
        <v>0</v>
      </c>
      <c r="AB1024" s="302">
        <f t="shared" si="1820"/>
        <v>0</v>
      </c>
    </row>
    <row r="1025" spans="1:28" s="90" customFormat="1" ht="14.1" customHeight="1" x14ac:dyDescent="0.2">
      <c r="A1025" s="301"/>
      <c r="B1025" s="348" t="s">
        <v>317</v>
      </c>
      <c r="C1025" s="101"/>
      <c r="D1025" s="101"/>
      <c r="E1025" s="101"/>
      <c r="F1025" s="370"/>
      <c r="G1025" s="321"/>
      <c r="H1025" s="321"/>
      <c r="I1025" s="321"/>
      <c r="J1025" s="321"/>
      <c r="K1025" s="332"/>
      <c r="L1025" s="332"/>
      <c r="M1025" s="332"/>
      <c r="N1025" s="332"/>
      <c r="O1025" s="332"/>
      <c r="P1025" s="332"/>
      <c r="Q1025" s="332"/>
      <c r="R1025" s="332"/>
      <c r="S1025" s="332"/>
      <c r="T1025" s="332"/>
      <c r="U1025" s="332"/>
      <c r="V1025" s="332"/>
      <c r="W1025" s="332"/>
      <c r="X1025" s="332"/>
      <c r="Y1025" s="332"/>
      <c r="Z1025" s="332"/>
      <c r="AA1025" s="332"/>
      <c r="AB1025" s="302"/>
    </row>
    <row r="1026" spans="1:28" s="90" customFormat="1" ht="14.1" customHeight="1" x14ac:dyDescent="0.2">
      <c r="A1026" s="301"/>
      <c r="B1026" s="350" t="s">
        <v>318</v>
      </c>
      <c r="C1026" s="101"/>
      <c r="D1026" s="101"/>
      <c r="E1026" s="101"/>
      <c r="F1026" s="370" t="s">
        <v>319</v>
      </c>
      <c r="G1026" s="149">
        <v>35853.78</v>
      </c>
      <c r="H1026" s="149"/>
      <c r="I1026" s="329">
        <f t="shared" ref="I1026:I1027" si="1822">G1026+H1026</f>
        <v>35853.78</v>
      </c>
      <c r="J1026" s="329">
        <f t="shared" ref="J1026:J1027" si="1823">I1026</f>
        <v>35853.78</v>
      </c>
      <c r="K1026" s="274"/>
      <c r="L1026" s="274"/>
      <c r="M1026" s="274"/>
      <c r="N1026" s="275">
        <f t="shared" ref="N1026:N1027" si="1824">J1026+K1026-L1026+M1026</f>
        <v>35853.78</v>
      </c>
      <c r="O1026" s="274"/>
      <c r="P1026" s="274">
        <f>23551+5853.78+6449</f>
        <v>35853.78</v>
      </c>
      <c r="Q1026" s="274"/>
      <c r="R1026" s="274"/>
      <c r="S1026" s="274">
        <f t="shared" ref="S1026:S1027" si="1825">SUM(O1026:R1026)</f>
        <v>35853.78</v>
      </c>
      <c r="T1026" s="274"/>
      <c r="U1026" s="274">
        <f>23551+5853.78+6449</f>
        <v>35853.78</v>
      </c>
      <c r="V1026" s="274"/>
      <c r="W1026" s="274"/>
      <c r="X1026" s="274">
        <f t="shared" ref="X1026:X1027" si="1826">SUM(T1026:W1026)</f>
        <v>35853.78</v>
      </c>
      <c r="Y1026" s="274">
        <f t="shared" ref="Y1026:Y1027" si="1827">I1026-N1026</f>
        <v>0</v>
      </c>
      <c r="Z1026" s="274">
        <f t="shared" ref="Z1026:Z1027" si="1828">N1026-S1026</f>
        <v>0</v>
      </c>
      <c r="AA1026" s="274"/>
      <c r="AB1026" s="306">
        <f t="shared" ref="AB1026:AB1027" si="1829">+S1026-X1026-AA1026</f>
        <v>0</v>
      </c>
    </row>
    <row r="1027" spans="1:28" s="90" customFormat="1" ht="14.1" hidden="1" customHeight="1" x14ac:dyDescent="0.2">
      <c r="A1027" s="301"/>
      <c r="B1027" s="350" t="s">
        <v>320</v>
      </c>
      <c r="C1027" s="101"/>
      <c r="D1027" s="101"/>
      <c r="E1027" s="101"/>
      <c r="F1027" s="370" t="s">
        <v>321</v>
      </c>
      <c r="G1027" s="149"/>
      <c r="H1027" s="149"/>
      <c r="I1027" s="329">
        <f t="shared" si="1822"/>
        <v>0</v>
      </c>
      <c r="J1027" s="329">
        <f t="shared" si="1823"/>
        <v>0</v>
      </c>
      <c r="K1027" s="274"/>
      <c r="L1027" s="274"/>
      <c r="M1027" s="274"/>
      <c r="N1027" s="275">
        <f t="shared" si="1824"/>
        <v>0</v>
      </c>
      <c r="O1027" s="274"/>
      <c r="P1027" s="274"/>
      <c r="Q1027" s="274"/>
      <c r="R1027" s="274"/>
      <c r="S1027" s="274">
        <f t="shared" si="1825"/>
        <v>0</v>
      </c>
      <c r="T1027" s="274"/>
      <c r="U1027" s="274"/>
      <c r="V1027" s="274"/>
      <c r="W1027" s="274"/>
      <c r="X1027" s="274">
        <f t="shared" si="1826"/>
        <v>0</v>
      </c>
      <c r="Y1027" s="274">
        <f t="shared" si="1827"/>
        <v>0</v>
      </c>
      <c r="Z1027" s="274">
        <f t="shared" si="1828"/>
        <v>0</v>
      </c>
      <c r="AA1027" s="274"/>
      <c r="AB1027" s="306">
        <f t="shared" si="1829"/>
        <v>0</v>
      </c>
    </row>
    <row r="1028" spans="1:28" s="90" customFormat="1" ht="14.1" customHeight="1" x14ac:dyDescent="0.2">
      <c r="A1028" s="301"/>
      <c r="B1028" s="351" t="s">
        <v>322</v>
      </c>
      <c r="C1028" s="101"/>
      <c r="D1028" s="101"/>
      <c r="E1028" s="101"/>
      <c r="F1028" s="370"/>
      <c r="G1028" s="149"/>
      <c r="H1028" s="149"/>
      <c r="I1028" s="149"/>
      <c r="J1028" s="149"/>
      <c r="K1028" s="159"/>
      <c r="L1028" s="159"/>
      <c r="M1028" s="159"/>
      <c r="N1028" s="159"/>
      <c r="O1028" s="159"/>
      <c r="P1028" s="159"/>
      <c r="Q1028" s="159"/>
      <c r="R1028" s="159"/>
      <c r="S1028" s="159"/>
      <c r="T1028" s="159"/>
      <c r="U1028" s="159"/>
      <c r="V1028" s="159"/>
      <c r="W1028" s="159"/>
      <c r="X1028" s="159"/>
      <c r="Y1028" s="159"/>
      <c r="Z1028" s="159"/>
      <c r="AA1028" s="159"/>
      <c r="AB1028" s="583"/>
    </row>
    <row r="1029" spans="1:28" s="90" customFormat="1" ht="14.1" customHeight="1" x14ac:dyDescent="0.2">
      <c r="A1029" s="301"/>
      <c r="B1029" s="350" t="s">
        <v>323</v>
      </c>
      <c r="C1029" s="101"/>
      <c r="D1029" s="101"/>
      <c r="E1029" s="101"/>
      <c r="F1029" s="370" t="s">
        <v>324</v>
      </c>
      <c r="G1029" s="149">
        <v>141032.32999999999</v>
      </c>
      <c r="H1029" s="149"/>
      <c r="I1029" s="329">
        <f t="shared" ref="I1029:I1031" si="1830">G1029+H1029</f>
        <v>141032.32999999999</v>
      </c>
      <c r="J1029" s="329">
        <f t="shared" ref="J1029:J1031" si="1831">I1029</f>
        <v>141032.32999999999</v>
      </c>
      <c r="K1029" s="274"/>
      <c r="L1029" s="274"/>
      <c r="M1029" s="274"/>
      <c r="N1029" s="275">
        <f t="shared" ref="N1029:N1031" si="1832">J1029+K1029-L1029+M1029</f>
        <v>141032.32999999999</v>
      </c>
      <c r="O1029" s="274"/>
      <c r="P1029" s="274"/>
      <c r="Q1029" s="274">
        <f>3681.67+3433.21+15600+7000</f>
        <v>29714.880000000001</v>
      </c>
      <c r="R1029" s="274">
        <f>42500+28800+2000+2000+2000+2000+2000+2000+2000+2000+2000+2000+2000+2000+2000+2000+6000+6017.45</f>
        <v>111317.45</v>
      </c>
      <c r="S1029" s="274">
        <f t="shared" ref="S1029:S1031" si="1833">SUM(O1029:R1029)</f>
        <v>141032.32999999999</v>
      </c>
      <c r="T1029" s="274"/>
      <c r="U1029" s="274"/>
      <c r="V1029" s="274">
        <f>3681.67+3433.21+15600+7000</f>
        <v>29714.880000000001</v>
      </c>
      <c r="W1029" s="274">
        <f>42500+28800+2000+2000+2000+2000+2000+2000+2000+2000+2000+2000+2000+2000+2000+2000+6000+6017.45</f>
        <v>111317.45</v>
      </c>
      <c r="X1029" s="274">
        <f t="shared" ref="X1029:X1031" si="1834">SUM(T1029:W1029)</f>
        <v>141032.32999999999</v>
      </c>
      <c r="Y1029" s="274">
        <f t="shared" ref="Y1029:Y1031" si="1835">I1029-N1029</f>
        <v>0</v>
      </c>
      <c r="Z1029" s="274">
        <f t="shared" ref="Z1029:Z1031" si="1836">N1029-S1029</f>
        <v>0</v>
      </c>
      <c r="AA1029" s="274"/>
      <c r="AB1029" s="306">
        <f t="shared" ref="AB1029:AB1031" si="1837">+S1029-X1029-AA1029</f>
        <v>0</v>
      </c>
    </row>
    <row r="1030" spans="1:28" s="90" customFormat="1" ht="14.1" hidden="1" customHeight="1" x14ac:dyDescent="0.2">
      <c r="A1030" s="301"/>
      <c r="B1030" s="350" t="s">
        <v>720</v>
      </c>
      <c r="C1030" s="718"/>
      <c r="D1030" s="718"/>
      <c r="E1030" s="718"/>
      <c r="F1030" s="370" t="s">
        <v>721</v>
      </c>
      <c r="G1030" s="149"/>
      <c r="H1030" s="149"/>
      <c r="I1030" s="329">
        <f t="shared" ref="I1030" si="1838">G1030+H1030</f>
        <v>0</v>
      </c>
      <c r="J1030" s="329">
        <f t="shared" ref="J1030" si="1839">I1030</f>
        <v>0</v>
      </c>
      <c r="K1030" s="274"/>
      <c r="L1030" s="274"/>
      <c r="M1030" s="274"/>
      <c r="N1030" s="275">
        <f t="shared" si="1832"/>
        <v>0</v>
      </c>
      <c r="O1030" s="274"/>
      <c r="P1030" s="274"/>
      <c r="Q1030" s="274"/>
      <c r="R1030" s="274"/>
      <c r="S1030" s="274">
        <f t="shared" ref="S1030" si="1840">SUM(O1030:R1030)</f>
        <v>0</v>
      </c>
      <c r="T1030" s="274"/>
      <c r="U1030" s="274"/>
      <c r="V1030" s="274"/>
      <c r="W1030" s="274"/>
      <c r="X1030" s="274">
        <f t="shared" ref="X1030" si="1841">SUM(T1030:W1030)</f>
        <v>0</v>
      </c>
      <c r="Y1030" s="274">
        <f t="shared" ref="Y1030" si="1842">I1030-N1030</f>
        <v>0</v>
      </c>
      <c r="Z1030" s="274">
        <f t="shared" ref="Z1030" si="1843">N1030-S1030</f>
        <v>0</v>
      </c>
      <c r="AA1030" s="274"/>
      <c r="AB1030" s="306">
        <f t="shared" ref="AB1030" si="1844">+S1030-X1030-AA1030</f>
        <v>0</v>
      </c>
    </row>
    <row r="1031" spans="1:28" s="90" customFormat="1" ht="14.1" hidden="1" customHeight="1" x14ac:dyDescent="0.2">
      <c r="A1031" s="301"/>
      <c r="B1031" s="350" t="s">
        <v>325</v>
      </c>
      <c r="C1031" s="101"/>
      <c r="D1031" s="101"/>
      <c r="E1031" s="101"/>
      <c r="F1031" s="370" t="s">
        <v>326</v>
      </c>
      <c r="G1031" s="149"/>
      <c r="H1031" s="149"/>
      <c r="I1031" s="329">
        <f t="shared" si="1830"/>
        <v>0</v>
      </c>
      <c r="J1031" s="329">
        <f t="shared" si="1831"/>
        <v>0</v>
      </c>
      <c r="K1031" s="274"/>
      <c r="L1031" s="274"/>
      <c r="M1031" s="274"/>
      <c r="N1031" s="275">
        <f t="shared" si="1832"/>
        <v>0</v>
      </c>
      <c r="O1031" s="274"/>
      <c r="P1031" s="274"/>
      <c r="Q1031" s="274"/>
      <c r="R1031" s="274"/>
      <c r="S1031" s="274">
        <f t="shared" si="1833"/>
        <v>0</v>
      </c>
      <c r="T1031" s="274"/>
      <c r="U1031" s="274"/>
      <c r="V1031" s="274"/>
      <c r="W1031" s="274"/>
      <c r="X1031" s="274">
        <f t="shared" si="1834"/>
        <v>0</v>
      </c>
      <c r="Y1031" s="274">
        <f t="shared" si="1835"/>
        <v>0</v>
      </c>
      <c r="Z1031" s="274">
        <f t="shared" si="1836"/>
        <v>0</v>
      </c>
      <c r="AA1031" s="274"/>
      <c r="AB1031" s="306">
        <f t="shared" si="1837"/>
        <v>0</v>
      </c>
    </row>
    <row r="1032" spans="1:28" s="90" customFormat="1" ht="14.1" customHeight="1" x14ac:dyDescent="0.2">
      <c r="A1032" s="301"/>
      <c r="B1032" s="351" t="s">
        <v>327</v>
      </c>
      <c r="C1032" s="101"/>
      <c r="D1032" s="101"/>
      <c r="E1032" s="101"/>
      <c r="F1032" s="370"/>
      <c r="G1032" s="149"/>
      <c r="H1032" s="149"/>
      <c r="I1032" s="149"/>
      <c r="J1032" s="149"/>
      <c r="K1032" s="159"/>
      <c r="L1032" s="159"/>
      <c r="M1032" s="159"/>
      <c r="N1032" s="159"/>
      <c r="O1032" s="159"/>
      <c r="P1032" s="159"/>
      <c r="Q1032" s="159"/>
      <c r="R1032" s="159"/>
      <c r="S1032" s="159"/>
      <c r="T1032" s="159"/>
      <c r="U1032" s="159"/>
      <c r="V1032" s="159"/>
      <c r="W1032" s="159"/>
      <c r="X1032" s="159"/>
      <c r="Y1032" s="159"/>
      <c r="Z1032" s="159"/>
      <c r="AA1032" s="159"/>
      <c r="AB1032" s="583"/>
    </row>
    <row r="1033" spans="1:28" s="90" customFormat="1" ht="14.1" customHeight="1" x14ac:dyDescent="0.2">
      <c r="A1033" s="301"/>
      <c r="B1033" s="350" t="s">
        <v>328</v>
      </c>
      <c r="C1033" s="101"/>
      <c r="D1033" s="101"/>
      <c r="E1033" s="101"/>
      <c r="F1033" s="370" t="s">
        <v>743</v>
      </c>
      <c r="G1033" s="149">
        <v>165253.25</v>
      </c>
      <c r="H1033" s="149"/>
      <c r="I1033" s="329">
        <f t="shared" ref="I1033:I1038" si="1845">G1033+H1033</f>
        <v>165253.25</v>
      </c>
      <c r="J1033" s="329">
        <f t="shared" ref="J1033:J1038" si="1846">I1033</f>
        <v>165253.25</v>
      </c>
      <c r="K1033" s="274"/>
      <c r="L1033" s="274"/>
      <c r="M1033" s="274"/>
      <c r="N1033" s="275">
        <f t="shared" ref="N1033:N1038" si="1847">J1033+K1033-L1033+M1033</f>
        <v>165253.25</v>
      </c>
      <c r="O1033" s="274"/>
      <c r="P1033" s="274">
        <f>15000+7000+1988+5000+3028+21475+10136.58+23760+7200</f>
        <v>94587.58</v>
      </c>
      <c r="Q1033" s="274">
        <f>2670+1484+1661.17+2400.5+3494.4+13000+1400+2000+1000+18525+4000+14030.6+5000</f>
        <v>70665.67</v>
      </c>
      <c r="R1033" s="274"/>
      <c r="S1033" s="274">
        <f t="shared" ref="S1033:S1038" si="1848">SUM(O1033:R1033)</f>
        <v>165253.25</v>
      </c>
      <c r="T1033" s="274"/>
      <c r="U1033" s="274">
        <f>15000+7000+1988+5000+3028+21475+10136.58</f>
        <v>63627.58</v>
      </c>
      <c r="V1033" s="274">
        <f>7200+23760+2400.5+1484+2670+1661.17+3494.4+13000+1400+1000+2000+4000+14030.6+5000+18525</f>
        <v>101625.67</v>
      </c>
      <c r="W1033" s="274"/>
      <c r="X1033" s="274">
        <f t="shared" ref="X1033:X1038" si="1849">SUM(T1033:W1033)</f>
        <v>165253.25</v>
      </c>
      <c r="Y1033" s="274">
        <f t="shared" ref="Y1033:Y1038" si="1850">I1033-N1033</f>
        <v>0</v>
      </c>
      <c r="Z1033" s="274">
        <f t="shared" ref="Z1033:Z1038" si="1851">N1033-S1033</f>
        <v>0</v>
      </c>
      <c r="AA1033" s="274"/>
      <c r="AB1033" s="306">
        <f t="shared" ref="AB1033:AB1038" si="1852">+S1033-X1033-AA1033</f>
        <v>0</v>
      </c>
    </row>
    <row r="1034" spans="1:28" s="90" customFormat="1" ht="14.1" customHeight="1" x14ac:dyDescent="0.2">
      <c r="A1034" s="301"/>
      <c r="B1034" s="350" t="s">
        <v>330</v>
      </c>
      <c r="C1034" s="101"/>
      <c r="D1034" s="101"/>
      <c r="E1034" s="101"/>
      <c r="F1034" s="370" t="s">
        <v>331</v>
      </c>
      <c r="G1034" s="149"/>
      <c r="H1034" s="149"/>
      <c r="I1034" s="329">
        <f t="shared" si="1845"/>
        <v>0</v>
      </c>
      <c r="J1034" s="329">
        <f t="shared" si="1846"/>
        <v>0</v>
      </c>
      <c r="K1034" s="274"/>
      <c r="L1034" s="274"/>
      <c r="M1034" s="274"/>
      <c r="N1034" s="275">
        <f t="shared" si="1847"/>
        <v>0</v>
      </c>
      <c r="O1034" s="274"/>
      <c r="P1034" s="274"/>
      <c r="Q1034" s="274"/>
      <c r="R1034" s="274"/>
      <c r="S1034" s="274">
        <f t="shared" si="1848"/>
        <v>0</v>
      </c>
      <c r="T1034" s="274"/>
      <c r="U1034" s="274"/>
      <c r="V1034" s="274"/>
      <c r="W1034" s="274"/>
      <c r="X1034" s="274">
        <f t="shared" si="1849"/>
        <v>0</v>
      </c>
      <c r="Y1034" s="274">
        <f t="shared" si="1850"/>
        <v>0</v>
      </c>
      <c r="Z1034" s="274">
        <f t="shared" si="1851"/>
        <v>0</v>
      </c>
      <c r="AA1034" s="274"/>
      <c r="AB1034" s="306">
        <f t="shared" si="1852"/>
        <v>0</v>
      </c>
    </row>
    <row r="1035" spans="1:28" s="90" customFormat="1" ht="14.1" hidden="1" customHeight="1" x14ac:dyDescent="0.2">
      <c r="A1035" s="301"/>
      <c r="B1035" s="350" t="s">
        <v>332</v>
      </c>
      <c r="C1035" s="101"/>
      <c r="D1035" s="101"/>
      <c r="E1035" s="101"/>
      <c r="F1035" s="370" t="s">
        <v>333</v>
      </c>
      <c r="G1035" s="149"/>
      <c r="H1035" s="149"/>
      <c r="I1035" s="329">
        <f t="shared" si="1845"/>
        <v>0</v>
      </c>
      <c r="J1035" s="329">
        <f t="shared" si="1846"/>
        <v>0</v>
      </c>
      <c r="K1035" s="274"/>
      <c r="L1035" s="274"/>
      <c r="M1035" s="274"/>
      <c r="N1035" s="275">
        <f t="shared" si="1847"/>
        <v>0</v>
      </c>
      <c r="O1035" s="274"/>
      <c r="P1035" s="274"/>
      <c r="Q1035" s="274"/>
      <c r="R1035" s="274"/>
      <c r="S1035" s="274">
        <f t="shared" si="1848"/>
        <v>0</v>
      </c>
      <c r="T1035" s="274"/>
      <c r="U1035" s="274"/>
      <c r="V1035" s="274"/>
      <c r="W1035" s="274"/>
      <c r="X1035" s="274">
        <f t="shared" si="1849"/>
        <v>0</v>
      </c>
      <c r="Y1035" s="274">
        <f t="shared" si="1850"/>
        <v>0</v>
      </c>
      <c r="Z1035" s="274">
        <f t="shared" si="1851"/>
        <v>0</v>
      </c>
      <c r="AA1035" s="274"/>
      <c r="AB1035" s="306">
        <f t="shared" si="1852"/>
        <v>0</v>
      </c>
    </row>
    <row r="1036" spans="1:28" s="90" customFormat="1" ht="14.1" customHeight="1" x14ac:dyDescent="0.2">
      <c r="A1036" s="301"/>
      <c r="B1036" s="350" t="s">
        <v>334</v>
      </c>
      <c r="C1036" s="101"/>
      <c r="D1036" s="101"/>
      <c r="E1036" s="101"/>
      <c r="F1036" s="370" t="s">
        <v>335</v>
      </c>
      <c r="G1036" s="149"/>
      <c r="H1036" s="149"/>
      <c r="I1036" s="329">
        <f t="shared" si="1845"/>
        <v>0</v>
      </c>
      <c r="J1036" s="329">
        <f t="shared" si="1846"/>
        <v>0</v>
      </c>
      <c r="K1036" s="274"/>
      <c r="L1036" s="274"/>
      <c r="M1036" s="274"/>
      <c r="N1036" s="275">
        <f t="shared" si="1847"/>
        <v>0</v>
      </c>
      <c r="O1036" s="274"/>
      <c r="P1036" s="274"/>
      <c r="Q1036" s="274"/>
      <c r="R1036" s="274"/>
      <c r="S1036" s="274">
        <f t="shared" si="1848"/>
        <v>0</v>
      </c>
      <c r="T1036" s="274"/>
      <c r="U1036" s="274"/>
      <c r="V1036" s="274"/>
      <c r="W1036" s="274"/>
      <c r="X1036" s="274">
        <f t="shared" si="1849"/>
        <v>0</v>
      </c>
      <c r="Y1036" s="274">
        <f t="shared" si="1850"/>
        <v>0</v>
      </c>
      <c r="Z1036" s="274">
        <f t="shared" si="1851"/>
        <v>0</v>
      </c>
      <c r="AA1036" s="274"/>
      <c r="AB1036" s="306">
        <f t="shared" si="1852"/>
        <v>0</v>
      </c>
    </row>
    <row r="1037" spans="1:28" s="90" customFormat="1" ht="14.1" customHeight="1" x14ac:dyDescent="0.2">
      <c r="A1037" s="301"/>
      <c r="B1037" s="350" t="s">
        <v>336</v>
      </c>
      <c r="C1037" s="101"/>
      <c r="D1037" s="101"/>
      <c r="E1037" s="101"/>
      <c r="F1037" s="370" t="s">
        <v>337</v>
      </c>
      <c r="G1037" s="149">
        <v>32924.6</v>
      </c>
      <c r="H1037" s="149"/>
      <c r="I1037" s="329">
        <f t="shared" si="1845"/>
        <v>32924.6</v>
      </c>
      <c r="J1037" s="329">
        <f t="shared" si="1846"/>
        <v>32924.6</v>
      </c>
      <c r="K1037" s="274"/>
      <c r="L1037" s="274"/>
      <c r="M1037" s="274"/>
      <c r="N1037" s="275">
        <f t="shared" si="1847"/>
        <v>32924.6</v>
      </c>
      <c r="O1037" s="274"/>
      <c r="P1037" s="274">
        <v>5000</v>
      </c>
      <c r="Q1037" s="274">
        <f>26414.86+1509.74</f>
        <v>27924.600000000002</v>
      </c>
      <c r="R1037" s="274"/>
      <c r="S1037" s="274">
        <f t="shared" si="1848"/>
        <v>32924.600000000006</v>
      </c>
      <c r="T1037" s="274"/>
      <c r="U1037" s="274">
        <v>5000</v>
      </c>
      <c r="V1037" s="274">
        <f>11414.86+7000+8000+1509.74</f>
        <v>27924.600000000002</v>
      </c>
      <c r="W1037" s="274"/>
      <c r="X1037" s="274">
        <f t="shared" si="1849"/>
        <v>32924.600000000006</v>
      </c>
      <c r="Y1037" s="274">
        <f t="shared" si="1850"/>
        <v>0</v>
      </c>
      <c r="Z1037" s="274">
        <f t="shared" si="1851"/>
        <v>0</v>
      </c>
      <c r="AA1037" s="274"/>
      <c r="AB1037" s="306">
        <f t="shared" si="1852"/>
        <v>0</v>
      </c>
    </row>
    <row r="1038" spans="1:28" s="90" customFormat="1" ht="14.1" customHeight="1" x14ac:dyDescent="0.2">
      <c r="A1038" s="301"/>
      <c r="B1038" s="350" t="s">
        <v>338</v>
      </c>
      <c r="C1038" s="101"/>
      <c r="D1038" s="101"/>
      <c r="E1038" s="101"/>
      <c r="F1038" s="370" t="s">
        <v>339</v>
      </c>
      <c r="G1038" s="149"/>
      <c r="H1038" s="149"/>
      <c r="I1038" s="329">
        <f t="shared" si="1845"/>
        <v>0</v>
      </c>
      <c r="J1038" s="329">
        <f t="shared" si="1846"/>
        <v>0</v>
      </c>
      <c r="K1038" s="274"/>
      <c r="L1038" s="274"/>
      <c r="M1038" s="274"/>
      <c r="N1038" s="275">
        <f t="shared" si="1847"/>
        <v>0</v>
      </c>
      <c r="O1038" s="274"/>
      <c r="P1038" s="274"/>
      <c r="Q1038" s="274"/>
      <c r="R1038" s="274"/>
      <c r="S1038" s="274">
        <f t="shared" si="1848"/>
        <v>0</v>
      </c>
      <c r="T1038" s="274"/>
      <c r="U1038" s="274"/>
      <c r="V1038" s="274"/>
      <c r="W1038" s="274"/>
      <c r="X1038" s="274">
        <f t="shared" si="1849"/>
        <v>0</v>
      </c>
      <c r="Y1038" s="274">
        <f t="shared" si="1850"/>
        <v>0</v>
      </c>
      <c r="Z1038" s="274">
        <f t="shared" si="1851"/>
        <v>0</v>
      </c>
      <c r="AA1038" s="274"/>
      <c r="AB1038" s="306">
        <f t="shared" si="1852"/>
        <v>0</v>
      </c>
    </row>
    <row r="1039" spans="1:28" s="90" customFormat="1" ht="14.1" customHeight="1" x14ac:dyDescent="0.2">
      <c r="A1039" s="301"/>
      <c r="B1039" s="351" t="s">
        <v>340</v>
      </c>
      <c r="C1039" s="101"/>
      <c r="D1039" s="101"/>
      <c r="E1039" s="101"/>
      <c r="F1039" s="370"/>
      <c r="G1039" s="149"/>
      <c r="H1039" s="149"/>
      <c r="I1039" s="149"/>
      <c r="J1039" s="149"/>
      <c r="K1039" s="159"/>
      <c r="L1039" s="159"/>
      <c r="M1039" s="159"/>
      <c r="N1039" s="159"/>
      <c r="O1039" s="159"/>
      <c r="P1039" s="159"/>
      <c r="Q1039" s="159"/>
      <c r="R1039" s="159"/>
      <c r="S1039" s="159"/>
      <c r="T1039" s="159"/>
      <c r="U1039" s="159"/>
      <c r="V1039" s="159"/>
      <c r="W1039" s="159"/>
      <c r="X1039" s="159"/>
      <c r="Y1039" s="159"/>
      <c r="Z1039" s="159"/>
      <c r="AA1039" s="159"/>
      <c r="AB1039" s="583"/>
    </row>
    <row r="1040" spans="1:28" s="90" customFormat="1" ht="14.1" hidden="1" customHeight="1" x14ac:dyDescent="0.2">
      <c r="A1040" s="301"/>
      <c r="B1040" s="350" t="s">
        <v>341</v>
      </c>
      <c r="C1040" s="101"/>
      <c r="D1040" s="101"/>
      <c r="E1040" s="101"/>
      <c r="F1040" s="370" t="s">
        <v>342</v>
      </c>
      <c r="G1040" s="149"/>
      <c r="H1040" s="149"/>
      <c r="I1040" s="329">
        <f t="shared" ref="I1040:I1041" si="1853">G1040+H1040</f>
        <v>0</v>
      </c>
      <c r="J1040" s="329">
        <f t="shared" ref="J1040:J1041" si="1854">I1040</f>
        <v>0</v>
      </c>
      <c r="K1040" s="274"/>
      <c r="L1040" s="274"/>
      <c r="M1040" s="274"/>
      <c r="N1040" s="275">
        <f t="shared" ref="N1040:N1041" si="1855">J1040+K1040-L1040+M1040</f>
        <v>0</v>
      </c>
      <c r="O1040" s="274"/>
      <c r="P1040" s="274"/>
      <c r="Q1040" s="274"/>
      <c r="R1040" s="274"/>
      <c r="S1040" s="274">
        <f t="shared" ref="S1040:S1041" si="1856">SUM(O1040:R1040)</f>
        <v>0</v>
      </c>
      <c r="T1040" s="274"/>
      <c r="U1040" s="274"/>
      <c r="V1040" s="274"/>
      <c r="W1040" s="274"/>
      <c r="X1040" s="274">
        <f t="shared" ref="X1040:X1041" si="1857">SUM(T1040:W1040)</f>
        <v>0</v>
      </c>
      <c r="Y1040" s="274">
        <f t="shared" ref="Y1040:Y1041" si="1858">I1040-N1040</f>
        <v>0</v>
      </c>
      <c r="Z1040" s="274">
        <f t="shared" ref="Z1040:Z1041" si="1859">N1040-S1040</f>
        <v>0</v>
      </c>
      <c r="AA1040" s="274"/>
      <c r="AB1040" s="306">
        <f t="shared" ref="AB1040:AB1041" si="1860">+S1040-X1040-AA1040</f>
        <v>0</v>
      </c>
    </row>
    <row r="1041" spans="1:28" s="90" customFormat="1" ht="14.1" hidden="1" customHeight="1" x14ac:dyDescent="0.2">
      <c r="A1041" s="301"/>
      <c r="B1041" s="350" t="s">
        <v>343</v>
      </c>
      <c r="C1041" s="101"/>
      <c r="D1041" s="101"/>
      <c r="E1041" s="101"/>
      <c r="F1041" s="370" t="s">
        <v>344</v>
      </c>
      <c r="G1041" s="149"/>
      <c r="H1041" s="149"/>
      <c r="I1041" s="329">
        <f t="shared" si="1853"/>
        <v>0</v>
      </c>
      <c r="J1041" s="329">
        <f t="shared" si="1854"/>
        <v>0</v>
      </c>
      <c r="K1041" s="274"/>
      <c r="L1041" s="274"/>
      <c r="M1041" s="274"/>
      <c r="N1041" s="275">
        <f t="shared" si="1855"/>
        <v>0</v>
      </c>
      <c r="O1041" s="274"/>
      <c r="P1041" s="274"/>
      <c r="Q1041" s="274"/>
      <c r="R1041" s="274"/>
      <c r="S1041" s="274">
        <f t="shared" si="1856"/>
        <v>0</v>
      </c>
      <c r="T1041" s="274"/>
      <c r="U1041" s="274"/>
      <c r="V1041" s="274"/>
      <c r="W1041" s="274"/>
      <c r="X1041" s="274">
        <f t="shared" si="1857"/>
        <v>0</v>
      </c>
      <c r="Y1041" s="274">
        <f t="shared" si="1858"/>
        <v>0</v>
      </c>
      <c r="Z1041" s="274">
        <f t="shared" si="1859"/>
        <v>0</v>
      </c>
      <c r="AA1041" s="274"/>
      <c r="AB1041" s="306">
        <f t="shared" si="1860"/>
        <v>0</v>
      </c>
    </row>
    <row r="1042" spans="1:28" s="90" customFormat="1" ht="14.1" customHeight="1" x14ac:dyDescent="0.2">
      <c r="A1042" s="301"/>
      <c r="B1042" s="351" t="s">
        <v>345</v>
      </c>
      <c r="C1042" s="101"/>
      <c r="D1042" s="101"/>
      <c r="E1042" s="101"/>
      <c r="F1042" s="370"/>
      <c r="G1042" s="149"/>
      <c r="H1042" s="149"/>
      <c r="I1042" s="149"/>
      <c r="J1042" s="149"/>
      <c r="K1042" s="159"/>
      <c r="L1042" s="159"/>
      <c r="M1042" s="159"/>
      <c r="N1042" s="159"/>
      <c r="O1042" s="159"/>
      <c r="P1042" s="159"/>
      <c r="Q1042" s="159"/>
      <c r="R1042" s="159"/>
      <c r="S1042" s="159"/>
      <c r="T1042" s="159"/>
      <c r="U1042" s="159"/>
      <c r="V1042" s="159"/>
      <c r="W1042" s="159"/>
      <c r="X1042" s="159"/>
      <c r="Y1042" s="159"/>
      <c r="Z1042" s="159"/>
      <c r="AA1042" s="159"/>
      <c r="AB1042" s="583"/>
    </row>
    <row r="1043" spans="1:28" s="90" customFormat="1" ht="14.1" hidden="1" customHeight="1" x14ac:dyDescent="0.2">
      <c r="A1043" s="301"/>
      <c r="B1043" s="350" t="s">
        <v>346</v>
      </c>
      <c r="C1043" s="101"/>
      <c r="D1043" s="101"/>
      <c r="E1043" s="101"/>
      <c r="F1043" s="370" t="s">
        <v>347</v>
      </c>
      <c r="G1043" s="149"/>
      <c r="H1043" s="149"/>
      <c r="I1043" s="329">
        <f t="shared" ref="I1043:I1047" si="1861">G1043+H1043</f>
        <v>0</v>
      </c>
      <c r="J1043" s="329">
        <f t="shared" ref="J1043:J1047" si="1862">I1043</f>
        <v>0</v>
      </c>
      <c r="K1043" s="274"/>
      <c r="L1043" s="274"/>
      <c r="M1043" s="274"/>
      <c r="N1043" s="275">
        <f t="shared" ref="N1043:N1047" si="1863">J1043+K1043-L1043+M1043</f>
        <v>0</v>
      </c>
      <c r="O1043" s="274"/>
      <c r="P1043" s="274"/>
      <c r="Q1043" s="274"/>
      <c r="R1043" s="274"/>
      <c r="S1043" s="274">
        <f t="shared" ref="S1043:S1047" si="1864">SUM(O1043:R1043)</f>
        <v>0</v>
      </c>
      <c r="T1043" s="274"/>
      <c r="U1043" s="274"/>
      <c r="V1043" s="274"/>
      <c r="W1043" s="274"/>
      <c r="X1043" s="274">
        <f t="shared" ref="X1043:X1047" si="1865">SUM(T1043:W1043)</f>
        <v>0</v>
      </c>
      <c r="Y1043" s="274">
        <f t="shared" ref="Y1043:Y1047" si="1866">I1043-N1043</f>
        <v>0</v>
      </c>
      <c r="Z1043" s="274">
        <f t="shared" ref="Z1043:Z1047" si="1867">N1043-S1043</f>
        <v>0</v>
      </c>
      <c r="AA1043" s="274"/>
      <c r="AB1043" s="306">
        <f t="shared" ref="AB1043:AB1047" si="1868">+S1043-X1043-AA1043</f>
        <v>0</v>
      </c>
    </row>
    <row r="1044" spans="1:28" s="90" customFormat="1" ht="14.1" customHeight="1" x14ac:dyDescent="0.2">
      <c r="A1044" s="301"/>
      <c r="B1044" s="350" t="s">
        <v>348</v>
      </c>
      <c r="C1044" s="101"/>
      <c r="D1044" s="101"/>
      <c r="E1044" s="101"/>
      <c r="F1044" s="370" t="s">
        <v>349</v>
      </c>
      <c r="G1044" s="149">
        <v>1900</v>
      </c>
      <c r="H1044" s="149"/>
      <c r="I1044" s="329">
        <f t="shared" si="1861"/>
        <v>1900</v>
      </c>
      <c r="J1044" s="329">
        <f t="shared" si="1862"/>
        <v>1900</v>
      </c>
      <c r="K1044" s="274"/>
      <c r="L1044" s="274"/>
      <c r="M1044" s="274"/>
      <c r="N1044" s="275">
        <f t="shared" si="1863"/>
        <v>1900</v>
      </c>
      <c r="O1044" s="274"/>
      <c r="P1044" s="274">
        <v>1900</v>
      </c>
      <c r="Q1044" s="274"/>
      <c r="R1044" s="274"/>
      <c r="S1044" s="274">
        <f t="shared" si="1864"/>
        <v>1900</v>
      </c>
      <c r="T1044" s="274"/>
      <c r="U1044" s="274">
        <v>1900</v>
      </c>
      <c r="V1044" s="274"/>
      <c r="W1044" s="274"/>
      <c r="X1044" s="274">
        <f t="shared" si="1865"/>
        <v>1900</v>
      </c>
      <c r="Y1044" s="274">
        <f t="shared" si="1866"/>
        <v>0</v>
      </c>
      <c r="Z1044" s="274">
        <f t="shared" si="1867"/>
        <v>0</v>
      </c>
      <c r="AA1044" s="274"/>
      <c r="AB1044" s="306">
        <f t="shared" si="1868"/>
        <v>0</v>
      </c>
    </row>
    <row r="1045" spans="1:28" s="90" customFormat="1" ht="14.1" hidden="1" customHeight="1" x14ac:dyDescent="0.2">
      <c r="A1045" s="301"/>
      <c r="B1045" s="350" t="s">
        <v>350</v>
      </c>
      <c r="C1045" s="101"/>
      <c r="D1045" s="101"/>
      <c r="E1045" s="101"/>
      <c r="F1045" s="370" t="s">
        <v>351</v>
      </c>
      <c r="G1045" s="149"/>
      <c r="H1045" s="149"/>
      <c r="I1045" s="329">
        <f t="shared" si="1861"/>
        <v>0</v>
      </c>
      <c r="J1045" s="329">
        <f t="shared" si="1862"/>
        <v>0</v>
      </c>
      <c r="K1045" s="274"/>
      <c r="L1045" s="274"/>
      <c r="M1045" s="274"/>
      <c r="N1045" s="275">
        <f t="shared" si="1863"/>
        <v>0</v>
      </c>
      <c r="O1045" s="274"/>
      <c r="P1045" s="274"/>
      <c r="Q1045" s="274"/>
      <c r="R1045" s="274"/>
      <c r="S1045" s="274">
        <f t="shared" si="1864"/>
        <v>0</v>
      </c>
      <c r="T1045" s="274"/>
      <c r="U1045" s="274"/>
      <c r="V1045" s="274"/>
      <c r="W1045" s="274"/>
      <c r="X1045" s="274">
        <f t="shared" si="1865"/>
        <v>0</v>
      </c>
      <c r="Y1045" s="274">
        <f t="shared" si="1866"/>
        <v>0</v>
      </c>
      <c r="Z1045" s="274">
        <f t="shared" si="1867"/>
        <v>0</v>
      </c>
      <c r="AA1045" s="274"/>
      <c r="AB1045" s="306">
        <f t="shared" si="1868"/>
        <v>0</v>
      </c>
    </row>
    <row r="1046" spans="1:28" s="90" customFormat="1" ht="14.1" hidden="1" customHeight="1" x14ac:dyDescent="0.2">
      <c r="A1046" s="301"/>
      <c r="B1046" s="350" t="s">
        <v>352</v>
      </c>
      <c r="C1046" s="101"/>
      <c r="D1046" s="101"/>
      <c r="E1046" s="101"/>
      <c r="F1046" s="370" t="s">
        <v>353</v>
      </c>
      <c r="G1046" s="149"/>
      <c r="H1046" s="149"/>
      <c r="I1046" s="329">
        <f t="shared" si="1861"/>
        <v>0</v>
      </c>
      <c r="J1046" s="329">
        <f t="shared" si="1862"/>
        <v>0</v>
      </c>
      <c r="K1046" s="274"/>
      <c r="L1046" s="274"/>
      <c r="M1046" s="274"/>
      <c r="N1046" s="275">
        <f t="shared" si="1863"/>
        <v>0</v>
      </c>
      <c r="O1046" s="274"/>
      <c r="P1046" s="274"/>
      <c r="Q1046" s="274"/>
      <c r="R1046" s="274"/>
      <c r="S1046" s="274">
        <f t="shared" si="1864"/>
        <v>0</v>
      </c>
      <c r="T1046" s="274"/>
      <c r="U1046" s="274"/>
      <c r="V1046" s="274"/>
      <c r="W1046" s="274"/>
      <c r="X1046" s="274">
        <f t="shared" si="1865"/>
        <v>0</v>
      </c>
      <c r="Y1046" s="274">
        <f t="shared" si="1866"/>
        <v>0</v>
      </c>
      <c r="Z1046" s="274">
        <f t="shared" si="1867"/>
        <v>0</v>
      </c>
      <c r="AA1046" s="274"/>
      <c r="AB1046" s="306">
        <f t="shared" si="1868"/>
        <v>0</v>
      </c>
    </row>
    <row r="1047" spans="1:28" s="90" customFormat="1" ht="14.1" hidden="1" customHeight="1" x14ac:dyDescent="0.2">
      <c r="A1047" s="301"/>
      <c r="B1047" s="350" t="s">
        <v>354</v>
      </c>
      <c r="C1047" s="101"/>
      <c r="D1047" s="101"/>
      <c r="E1047" s="101"/>
      <c r="F1047" s="370" t="s">
        <v>355</v>
      </c>
      <c r="G1047" s="149"/>
      <c r="H1047" s="149"/>
      <c r="I1047" s="329">
        <f t="shared" si="1861"/>
        <v>0</v>
      </c>
      <c r="J1047" s="329">
        <f t="shared" si="1862"/>
        <v>0</v>
      </c>
      <c r="K1047" s="274"/>
      <c r="L1047" s="274"/>
      <c r="M1047" s="274"/>
      <c r="N1047" s="275">
        <f t="shared" si="1863"/>
        <v>0</v>
      </c>
      <c r="O1047" s="274"/>
      <c r="P1047" s="274"/>
      <c r="Q1047" s="274"/>
      <c r="R1047" s="274"/>
      <c r="S1047" s="274">
        <f t="shared" si="1864"/>
        <v>0</v>
      </c>
      <c r="T1047" s="274"/>
      <c r="U1047" s="274"/>
      <c r="V1047" s="274"/>
      <c r="W1047" s="274"/>
      <c r="X1047" s="274">
        <f t="shared" si="1865"/>
        <v>0</v>
      </c>
      <c r="Y1047" s="274">
        <f t="shared" si="1866"/>
        <v>0</v>
      </c>
      <c r="Z1047" s="274">
        <f t="shared" si="1867"/>
        <v>0</v>
      </c>
      <c r="AA1047" s="274"/>
      <c r="AB1047" s="306">
        <f t="shared" si="1868"/>
        <v>0</v>
      </c>
    </row>
    <row r="1048" spans="1:28" s="90" customFormat="1" ht="14.1" customHeight="1" x14ac:dyDescent="0.2">
      <c r="A1048" s="301"/>
      <c r="B1048" s="351" t="s">
        <v>356</v>
      </c>
      <c r="C1048" s="101"/>
      <c r="D1048" s="101"/>
      <c r="E1048" s="101"/>
      <c r="F1048" s="370"/>
      <c r="G1048" s="149"/>
      <c r="H1048" s="149"/>
      <c r="I1048" s="149"/>
      <c r="J1048" s="149"/>
      <c r="K1048" s="159"/>
      <c r="L1048" s="159"/>
      <c r="M1048" s="159"/>
      <c r="N1048" s="159"/>
      <c r="O1048" s="159"/>
      <c r="P1048" s="159"/>
      <c r="Q1048" s="159"/>
      <c r="R1048" s="159"/>
      <c r="S1048" s="159"/>
      <c r="T1048" s="159"/>
      <c r="U1048" s="159"/>
      <c r="V1048" s="159"/>
      <c r="W1048" s="159"/>
      <c r="X1048" s="159"/>
      <c r="Y1048" s="159"/>
      <c r="Z1048" s="159"/>
      <c r="AA1048" s="159"/>
      <c r="AB1048" s="583"/>
    </row>
    <row r="1049" spans="1:28" s="90" customFormat="1" ht="14.1" hidden="1" customHeight="1" x14ac:dyDescent="0.2">
      <c r="A1049" s="301"/>
      <c r="B1049" s="350" t="s">
        <v>357</v>
      </c>
      <c r="C1049" s="101"/>
      <c r="D1049" s="101"/>
      <c r="E1049" s="101"/>
      <c r="F1049" s="370" t="s">
        <v>358</v>
      </c>
      <c r="G1049" s="149"/>
      <c r="H1049" s="149"/>
      <c r="I1049" s="329">
        <f t="shared" ref="I1049" si="1869">G1049+H1049</f>
        <v>0</v>
      </c>
      <c r="J1049" s="329">
        <f t="shared" ref="J1049" si="1870">I1049</f>
        <v>0</v>
      </c>
      <c r="K1049" s="274"/>
      <c r="L1049" s="274"/>
      <c r="M1049" s="274"/>
      <c r="N1049" s="275">
        <f t="shared" ref="N1049" si="1871">J1049+K1049-L1049+M1049</f>
        <v>0</v>
      </c>
      <c r="O1049" s="274"/>
      <c r="P1049" s="274"/>
      <c r="Q1049" s="274"/>
      <c r="R1049" s="274"/>
      <c r="S1049" s="274">
        <f t="shared" ref="S1049" si="1872">SUM(O1049:R1049)</f>
        <v>0</v>
      </c>
      <c r="T1049" s="274"/>
      <c r="U1049" s="274"/>
      <c r="V1049" s="274"/>
      <c r="W1049" s="274"/>
      <c r="X1049" s="274">
        <f t="shared" ref="X1049" si="1873">SUM(T1049:W1049)</f>
        <v>0</v>
      </c>
      <c r="Y1049" s="274">
        <f t="shared" ref="Y1049" si="1874">I1049-N1049</f>
        <v>0</v>
      </c>
      <c r="Z1049" s="274">
        <f t="shared" ref="Z1049" si="1875">N1049-S1049</f>
        <v>0</v>
      </c>
      <c r="AA1049" s="274"/>
      <c r="AB1049" s="306">
        <f t="shared" ref="AB1049" si="1876">+S1049-X1049-AA1049</f>
        <v>0</v>
      </c>
    </row>
    <row r="1050" spans="1:28" s="90" customFormat="1" ht="14.1" customHeight="1" x14ac:dyDescent="0.2">
      <c r="A1050" s="301"/>
      <c r="B1050" s="351" t="s">
        <v>359</v>
      </c>
      <c r="C1050" s="101"/>
      <c r="D1050" s="101"/>
      <c r="E1050" s="101"/>
      <c r="F1050" s="370"/>
      <c r="G1050" s="149"/>
      <c r="H1050" s="149"/>
      <c r="I1050" s="149"/>
      <c r="J1050" s="149"/>
      <c r="K1050" s="159"/>
      <c r="L1050" s="159"/>
      <c r="M1050" s="159"/>
      <c r="N1050" s="159"/>
      <c r="O1050" s="159"/>
      <c r="P1050" s="159"/>
      <c r="Q1050" s="159"/>
      <c r="R1050" s="159"/>
      <c r="S1050" s="159"/>
      <c r="T1050" s="159"/>
      <c r="U1050" s="159"/>
      <c r="V1050" s="159"/>
      <c r="W1050" s="159"/>
      <c r="X1050" s="159"/>
      <c r="Y1050" s="159"/>
      <c r="Z1050" s="159"/>
      <c r="AA1050" s="159"/>
      <c r="AB1050" s="583"/>
    </row>
    <row r="1051" spans="1:28" s="90" customFormat="1" ht="14.1" hidden="1" customHeight="1" x14ac:dyDescent="0.2">
      <c r="A1051" s="301"/>
      <c r="B1051" s="350" t="s">
        <v>360</v>
      </c>
      <c r="C1051" s="101"/>
      <c r="D1051" s="101"/>
      <c r="E1051" s="101"/>
      <c r="F1051" s="370" t="s">
        <v>361</v>
      </c>
      <c r="G1051" s="149"/>
      <c r="H1051" s="149"/>
      <c r="I1051" s="329">
        <f t="shared" ref="I1051:I1054" si="1877">G1051+H1051</f>
        <v>0</v>
      </c>
      <c r="J1051" s="329">
        <f t="shared" ref="J1051:J1054" si="1878">I1051</f>
        <v>0</v>
      </c>
      <c r="K1051" s="274"/>
      <c r="L1051" s="274"/>
      <c r="M1051" s="274"/>
      <c r="N1051" s="275">
        <f t="shared" ref="N1051:N1054" si="1879">J1051+K1051-L1051+M1051</f>
        <v>0</v>
      </c>
      <c r="O1051" s="274"/>
      <c r="P1051" s="274"/>
      <c r="Q1051" s="274"/>
      <c r="R1051" s="274"/>
      <c r="S1051" s="274">
        <f t="shared" ref="S1051:S1054" si="1880">SUM(O1051:R1051)</f>
        <v>0</v>
      </c>
      <c r="T1051" s="274"/>
      <c r="U1051" s="274"/>
      <c r="V1051" s="274"/>
      <c r="W1051" s="274"/>
      <c r="X1051" s="274">
        <f t="shared" ref="X1051:X1054" si="1881">SUM(T1051:W1051)</f>
        <v>0</v>
      </c>
      <c r="Y1051" s="274">
        <f t="shared" ref="Y1051:Y1054" si="1882">I1051-N1051</f>
        <v>0</v>
      </c>
      <c r="Z1051" s="274">
        <f t="shared" ref="Z1051:Z1054" si="1883">N1051-S1051</f>
        <v>0</v>
      </c>
      <c r="AA1051" s="274"/>
      <c r="AB1051" s="306">
        <f t="shared" ref="AB1051:AB1054" si="1884">+S1051-X1051-AA1051</f>
        <v>0</v>
      </c>
    </row>
    <row r="1052" spans="1:28" s="90" customFormat="1" ht="14.1" hidden="1" customHeight="1" x14ac:dyDescent="0.2">
      <c r="A1052" s="301"/>
      <c r="B1052" s="350" t="s">
        <v>362</v>
      </c>
      <c r="C1052" s="101"/>
      <c r="D1052" s="101"/>
      <c r="E1052" s="101"/>
      <c r="F1052" s="370" t="s">
        <v>363</v>
      </c>
      <c r="G1052" s="149"/>
      <c r="H1052" s="149"/>
      <c r="I1052" s="329">
        <f t="shared" si="1877"/>
        <v>0</v>
      </c>
      <c r="J1052" s="329">
        <f t="shared" si="1878"/>
        <v>0</v>
      </c>
      <c r="K1052" s="274"/>
      <c r="L1052" s="274"/>
      <c r="M1052" s="274"/>
      <c r="N1052" s="275">
        <f t="shared" si="1879"/>
        <v>0</v>
      </c>
      <c r="O1052" s="274"/>
      <c r="P1052" s="274"/>
      <c r="Q1052" s="274"/>
      <c r="R1052" s="274"/>
      <c r="S1052" s="274">
        <f t="shared" si="1880"/>
        <v>0</v>
      </c>
      <c r="T1052" s="274"/>
      <c r="U1052" s="274"/>
      <c r="V1052" s="274"/>
      <c r="W1052" s="274"/>
      <c r="X1052" s="274">
        <f t="shared" si="1881"/>
        <v>0</v>
      </c>
      <c r="Y1052" s="274">
        <f t="shared" si="1882"/>
        <v>0</v>
      </c>
      <c r="Z1052" s="274">
        <f t="shared" si="1883"/>
        <v>0</v>
      </c>
      <c r="AA1052" s="274"/>
      <c r="AB1052" s="306">
        <f t="shared" si="1884"/>
        <v>0</v>
      </c>
    </row>
    <row r="1053" spans="1:28" s="90" customFormat="1" ht="14.1" hidden="1" customHeight="1" x14ac:dyDescent="0.2">
      <c r="A1053" s="301"/>
      <c r="B1053" s="350" t="s">
        <v>722</v>
      </c>
      <c r="C1053" s="718"/>
      <c r="D1053" s="718"/>
      <c r="E1053" s="718"/>
      <c r="F1053" s="370" t="s">
        <v>723</v>
      </c>
      <c r="G1053" s="149"/>
      <c r="H1053" s="149"/>
      <c r="I1053" s="329">
        <f t="shared" si="1877"/>
        <v>0</v>
      </c>
      <c r="J1053" s="329">
        <f t="shared" si="1878"/>
        <v>0</v>
      </c>
      <c r="K1053" s="274"/>
      <c r="L1053" s="274"/>
      <c r="M1053" s="274"/>
      <c r="N1053" s="275">
        <f t="shared" si="1879"/>
        <v>0</v>
      </c>
      <c r="O1053" s="274"/>
      <c r="P1053" s="274"/>
      <c r="Q1053" s="274"/>
      <c r="R1053" s="274"/>
      <c r="S1053" s="274">
        <f t="shared" si="1880"/>
        <v>0</v>
      </c>
      <c r="T1053" s="274"/>
      <c r="U1053" s="274"/>
      <c r="V1053" s="274"/>
      <c r="W1053" s="274"/>
      <c r="X1053" s="274">
        <f t="shared" si="1881"/>
        <v>0</v>
      </c>
      <c r="Y1053" s="274">
        <f t="shared" si="1882"/>
        <v>0</v>
      </c>
      <c r="Z1053" s="274">
        <f t="shared" si="1883"/>
        <v>0</v>
      </c>
      <c r="AA1053" s="274"/>
      <c r="AB1053" s="306">
        <f t="shared" si="1884"/>
        <v>0</v>
      </c>
    </row>
    <row r="1054" spans="1:28" s="90" customFormat="1" ht="14.1" hidden="1" customHeight="1" x14ac:dyDescent="0.2">
      <c r="A1054" s="301"/>
      <c r="B1054" s="350" t="s">
        <v>364</v>
      </c>
      <c r="C1054" s="101"/>
      <c r="D1054" s="101"/>
      <c r="E1054" s="101"/>
      <c r="F1054" s="370" t="s">
        <v>365</v>
      </c>
      <c r="G1054" s="149"/>
      <c r="H1054" s="149"/>
      <c r="I1054" s="329">
        <f t="shared" si="1877"/>
        <v>0</v>
      </c>
      <c r="J1054" s="329">
        <f t="shared" si="1878"/>
        <v>0</v>
      </c>
      <c r="K1054" s="274"/>
      <c r="L1054" s="274"/>
      <c r="M1054" s="274"/>
      <c r="N1054" s="275">
        <f t="shared" si="1879"/>
        <v>0</v>
      </c>
      <c r="O1054" s="274"/>
      <c r="P1054" s="274"/>
      <c r="Q1054" s="274"/>
      <c r="R1054" s="274"/>
      <c r="S1054" s="274">
        <f t="shared" si="1880"/>
        <v>0</v>
      </c>
      <c r="T1054" s="274"/>
      <c r="U1054" s="274"/>
      <c r="V1054" s="274"/>
      <c r="W1054" s="274"/>
      <c r="X1054" s="274">
        <f t="shared" si="1881"/>
        <v>0</v>
      </c>
      <c r="Y1054" s="274">
        <f t="shared" si="1882"/>
        <v>0</v>
      </c>
      <c r="Z1054" s="274">
        <f t="shared" si="1883"/>
        <v>0</v>
      </c>
      <c r="AA1054" s="274"/>
      <c r="AB1054" s="306">
        <f t="shared" si="1884"/>
        <v>0</v>
      </c>
    </row>
    <row r="1055" spans="1:28" s="90" customFormat="1" ht="14.1" hidden="1" customHeight="1" x14ac:dyDescent="0.2">
      <c r="A1055" s="301"/>
      <c r="B1055" s="351" t="s">
        <v>366</v>
      </c>
      <c r="C1055" s="101"/>
      <c r="D1055" s="101"/>
      <c r="E1055" s="101"/>
      <c r="F1055" s="370"/>
      <c r="G1055" s="149"/>
      <c r="H1055" s="149"/>
      <c r="I1055" s="149"/>
      <c r="J1055" s="149"/>
      <c r="K1055" s="159"/>
      <c r="L1055" s="159"/>
      <c r="M1055" s="159"/>
      <c r="N1055" s="159"/>
      <c r="O1055" s="159"/>
      <c r="P1055" s="159"/>
      <c r="Q1055" s="159"/>
      <c r="R1055" s="159"/>
      <c r="S1055" s="159"/>
      <c r="T1055" s="159"/>
      <c r="U1055" s="159"/>
      <c r="V1055" s="159"/>
      <c r="W1055" s="159"/>
      <c r="X1055" s="159"/>
      <c r="Y1055" s="159"/>
      <c r="Z1055" s="159"/>
      <c r="AA1055" s="159"/>
      <c r="AB1055" s="583"/>
    </row>
    <row r="1056" spans="1:28" s="90" customFormat="1" ht="14.1" hidden="1" customHeight="1" x14ac:dyDescent="0.2">
      <c r="A1056" s="301"/>
      <c r="B1056" s="350" t="s">
        <v>366</v>
      </c>
      <c r="C1056" s="101"/>
      <c r="D1056" s="101"/>
      <c r="E1056" s="101"/>
      <c r="F1056" s="370" t="s">
        <v>367</v>
      </c>
      <c r="G1056" s="149"/>
      <c r="H1056" s="149"/>
      <c r="I1056" s="329">
        <f t="shared" ref="I1056:I1060" si="1885">G1056+H1056</f>
        <v>0</v>
      </c>
      <c r="J1056" s="329">
        <f t="shared" ref="J1056:J1060" si="1886">I1056</f>
        <v>0</v>
      </c>
      <c r="K1056" s="274"/>
      <c r="L1056" s="274"/>
      <c r="M1056" s="274"/>
      <c r="N1056" s="275">
        <f t="shared" ref="N1056:N1060" si="1887">J1056+K1056-L1056+M1056</f>
        <v>0</v>
      </c>
      <c r="O1056" s="274"/>
      <c r="P1056" s="274"/>
      <c r="Q1056" s="274"/>
      <c r="R1056" s="274"/>
      <c r="S1056" s="274">
        <f t="shared" ref="S1056:S1060" si="1888">SUM(O1056:R1056)</f>
        <v>0</v>
      </c>
      <c r="T1056" s="274"/>
      <c r="U1056" s="274"/>
      <c r="V1056" s="274"/>
      <c r="W1056" s="274"/>
      <c r="X1056" s="274">
        <f t="shared" ref="X1056:X1060" si="1889">SUM(T1056:W1056)</f>
        <v>0</v>
      </c>
      <c r="Y1056" s="274">
        <f t="shared" ref="Y1056:Y1060" si="1890">I1056-N1056</f>
        <v>0</v>
      </c>
      <c r="Z1056" s="274">
        <f t="shared" ref="Z1056:Z1060" si="1891">N1056-S1056</f>
        <v>0</v>
      </c>
      <c r="AA1056" s="274"/>
      <c r="AB1056" s="306">
        <f t="shared" ref="AB1056:AB1060" si="1892">+S1056-X1056-AA1056</f>
        <v>0</v>
      </c>
    </row>
    <row r="1057" spans="1:28" s="90" customFormat="1" ht="14.1" hidden="1" customHeight="1" x14ac:dyDescent="0.2">
      <c r="A1057" s="301"/>
      <c r="B1057" s="350" t="s">
        <v>724</v>
      </c>
      <c r="C1057" s="718"/>
      <c r="D1057" s="718"/>
      <c r="E1057" s="718"/>
      <c r="F1057" s="370" t="s">
        <v>725</v>
      </c>
      <c r="G1057" s="149"/>
      <c r="H1057" s="149"/>
      <c r="I1057" s="329">
        <f t="shared" ref="I1057" si="1893">G1057+H1057</f>
        <v>0</v>
      </c>
      <c r="J1057" s="329">
        <f t="shared" ref="J1057" si="1894">I1057</f>
        <v>0</v>
      </c>
      <c r="K1057" s="274"/>
      <c r="L1057" s="274"/>
      <c r="M1057" s="274"/>
      <c r="N1057" s="275">
        <f t="shared" si="1887"/>
        <v>0</v>
      </c>
      <c r="O1057" s="274"/>
      <c r="P1057" s="274"/>
      <c r="Q1057" s="274"/>
      <c r="R1057" s="274"/>
      <c r="S1057" s="274">
        <f t="shared" ref="S1057" si="1895">SUM(O1057:R1057)</f>
        <v>0</v>
      </c>
      <c r="T1057" s="274"/>
      <c r="U1057" s="274"/>
      <c r="V1057" s="274"/>
      <c r="W1057" s="274"/>
      <c r="X1057" s="274">
        <f t="shared" ref="X1057" si="1896">SUM(T1057:W1057)</f>
        <v>0</v>
      </c>
      <c r="Y1057" s="274">
        <f t="shared" ref="Y1057" si="1897">I1057-N1057</f>
        <v>0</v>
      </c>
      <c r="Z1057" s="274">
        <f t="shared" ref="Z1057" si="1898">N1057-S1057</f>
        <v>0</v>
      </c>
      <c r="AA1057" s="274"/>
      <c r="AB1057" s="306">
        <f t="shared" ref="AB1057" si="1899">+S1057-X1057-AA1057</f>
        <v>0</v>
      </c>
    </row>
    <row r="1058" spans="1:28" s="90" customFormat="1" ht="14.1" hidden="1" customHeight="1" x14ac:dyDescent="0.2">
      <c r="A1058" s="301"/>
      <c r="B1058" s="350" t="s">
        <v>368</v>
      </c>
      <c r="C1058" s="101"/>
      <c r="D1058" s="101"/>
      <c r="E1058" s="101"/>
      <c r="F1058" s="370" t="s">
        <v>369</v>
      </c>
      <c r="G1058" s="149"/>
      <c r="H1058" s="149"/>
      <c r="I1058" s="329">
        <f t="shared" si="1885"/>
        <v>0</v>
      </c>
      <c r="J1058" s="329">
        <f t="shared" si="1886"/>
        <v>0</v>
      </c>
      <c r="K1058" s="274"/>
      <c r="L1058" s="274"/>
      <c r="M1058" s="274"/>
      <c r="N1058" s="275">
        <f t="shared" si="1887"/>
        <v>0</v>
      </c>
      <c r="O1058" s="274"/>
      <c r="P1058" s="274"/>
      <c r="Q1058" s="274"/>
      <c r="R1058" s="274"/>
      <c r="S1058" s="274">
        <f t="shared" si="1888"/>
        <v>0</v>
      </c>
      <c r="T1058" s="274"/>
      <c r="U1058" s="274"/>
      <c r="V1058" s="274"/>
      <c r="W1058" s="274"/>
      <c r="X1058" s="274">
        <f t="shared" si="1889"/>
        <v>0</v>
      </c>
      <c r="Y1058" s="274">
        <f t="shared" si="1890"/>
        <v>0</v>
      </c>
      <c r="Z1058" s="274">
        <f t="shared" si="1891"/>
        <v>0</v>
      </c>
      <c r="AA1058" s="274"/>
      <c r="AB1058" s="306">
        <f t="shared" si="1892"/>
        <v>0</v>
      </c>
    </row>
    <row r="1059" spans="1:28" s="90" customFormat="1" ht="14.1" hidden="1" customHeight="1" x14ac:dyDescent="0.2">
      <c r="A1059" s="301"/>
      <c r="B1059" s="350" t="s">
        <v>370</v>
      </c>
      <c r="C1059" s="101"/>
      <c r="D1059" s="101"/>
      <c r="E1059" s="101"/>
      <c r="F1059" s="370" t="s">
        <v>371</v>
      </c>
      <c r="G1059" s="149"/>
      <c r="H1059" s="149"/>
      <c r="I1059" s="329">
        <f t="shared" si="1885"/>
        <v>0</v>
      </c>
      <c r="J1059" s="329">
        <f t="shared" si="1886"/>
        <v>0</v>
      </c>
      <c r="K1059" s="274"/>
      <c r="L1059" s="274"/>
      <c r="M1059" s="274"/>
      <c r="N1059" s="275">
        <f t="shared" si="1887"/>
        <v>0</v>
      </c>
      <c r="O1059" s="274"/>
      <c r="P1059" s="274"/>
      <c r="Q1059" s="274"/>
      <c r="R1059" s="274"/>
      <c r="S1059" s="274">
        <f t="shared" si="1888"/>
        <v>0</v>
      </c>
      <c r="T1059" s="274"/>
      <c r="U1059" s="274"/>
      <c r="V1059" s="274"/>
      <c r="W1059" s="274"/>
      <c r="X1059" s="274">
        <f t="shared" si="1889"/>
        <v>0</v>
      </c>
      <c r="Y1059" s="274">
        <f t="shared" si="1890"/>
        <v>0</v>
      </c>
      <c r="Z1059" s="274">
        <f t="shared" si="1891"/>
        <v>0</v>
      </c>
      <c r="AA1059" s="274"/>
      <c r="AB1059" s="306">
        <f t="shared" si="1892"/>
        <v>0</v>
      </c>
    </row>
    <row r="1060" spans="1:28" s="90" customFormat="1" ht="14.1" hidden="1" customHeight="1" x14ac:dyDescent="0.2">
      <c r="A1060" s="301"/>
      <c r="B1060" s="350" t="s">
        <v>372</v>
      </c>
      <c r="C1060" s="101"/>
      <c r="D1060" s="101"/>
      <c r="E1060" s="101"/>
      <c r="F1060" s="370" t="s">
        <v>373</v>
      </c>
      <c r="G1060" s="149"/>
      <c r="H1060" s="149"/>
      <c r="I1060" s="329">
        <f t="shared" si="1885"/>
        <v>0</v>
      </c>
      <c r="J1060" s="329">
        <f t="shared" si="1886"/>
        <v>0</v>
      </c>
      <c r="K1060" s="274"/>
      <c r="L1060" s="274"/>
      <c r="M1060" s="274"/>
      <c r="N1060" s="275">
        <f t="shared" si="1887"/>
        <v>0</v>
      </c>
      <c r="O1060" s="274"/>
      <c r="P1060" s="274"/>
      <c r="Q1060" s="274"/>
      <c r="R1060" s="274"/>
      <c r="S1060" s="274">
        <f t="shared" si="1888"/>
        <v>0</v>
      </c>
      <c r="T1060" s="274"/>
      <c r="U1060" s="274"/>
      <c r="V1060" s="274"/>
      <c r="W1060" s="274"/>
      <c r="X1060" s="274">
        <f t="shared" si="1889"/>
        <v>0</v>
      </c>
      <c r="Y1060" s="274">
        <f t="shared" si="1890"/>
        <v>0</v>
      </c>
      <c r="Z1060" s="274">
        <f t="shared" si="1891"/>
        <v>0</v>
      </c>
      <c r="AA1060" s="274"/>
      <c r="AB1060" s="306">
        <f t="shared" si="1892"/>
        <v>0</v>
      </c>
    </row>
    <row r="1061" spans="1:28" s="90" customFormat="1" ht="14.1" hidden="1" customHeight="1" x14ac:dyDescent="0.2">
      <c r="A1061" s="301"/>
      <c r="B1061" s="351" t="s">
        <v>374</v>
      </c>
      <c r="C1061" s="101"/>
      <c r="D1061" s="101"/>
      <c r="E1061" s="101"/>
      <c r="F1061" s="370"/>
      <c r="G1061" s="149"/>
      <c r="H1061" s="149"/>
      <c r="I1061" s="149"/>
      <c r="J1061" s="149"/>
      <c r="K1061" s="159"/>
      <c r="L1061" s="159"/>
      <c r="M1061" s="159"/>
      <c r="N1061" s="159"/>
      <c r="O1061" s="159"/>
      <c r="P1061" s="159"/>
      <c r="Q1061" s="159"/>
      <c r="R1061" s="159"/>
      <c r="S1061" s="159"/>
      <c r="T1061" s="159"/>
      <c r="U1061" s="159"/>
      <c r="V1061" s="159"/>
      <c r="W1061" s="159"/>
      <c r="X1061" s="159"/>
      <c r="Y1061" s="159"/>
      <c r="Z1061" s="159"/>
      <c r="AA1061" s="159"/>
      <c r="AB1061" s="583"/>
    </row>
    <row r="1062" spans="1:28" s="90" customFormat="1" ht="14.1" hidden="1" customHeight="1" x14ac:dyDescent="0.2">
      <c r="A1062" s="301"/>
      <c r="B1062" s="350" t="s">
        <v>375</v>
      </c>
      <c r="C1062" s="101"/>
      <c r="D1062" s="101"/>
      <c r="E1062" s="101"/>
      <c r="F1062" s="370" t="s">
        <v>376</v>
      </c>
      <c r="G1062" s="149"/>
      <c r="H1062" s="149"/>
      <c r="I1062" s="329">
        <f t="shared" ref="I1062:I1079" si="1900">G1062+H1062</f>
        <v>0</v>
      </c>
      <c r="J1062" s="329">
        <f t="shared" ref="J1062:J1079" si="1901">I1062</f>
        <v>0</v>
      </c>
      <c r="K1062" s="274"/>
      <c r="L1062" s="274"/>
      <c r="M1062" s="274"/>
      <c r="N1062" s="275">
        <f t="shared" ref="N1062:N1079" si="1902">J1062+K1062-L1062+M1062</f>
        <v>0</v>
      </c>
      <c r="O1062" s="274"/>
      <c r="P1062" s="274"/>
      <c r="Q1062" s="274"/>
      <c r="R1062" s="274"/>
      <c r="S1062" s="274">
        <f t="shared" ref="S1062:S1079" si="1903">SUM(O1062:R1062)</f>
        <v>0</v>
      </c>
      <c r="T1062" s="274"/>
      <c r="U1062" s="274"/>
      <c r="V1062" s="274"/>
      <c r="W1062" s="274"/>
      <c r="X1062" s="274">
        <f t="shared" ref="X1062:X1079" si="1904">SUM(T1062:W1062)</f>
        <v>0</v>
      </c>
      <c r="Y1062" s="274">
        <f t="shared" ref="Y1062:Y1079" si="1905">I1062-N1062</f>
        <v>0</v>
      </c>
      <c r="Z1062" s="274">
        <f t="shared" ref="Z1062:Z1079" si="1906">N1062-S1062</f>
        <v>0</v>
      </c>
      <c r="AA1062" s="274"/>
      <c r="AB1062" s="306">
        <f t="shared" ref="AB1062:AB1079" si="1907">+S1062-X1062-AA1062</f>
        <v>0</v>
      </c>
    </row>
    <row r="1063" spans="1:28" s="90" customFormat="1" ht="14.1" hidden="1" customHeight="1" x14ac:dyDescent="0.2">
      <c r="A1063" s="301"/>
      <c r="B1063" s="350" t="s">
        <v>377</v>
      </c>
      <c r="C1063" s="101"/>
      <c r="D1063" s="101"/>
      <c r="E1063" s="101"/>
      <c r="F1063" s="370" t="s">
        <v>378</v>
      </c>
      <c r="G1063" s="149"/>
      <c r="H1063" s="149"/>
      <c r="I1063" s="329">
        <f t="shared" si="1900"/>
        <v>0</v>
      </c>
      <c r="J1063" s="329">
        <f t="shared" si="1901"/>
        <v>0</v>
      </c>
      <c r="K1063" s="274"/>
      <c r="L1063" s="274"/>
      <c r="M1063" s="274"/>
      <c r="N1063" s="275">
        <f t="shared" si="1902"/>
        <v>0</v>
      </c>
      <c r="O1063" s="274"/>
      <c r="P1063" s="274"/>
      <c r="Q1063" s="274"/>
      <c r="R1063" s="274"/>
      <c r="S1063" s="274">
        <f t="shared" si="1903"/>
        <v>0</v>
      </c>
      <c r="T1063" s="274"/>
      <c r="U1063" s="274"/>
      <c r="V1063" s="274"/>
      <c r="W1063" s="274"/>
      <c r="X1063" s="274">
        <f t="shared" si="1904"/>
        <v>0</v>
      </c>
      <c r="Y1063" s="274">
        <f t="shared" si="1905"/>
        <v>0</v>
      </c>
      <c r="Z1063" s="274">
        <f t="shared" si="1906"/>
        <v>0</v>
      </c>
      <c r="AA1063" s="274"/>
      <c r="AB1063" s="306">
        <f t="shared" si="1907"/>
        <v>0</v>
      </c>
    </row>
    <row r="1064" spans="1:28" s="90" customFormat="1" ht="14.1" hidden="1" customHeight="1" x14ac:dyDescent="0.2">
      <c r="A1064" s="301"/>
      <c r="B1064" s="350" t="s">
        <v>379</v>
      </c>
      <c r="C1064" s="101"/>
      <c r="D1064" s="101"/>
      <c r="E1064" s="101"/>
      <c r="F1064" s="370" t="s">
        <v>380</v>
      </c>
      <c r="G1064" s="149"/>
      <c r="H1064" s="149"/>
      <c r="I1064" s="329">
        <f t="shared" si="1900"/>
        <v>0</v>
      </c>
      <c r="J1064" s="329">
        <f t="shared" si="1901"/>
        <v>0</v>
      </c>
      <c r="K1064" s="274"/>
      <c r="L1064" s="274"/>
      <c r="M1064" s="274"/>
      <c r="N1064" s="275">
        <f t="shared" si="1902"/>
        <v>0</v>
      </c>
      <c r="O1064" s="274"/>
      <c r="P1064" s="274"/>
      <c r="Q1064" s="274"/>
      <c r="R1064" s="274"/>
      <c r="S1064" s="274">
        <f t="shared" si="1903"/>
        <v>0</v>
      </c>
      <c r="T1064" s="274"/>
      <c r="U1064" s="274"/>
      <c r="V1064" s="274"/>
      <c r="W1064" s="274"/>
      <c r="X1064" s="274">
        <f t="shared" si="1904"/>
        <v>0</v>
      </c>
      <c r="Y1064" s="274">
        <f t="shared" si="1905"/>
        <v>0</v>
      </c>
      <c r="Z1064" s="274">
        <f t="shared" si="1906"/>
        <v>0</v>
      </c>
      <c r="AA1064" s="274"/>
      <c r="AB1064" s="306">
        <f t="shared" si="1907"/>
        <v>0</v>
      </c>
    </row>
    <row r="1065" spans="1:28" s="90" customFormat="1" ht="14.1" hidden="1" customHeight="1" x14ac:dyDescent="0.2">
      <c r="A1065" s="301"/>
      <c r="B1065" s="350" t="s">
        <v>381</v>
      </c>
      <c r="C1065" s="101"/>
      <c r="D1065" s="101"/>
      <c r="E1065" s="101"/>
      <c r="F1065" s="370" t="s">
        <v>382</v>
      </c>
      <c r="G1065" s="149"/>
      <c r="H1065" s="149"/>
      <c r="I1065" s="329">
        <f t="shared" si="1900"/>
        <v>0</v>
      </c>
      <c r="J1065" s="329">
        <f t="shared" si="1901"/>
        <v>0</v>
      </c>
      <c r="K1065" s="274"/>
      <c r="L1065" s="274"/>
      <c r="M1065" s="274"/>
      <c r="N1065" s="275">
        <f t="shared" si="1902"/>
        <v>0</v>
      </c>
      <c r="O1065" s="274"/>
      <c r="P1065" s="274"/>
      <c r="Q1065" s="274"/>
      <c r="R1065" s="274"/>
      <c r="S1065" s="274">
        <f t="shared" si="1903"/>
        <v>0</v>
      </c>
      <c r="T1065" s="274"/>
      <c r="U1065" s="274"/>
      <c r="V1065" s="274"/>
      <c r="W1065" s="274"/>
      <c r="X1065" s="274">
        <f t="shared" si="1904"/>
        <v>0</v>
      </c>
      <c r="Y1065" s="274">
        <f t="shared" si="1905"/>
        <v>0</v>
      </c>
      <c r="Z1065" s="274">
        <f t="shared" si="1906"/>
        <v>0</v>
      </c>
      <c r="AA1065" s="274"/>
      <c r="AB1065" s="306">
        <f t="shared" si="1907"/>
        <v>0</v>
      </c>
    </row>
    <row r="1066" spans="1:28" s="90" customFormat="1" ht="14.1" hidden="1" customHeight="1" x14ac:dyDescent="0.2">
      <c r="A1066" s="301"/>
      <c r="B1066" s="350" t="s">
        <v>383</v>
      </c>
      <c r="C1066" s="101"/>
      <c r="D1066" s="101"/>
      <c r="E1066" s="101"/>
      <c r="F1066" s="370" t="s">
        <v>384</v>
      </c>
      <c r="G1066" s="149"/>
      <c r="H1066" s="149"/>
      <c r="I1066" s="329">
        <f t="shared" si="1900"/>
        <v>0</v>
      </c>
      <c r="J1066" s="329">
        <f t="shared" si="1901"/>
        <v>0</v>
      </c>
      <c r="K1066" s="274"/>
      <c r="L1066" s="274"/>
      <c r="M1066" s="274"/>
      <c r="N1066" s="275">
        <f t="shared" si="1902"/>
        <v>0</v>
      </c>
      <c r="O1066" s="274"/>
      <c r="P1066" s="274"/>
      <c r="Q1066" s="274"/>
      <c r="R1066" s="274"/>
      <c r="S1066" s="274">
        <f t="shared" si="1903"/>
        <v>0</v>
      </c>
      <c r="T1066" s="274"/>
      <c r="U1066" s="274"/>
      <c r="V1066" s="274"/>
      <c r="W1066" s="274"/>
      <c r="X1066" s="274">
        <f t="shared" si="1904"/>
        <v>0</v>
      </c>
      <c r="Y1066" s="274">
        <f t="shared" si="1905"/>
        <v>0</v>
      </c>
      <c r="Z1066" s="274">
        <f t="shared" si="1906"/>
        <v>0</v>
      </c>
      <c r="AA1066" s="274"/>
      <c r="AB1066" s="306">
        <f t="shared" si="1907"/>
        <v>0</v>
      </c>
    </row>
    <row r="1067" spans="1:28" s="90" customFormat="1" ht="14.1" hidden="1" customHeight="1" x14ac:dyDescent="0.2">
      <c r="A1067" s="301"/>
      <c r="B1067" s="350" t="s">
        <v>385</v>
      </c>
      <c r="C1067" s="101"/>
      <c r="D1067" s="101"/>
      <c r="E1067" s="101"/>
      <c r="F1067" s="370" t="s">
        <v>386</v>
      </c>
      <c r="G1067" s="149"/>
      <c r="H1067" s="149"/>
      <c r="I1067" s="329">
        <f t="shared" si="1900"/>
        <v>0</v>
      </c>
      <c r="J1067" s="329">
        <f t="shared" si="1901"/>
        <v>0</v>
      </c>
      <c r="K1067" s="274"/>
      <c r="L1067" s="274"/>
      <c r="M1067" s="274"/>
      <c r="N1067" s="275">
        <f t="shared" si="1902"/>
        <v>0</v>
      </c>
      <c r="O1067" s="274"/>
      <c r="P1067" s="274"/>
      <c r="Q1067" s="274"/>
      <c r="R1067" s="274"/>
      <c r="S1067" s="274">
        <f t="shared" si="1903"/>
        <v>0</v>
      </c>
      <c r="T1067" s="274"/>
      <c r="U1067" s="274"/>
      <c r="V1067" s="274"/>
      <c r="W1067" s="274"/>
      <c r="X1067" s="274">
        <f t="shared" si="1904"/>
        <v>0</v>
      </c>
      <c r="Y1067" s="274">
        <f t="shared" si="1905"/>
        <v>0</v>
      </c>
      <c r="Z1067" s="274">
        <f t="shared" si="1906"/>
        <v>0</v>
      </c>
      <c r="AA1067" s="274"/>
      <c r="AB1067" s="306">
        <f t="shared" si="1907"/>
        <v>0</v>
      </c>
    </row>
    <row r="1068" spans="1:28" s="90" customFormat="1" ht="14.1" hidden="1" customHeight="1" x14ac:dyDescent="0.2">
      <c r="A1068" s="301"/>
      <c r="B1068" s="350" t="s">
        <v>726</v>
      </c>
      <c r="C1068" s="718"/>
      <c r="D1068" s="718"/>
      <c r="E1068" s="718"/>
      <c r="F1068" s="370" t="s">
        <v>387</v>
      </c>
      <c r="G1068" s="149"/>
      <c r="H1068" s="149"/>
      <c r="I1068" s="329">
        <f t="shared" si="1900"/>
        <v>0</v>
      </c>
      <c r="J1068" s="329">
        <f t="shared" si="1901"/>
        <v>0</v>
      </c>
      <c r="K1068" s="274"/>
      <c r="L1068" s="274"/>
      <c r="M1068" s="274"/>
      <c r="N1068" s="275">
        <f t="shared" si="1902"/>
        <v>0</v>
      </c>
      <c r="O1068" s="274"/>
      <c r="P1068" s="274"/>
      <c r="Q1068" s="274"/>
      <c r="R1068" s="274"/>
      <c r="S1068" s="274">
        <f t="shared" si="1903"/>
        <v>0</v>
      </c>
      <c r="T1068" s="274"/>
      <c r="U1068" s="274"/>
      <c r="V1068" s="274"/>
      <c r="W1068" s="274"/>
      <c r="X1068" s="274">
        <f t="shared" si="1904"/>
        <v>0</v>
      </c>
      <c r="Y1068" s="274">
        <f t="shared" si="1905"/>
        <v>0</v>
      </c>
      <c r="Z1068" s="274">
        <f t="shared" si="1906"/>
        <v>0</v>
      </c>
      <c r="AA1068" s="274"/>
      <c r="AB1068" s="306">
        <f t="shared" si="1907"/>
        <v>0</v>
      </c>
    </row>
    <row r="1069" spans="1:28" s="90" customFormat="1" ht="14.1" hidden="1" customHeight="1" x14ac:dyDescent="0.2">
      <c r="A1069" s="301"/>
      <c r="B1069" s="350" t="s">
        <v>388</v>
      </c>
      <c r="C1069" s="101"/>
      <c r="D1069" s="101"/>
      <c r="E1069" s="101"/>
      <c r="F1069" s="370" t="s">
        <v>389</v>
      </c>
      <c r="G1069" s="149"/>
      <c r="H1069" s="149"/>
      <c r="I1069" s="329">
        <f t="shared" si="1900"/>
        <v>0</v>
      </c>
      <c r="J1069" s="329">
        <f t="shared" si="1901"/>
        <v>0</v>
      </c>
      <c r="K1069" s="274"/>
      <c r="L1069" s="274"/>
      <c r="M1069" s="274"/>
      <c r="N1069" s="275">
        <f t="shared" si="1902"/>
        <v>0</v>
      </c>
      <c r="O1069" s="274"/>
      <c r="P1069" s="274"/>
      <c r="Q1069" s="274"/>
      <c r="R1069" s="274"/>
      <c r="S1069" s="274">
        <f t="shared" si="1903"/>
        <v>0</v>
      </c>
      <c r="T1069" s="274"/>
      <c r="U1069" s="274"/>
      <c r="V1069" s="274"/>
      <c r="W1069" s="274"/>
      <c r="X1069" s="274">
        <f t="shared" si="1904"/>
        <v>0</v>
      </c>
      <c r="Y1069" s="274">
        <f t="shared" si="1905"/>
        <v>0</v>
      </c>
      <c r="Z1069" s="274">
        <f t="shared" si="1906"/>
        <v>0</v>
      </c>
      <c r="AA1069" s="274"/>
      <c r="AB1069" s="306">
        <f t="shared" si="1907"/>
        <v>0</v>
      </c>
    </row>
    <row r="1070" spans="1:28" s="90" customFormat="1" ht="14.1" hidden="1" customHeight="1" x14ac:dyDescent="0.2">
      <c r="A1070" s="301"/>
      <c r="B1070" s="350" t="s">
        <v>390</v>
      </c>
      <c r="C1070" s="101"/>
      <c r="D1070" s="101"/>
      <c r="E1070" s="101"/>
      <c r="F1070" s="370" t="s">
        <v>391</v>
      </c>
      <c r="G1070" s="149"/>
      <c r="H1070" s="149"/>
      <c r="I1070" s="329">
        <f t="shared" si="1900"/>
        <v>0</v>
      </c>
      <c r="J1070" s="329">
        <f t="shared" si="1901"/>
        <v>0</v>
      </c>
      <c r="K1070" s="274"/>
      <c r="L1070" s="274"/>
      <c r="M1070" s="274"/>
      <c r="N1070" s="275">
        <f t="shared" si="1902"/>
        <v>0</v>
      </c>
      <c r="O1070" s="274"/>
      <c r="P1070" s="274"/>
      <c r="Q1070" s="274"/>
      <c r="R1070" s="274"/>
      <c r="S1070" s="274">
        <f t="shared" si="1903"/>
        <v>0</v>
      </c>
      <c r="T1070" s="274"/>
      <c r="U1070" s="274"/>
      <c r="V1070" s="274"/>
      <c r="W1070" s="274"/>
      <c r="X1070" s="274">
        <f t="shared" si="1904"/>
        <v>0</v>
      </c>
      <c r="Y1070" s="274">
        <f t="shared" si="1905"/>
        <v>0</v>
      </c>
      <c r="Z1070" s="274">
        <f t="shared" si="1906"/>
        <v>0</v>
      </c>
      <c r="AA1070" s="274"/>
      <c r="AB1070" s="306">
        <f t="shared" si="1907"/>
        <v>0</v>
      </c>
    </row>
    <row r="1071" spans="1:28" s="90" customFormat="1" ht="14.1" hidden="1" customHeight="1" x14ac:dyDescent="0.2">
      <c r="A1071" s="301"/>
      <c r="B1071" s="350" t="s">
        <v>392</v>
      </c>
      <c r="C1071" s="101"/>
      <c r="D1071" s="101"/>
      <c r="E1071" s="101"/>
      <c r="F1071" s="370" t="s">
        <v>393</v>
      </c>
      <c r="G1071" s="149"/>
      <c r="H1071" s="149"/>
      <c r="I1071" s="329">
        <f t="shared" si="1900"/>
        <v>0</v>
      </c>
      <c r="J1071" s="329">
        <f t="shared" si="1901"/>
        <v>0</v>
      </c>
      <c r="K1071" s="274"/>
      <c r="L1071" s="274"/>
      <c r="M1071" s="274"/>
      <c r="N1071" s="275">
        <f t="shared" si="1902"/>
        <v>0</v>
      </c>
      <c r="O1071" s="274"/>
      <c r="P1071" s="274"/>
      <c r="Q1071" s="274"/>
      <c r="R1071" s="274"/>
      <c r="S1071" s="274">
        <f t="shared" si="1903"/>
        <v>0</v>
      </c>
      <c r="T1071" s="274"/>
      <c r="U1071" s="274"/>
      <c r="V1071" s="274"/>
      <c r="W1071" s="274"/>
      <c r="X1071" s="274">
        <f t="shared" si="1904"/>
        <v>0</v>
      </c>
      <c r="Y1071" s="274">
        <f t="shared" si="1905"/>
        <v>0</v>
      </c>
      <c r="Z1071" s="274">
        <f t="shared" si="1906"/>
        <v>0</v>
      </c>
      <c r="AA1071" s="274"/>
      <c r="AB1071" s="306">
        <f t="shared" si="1907"/>
        <v>0</v>
      </c>
    </row>
    <row r="1072" spans="1:28" s="90" customFormat="1" ht="14.1" hidden="1" customHeight="1" x14ac:dyDescent="0.2">
      <c r="A1072" s="301"/>
      <c r="B1072" s="350" t="s">
        <v>394</v>
      </c>
      <c r="C1072" s="101"/>
      <c r="D1072" s="101"/>
      <c r="E1072" s="101"/>
      <c r="F1072" s="370" t="s">
        <v>395</v>
      </c>
      <c r="G1072" s="149"/>
      <c r="H1072" s="149"/>
      <c r="I1072" s="329">
        <f t="shared" si="1900"/>
        <v>0</v>
      </c>
      <c r="J1072" s="329">
        <f t="shared" si="1901"/>
        <v>0</v>
      </c>
      <c r="K1072" s="274"/>
      <c r="L1072" s="274"/>
      <c r="M1072" s="274"/>
      <c r="N1072" s="275">
        <f t="shared" si="1902"/>
        <v>0</v>
      </c>
      <c r="O1072" s="274"/>
      <c r="P1072" s="274"/>
      <c r="Q1072" s="274"/>
      <c r="R1072" s="274"/>
      <c r="S1072" s="274">
        <f t="shared" si="1903"/>
        <v>0</v>
      </c>
      <c r="T1072" s="274"/>
      <c r="U1072" s="274"/>
      <c r="V1072" s="274"/>
      <c r="W1072" s="274"/>
      <c r="X1072" s="274">
        <f t="shared" si="1904"/>
        <v>0</v>
      </c>
      <c r="Y1072" s="274">
        <f t="shared" si="1905"/>
        <v>0</v>
      </c>
      <c r="Z1072" s="274">
        <f t="shared" si="1906"/>
        <v>0</v>
      </c>
      <c r="AA1072" s="274"/>
      <c r="AB1072" s="306">
        <f t="shared" si="1907"/>
        <v>0</v>
      </c>
    </row>
    <row r="1073" spans="1:28" s="90" customFormat="1" ht="14.1" hidden="1" customHeight="1" x14ac:dyDescent="0.2">
      <c r="A1073" s="301"/>
      <c r="B1073" s="350" t="s">
        <v>396</v>
      </c>
      <c r="C1073" s="101"/>
      <c r="D1073" s="101"/>
      <c r="E1073" s="101"/>
      <c r="F1073" s="370" t="s">
        <v>397</v>
      </c>
      <c r="G1073" s="149"/>
      <c r="H1073" s="149"/>
      <c r="I1073" s="329">
        <f t="shared" si="1900"/>
        <v>0</v>
      </c>
      <c r="J1073" s="329">
        <f t="shared" si="1901"/>
        <v>0</v>
      </c>
      <c r="K1073" s="274"/>
      <c r="L1073" s="274"/>
      <c r="M1073" s="274"/>
      <c r="N1073" s="275">
        <f t="shared" si="1902"/>
        <v>0</v>
      </c>
      <c r="O1073" s="274"/>
      <c r="P1073" s="274"/>
      <c r="Q1073" s="274"/>
      <c r="R1073" s="274"/>
      <c r="S1073" s="274">
        <f t="shared" si="1903"/>
        <v>0</v>
      </c>
      <c r="T1073" s="274"/>
      <c r="U1073" s="274"/>
      <c r="V1073" s="274"/>
      <c r="W1073" s="274"/>
      <c r="X1073" s="274">
        <f t="shared" si="1904"/>
        <v>0</v>
      </c>
      <c r="Y1073" s="274">
        <f t="shared" si="1905"/>
        <v>0</v>
      </c>
      <c r="Z1073" s="274">
        <f t="shared" si="1906"/>
        <v>0</v>
      </c>
      <c r="AA1073" s="274"/>
      <c r="AB1073" s="306">
        <f t="shared" si="1907"/>
        <v>0</v>
      </c>
    </row>
    <row r="1074" spans="1:28" s="90" customFormat="1" ht="14.1" hidden="1" customHeight="1" x14ac:dyDescent="0.2">
      <c r="A1074" s="301"/>
      <c r="B1074" s="350" t="s">
        <v>398</v>
      </c>
      <c r="C1074" s="101"/>
      <c r="D1074" s="101"/>
      <c r="E1074" s="101"/>
      <c r="F1074" s="370" t="s">
        <v>399</v>
      </c>
      <c r="G1074" s="149"/>
      <c r="H1074" s="149"/>
      <c r="I1074" s="329">
        <f t="shared" si="1900"/>
        <v>0</v>
      </c>
      <c r="J1074" s="329">
        <f t="shared" si="1901"/>
        <v>0</v>
      </c>
      <c r="K1074" s="274"/>
      <c r="L1074" s="274"/>
      <c r="M1074" s="274"/>
      <c r="N1074" s="275">
        <f t="shared" si="1902"/>
        <v>0</v>
      </c>
      <c r="O1074" s="274"/>
      <c r="P1074" s="274"/>
      <c r="Q1074" s="274"/>
      <c r="R1074" s="274"/>
      <c r="S1074" s="274">
        <f t="shared" si="1903"/>
        <v>0</v>
      </c>
      <c r="T1074" s="274"/>
      <c r="U1074" s="274"/>
      <c r="V1074" s="274"/>
      <c r="W1074" s="274"/>
      <c r="X1074" s="274">
        <f t="shared" si="1904"/>
        <v>0</v>
      </c>
      <c r="Y1074" s="274">
        <f t="shared" si="1905"/>
        <v>0</v>
      </c>
      <c r="Z1074" s="274">
        <f t="shared" si="1906"/>
        <v>0</v>
      </c>
      <c r="AA1074" s="274"/>
      <c r="AB1074" s="306">
        <f t="shared" si="1907"/>
        <v>0</v>
      </c>
    </row>
    <row r="1075" spans="1:28" s="90" customFormat="1" ht="14.1" hidden="1" customHeight="1" x14ac:dyDescent="0.2">
      <c r="A1075" s="301"/>
      <c r="B1075" s="350" t="s">
        <v>400</v>
      </c>
      <c r="C1075" s="101"/>
      <c r="D1075" s="101"/>
      <c r="E1075" s="101"/>
      <c r="F1075" s="370" t="s">
        <v>401</v>
      </c>
      <c r="G1075" s="149"/>
      <c r="H1075" s="149"/>
      <c r="I1075" s="329">
        <f t="shared" si="1900"/>
        <v>0</v>
      </c>
      <c r="J1075" s="329">
        <f t="shared" si="1901"/>
        <v>0</v>
      </c>
      <c r="K1075" s="274"/>
      <c r="L1075" s="274"/>
      <c r="M1075" s="274"/>
      <c r="N1075" s="275">
        <f t="shared" si="1902"/>
        <v>0</v>
      </c>
      <c r="O1075" s="274"/>
      <c r="P1075" s="274"/>
      <c r="Q1075" s="274"/>
      <c r="R1075" s="274"/>
      <c r="S1075" s="274">
        <f t="shared" si="1903"/>
        <v>0</v>
      </c>
      <c r="T1075" s="274"/>
      <c r="U1075" s="274"/>
      <c r="V1075" s="274"/>
      <c r="W1075" s="274"/>
      <c r="X1075" s="274">
        <f t="shared" si="1904"/>
        <v>0</v>
      </c>
      <c r="Y1075" s="274">
        <f t="shared" si="1905"/>
        <v>0</v>
      </c>
      <c r="Z1075" s="274">
        <f t="shared" si="1906"/>
        <v>0</v>
      </c>
      <c r="AA1075" s="274"/>
      <c r="AB1075" s="306">
        <f t="shared" si="1907"/>
        <v>0</v>
      </c>
    </row>
    <row r="1076" spans="1:28" s="90" customFormat="1" ht="14.1" hidden="1" customHeight="1" x14ac:dyDescent="0.2">
      <c r="A1076" s="301"/>
      <c r="B1076" s="350" t="s">
        <v>402</v>
      </c>
      <c r="C1076" s="101"/>
      <c r="D1076" s="101"/>
      <c r="E1076" s="101"/>
      <c r="F1076" s="370" t="s">
        <v>403</v>
      </c>
      <c r="G1076" s="149"/>
      <c r="H1076" s="149"/>
      <c r="I1076" s="329">
        <f t="shared" si="1900"/>
        <v>0</v>
      </c>
      <c r="J1076" s="329">
        <f t="shared" si="1901"/>
        <v>0</v>
      </c>
      <c r="K1076" s="274"/>
      <c r="L1076" s="274"/>
      <c r="M1076" s="274"/>
      <c r="N1076" s="275">
        <f t="shared" si="1902"/>
        <v>0</v>
      </c>
      <c r="O1076" s="274"/>
      <c r="P1076" s="274"/>
      <c r="Q1076" s="274"/>
      <c r="R1076" s="274"/>
      <c r="S1076" s="274">
        <f t="shared" si="1903"/>
        <v>0</v>
      </c>
      <c r="T1076" s="274"/>
      <c r="U1076" s="274"/>
      <c r="V1076" s="274"/>
      <c r="W1076" s="274"/>
      <c r="X1076" s="274">
        <f t="shared" si="1904"/>
        <v>0</v>
      </c>
      <c r="Y1076" s="274">
        <f t="shared" si="1905"/>
        <v>0</v>
      </c>
      <c r="Z1076" s="274">
        <f t="shared" si="1906"/>
        <v>0</v>
      </c>
      <c r="AA1076" s="274"/>
      <c r="AB1076" s="306">
        <f t="shared" si="1907"/>
        <v>0</v>
      </c>
    </row>
    <row r="1077" spans="1:28" s="90" customFormat="1" ht="14.1" hidden="1" customHeight="1" x14ac:dyDescent="0.2">
      <c r="A1077" s="301"/>
      <c r="B1077" s="350" t="s">
        <v>404</v>
      </c>
      <c r="C1077" s="101"/>
      <c r="D1077" s="101"/>
      <c r="E1077" s="101"/>
      <c r="F1077" s="370" t="s">
        <v>405</v>
      </c>
      <c r="G1077" s="149"/>
      <c r="H1077" s="149"/>
      <c r="I1077" s="329">
        <f t="shared" si="1900"/>
        <v>0</v>
      </c>
      <c r="J1077" s="329">
        <f t="shared" si="1901"/>
        <v>0</v>
      </c>
      <c r="K1077" s="274"/>
      <c r="L1077" s="274"/>
      <c r="M1077" s="274"/>
      <c r="N1077" s="275">
        <f t="shared" si="1902"/>
        <v>0</v>
      </c>
      <c r="O1077" s="274"/>
      <c r="P1077" s="274"/>
      <c r="Q1077" s="274"/>
      <c r="R1077" s="274"/>
      <c r="S1077" s="274">
        <f t="shared" si="1903"/>
        <v>0</v>
      </c>
      <c r="T1077" s="274"/>
      <c r="U1077" s="274"/>
      <c r="V1077" s="274"/>
      <c r="W1077" s="274"/>
      <c r="X1077" s="274">
        <f t="shared" si="1904"/>
        <v>0</v>
      </c>
      <c r="Y1077" s="274">
        <f t="shared" si="1905"/>
        <v>0</v>
      </c>
      <c r="Z1077" s="274">
        <f t="shared" si="1906"/>
        <v>0</v>
      </c>
      <c r="AA1077" s="274"/>
      <c r="AB1077" s="306">
        <f t="shared" si="1907"/>
        <v>0</v>
      </c>
    </row>
    <row r="1078" spans="1:28" s="90" customFormat="1" ht="14.1" hidden="1" customHeight="1" x14ac:dyDescent="0.2">
      <c r="A1078" s="301"/>
      <c r="B1078" s="350" t="s">
        <v>727</v>
      </c>
      <c r="C1078" s="718"/>
      <c r="D1078" s="718"/>
      <c r="E1078" s="718"/>
      <c r="F1078" s="370" t="s">
        <v>728</v>
      </c>
      <c r="G1078" s="149"/>
      <c r="H1078" s="149"/>
      <c r="I1078" s="329">
        <f t="shared" ref="I1078" si="1908">G1078+H1078</f>
        <v>0</v>
      </c>
      <c r="J1078" s="329">
        <f t="shared" ref="J1078" si="1909">I1078</f>
        <v>0</v>
      </c>
      <c r="K1078" s="274"/>
      <c r="L1078" s="274"/>
      <c r="M1078" s="274"/>
      <c r="N1078" s="275">
        <f t="shared" si="1902"/>
        <v>0</v>
      </c>
      <c r="O1078" s="274"/>
      <c r="P1078" s="274"/>
      <c r="Q1078" s="274"/>
      <c r="R1078" s="274"/>
      <c r="S1078" s="274">
        <f t="shared" ref="S1078" si="1910">SUM(O1078:R1078)</f>
        <v>0</v>
      </c>
      <c r="T1078" s="274"/>
      <c r="U1078" s="274"/>
      <c r="V1078" s="274"/>
      <c r="W1078" s="274"/>
      <c r="X1078" s="274">
        <f t="shared" ref="X1078" si="1911">SUM(T1078:W1078)</f>
        <v>0</v>
      </c>
      <c r="Y1078" s="274">
        <f t="shared" ref="Y1078" si="1912">I1078-N1078</f>
        <v>0</v>
      </c>
      <c r="Z1078" s="274">
        <f t="shared" ref="Z1078" si="1913">N1078-S1078</f>
        <v>0</v>
      </c>
      <c r="AA1078" s="274"/>
      <c r="AB1078" s="306">
        <f t="shared" ref="AB1078" si="1914">+S1078-X1078-AA1078</f>
        <v>0</v>
      </c>
    </row>
    <row r="1079" spans="1:28" s="90" customFormat="1" ht="14.1" hidden="1" customHeight="1" x14ac:dyDescent="0.2">
      <c r="A1079" s="301"/>
      <c r="B1079" s="350" t="s">
        <v>406</v>
      </c>
      <c r="C1079" s="101"/>
      <c r="D1079" s="101"/>
      <c r="E1079" s="101"/>
      <c r="F1079" s="370" t="s">
        <v>407</v>
      </c>
      <c r="G1079" s="149"/>
      <c r="H1079" s="149"/>
      <c r="I1079" s="329">
        <f t="shared" si="1900"/>
        <v>0</v>
      </c>
      <c r="J1079" s="329">
        <f t="shared" si="1901"/>
        <v>0</v>
      </c>
      <c r="K1079" s="274"/>
      <c r="L1079" s="274"/>
      <c r="M1079" s="274"/>
      <c r="N1079" s="275">
        <f t="shared" si="1902"/>
        <v>0</v>
      </c>
      <c r="O1079" s="274"/>
      <c r="P1079" s="274"/>
      <c r="Q1079" s="274"/>
      <c r="R1079" s="274"/>
      <c r="S1079" s="274">
        <f t="shared" si="1903"/>
        <v>0</v>
      </c>
      <c r="T1079" s="274"/>
      <c r="U1079" s="274"/>
      <c r="V1079" s="274"/>
      <c r="W1079" s="274"/>
      <c r="X1079" s="274">
        <f t="shared" si="1904"/>
        <v>0</v>
      </c>
      <c r="Y1079" s="274">
        <f t="shared" si="1905"/>
        <v>0</v>
      </c>
      <c r="Z1079" s="274">
        <f t="shared" si="1906"/>
        <v>0</v>
      </c>
      <c r="AA1079" s="274"/>
      <c r="AB1079" s="306">
        <f t="shared" si="1907"/>
        <v>0</v>
      </c>
    </row>
    <row r="1080" spans="1:28" s="90" customFormat="1" ht="14.1" customHeight="1" x14ac:dyDescent="0.2">
      <c r="A1080" s="301"/>
      <c r="B1080" s="351" t="s">
        <v>408</v>
      </c>
      <c r="C1080" s="101"/>
      <c r="D1080" s="101"/>
      <c r="E1080" s="101"/>
      <c r="F1080" s="370"/>
      <c r="G1080" s="149"/>
      <c r="H1080" s="149"/>
      <c r="I1080" s="149"/>
      <c r="J1080" s="149"/>
      <c r="K1080" s="159"/>
      <c r="L1080" s="159"/>
      <c r="M1080" s="159"/>
      <c r="N1080" s="159"/>
      <c r="O1080" s="159"/>
      <c r="P1080" s="159"/>
      <c r="Q1080" s="159"/>
      <c r="R1080" s="159"/>
      <c r="S1080" s="159"/>
      <c r="T1080" s="159"/>
      <c r="U1080" s="159"/>
      <c r="V1080" s="159"/>
      <c r="W1080" s="159"/>
      <c r="X1080" s="159"/>
      <c r="Y1080" s="159"/>
      <c r="Z1080" s="159"/>
      <c r="AA1080" s="159"/>
      <c r="AB1080" s="583"/>
    </row>
    <row r="1081" spans="1:28" s="90" customFormat="1" ht="14.1" hidden="1" customHeight="1" x14ac:dyDescent="0.2">
      <c r="A1081" s="301"/>
      <c r="B1081" s="350" t="s">
        <v>409</v>
      </c>
      <c r="C1081" s="101"/>
      <c r="D1081" s="101"/>
      <c r="E1081" s="101"/>
      <c r="F1081" s="370" t="s">
        <v>410</v>
      </c>
      <c r="G1081" s="149"/>
      <c r="H1081" s="149"/>
      <c r="I1081" s="329">
        <f t="shared" ref="I1081:I1083" si="1915">G1081+H1081</f>
        <v>0</v>
      </c>
      <c r="J1081" s="329">
        <f t="shared" ref="J1081:J1083" si="1916">I1081</f>
        <v>0</v>
      </c>
      <c r="K1081" s="274"/>
      <c r="L1081" s="274"/>
      <c r="M1081" s="274"/>
      <c r="N1081" s="275">
        <f t="shared" ref="N1081:N1083" si="1917">J1081+K1081-L1081+M1081</f>
        <v>0</v>
      </c>
      <c r="O1081" s="274"/>
      <c r="P1081" s="274"/>
      <c r="Q1081" s="274"/>
      <c r="R1081" s="274"/>
      <c r="S1081" s="274">
        <f t="shared" ref="S1081:S1083" si="1918">SUM(O1081:R1081)</f>
        <v>0</v>
      </c>
      <c r="T1081" s="274"/>
      <c r="U1081" s="274"/>
      <c r="V1081" s="274"/>
      <c r="W1081" s="274"/>
      <c r="X1081" s="274">
        <f t="shared" ref="X1081:X1083" si="1919">SUM(T1081:W1081)</f>
        <v>0</v>
      </c>
      <c r="Y1081" s="274">
        <f t="shared" ref="Y1081:Y1083" si="1920">I1081-N1081</f>
        <v>0</v>
      </c>
      <c r="Z1081" s="274">
        <f t="shared" ref="Z1081:Z1083" si="1921">N1081-S1081</f>
        <v>0</v>
      </c>
      <c r="AA1081" s="274"/>
      <c r="AB1081" s="306">
        <f t="shared" ref="AB1081:AB1083" si="1922">+S1081-X1081-AA1081</f>
        <v>0</v>
      </c>
    </row>
    <row r="1082" spans="1:28" s="90" customFormat="1" ht="14.1" hidden="1" customHeight="1" x14ac:dyDescent="0.2">
      <c r="A1082" s="301"/>
      <c r="B1082" s="350" t="s">
        <v>411</v>
      </c>
      <c r="C1082" s="101"/>
      <c r="D1082" s="101"/>
      <c r="E1082" s="101"/>
      <c r="F1082" s="370" t="s">
        <v>412</v>
      </c>
      <c r="G1082" s="149"/>
      <c r="H1082" s="149"/>
      <c r="I1082" s="329">
        <f t="shared" si="1915"/>
        <v>0</v>
      </c>
      <c r="J1082" s="329">
        <f t="shared" si="1916"/>
        <v>0</v>
      </c>
      <c r="K1082" s="274"/>
      <c r="L1082" s="274"/>
      <c r="M1082" s="274"/>
      <c r="N1082" s="275">
        <f t="shared" si="1917"/>
        <v>0</v>
      </c>
      <c r="O1082" s="274"/>
      <c r="P1082" s="274"/>
      <c r="Q1082" s="274"/>
      <c r="R1082" s="274"/>
      <c r="S1082" s="274">
        <f t="shared" si="1918"/>
        <v>0</v>
      </c>
      <c r="T1082" s="274"/>
      <c r="U1082" s="274"/>
      <c r="V1082" s="274"/>
      <c r="W1082" s="274"/>
      <c r="X1082" s="274">
        <f t="shared" si="1919"/>
        <v>0</v>
      </c>
      <c r="Y1082" s="274">
        <f t="shared" si="1920"/>
        <v>0</v>
      </c>
      <c r="Z1082" s="274">
        <f t="shared" si="1921"/>
        <v>0</v>
      </c>
      <c r="AA1082" s="274"/>
      <c r="AB1082" s="306">
        <f t="shared" si="1922"/>
        <v>0</v>
      </c>
    </row>
    <row r="1083" spans="1:28" s="90" customFormat="1" ht="14.1" customHeight="1" x14ac:dyDescent="0.2">
      <c r="A1083" s="301"/>
      <c r="B1083" s="350" t="s">
        <v>413</v>
      </c>
      <c r="C1083" s="101"/>
      <c r="D1083" s="101"/>
      <c r="E1083" s="101"/>
      <c r="F1083" s="370" t="s">
        <v>414</v>
      </c>
      <c r="G1083" s="149">
        <v>5000</v>
      </c>
      <c r="H1083" s="149"/>
      <c r="I1083" s="329">
        <f t="shared" si="1915"/>
        <v>5000</v>
      </c>
      <c r="J1083" s="329">
        <f t="shared" si="1916"/>
        <v>5000</v>
      </c>
      <c r="K1083" s="274"/>
      <c r="L1083" s="274"/>
      <c r="M1083" s="274"/>
      <c r="N1083" s="275">
        <f t="shared" si="1917"/>
        <v>5000</v>
      </c>
      <c r="O1083" s="274"/>
      <c r="P1083" s="274"/>
      <c r="Q1083" s="274">
        <v>5000</v>
      </c>
      <c r="R1083" s="274"/>
      <c r="S1083" s="274">
        <f t="shared" si="1918"/>
        <v>5000</v>
      </c>
      <c r="T1083" s="274"/>
      <c r="U1083" s="274"/>
      <c r="V1083" s="274">
        <v>5000</v>
      </c>
      <c r="W1083" s="274"/>
      <c r="X1083" s="274">
        <f t="shared" si="1919"/>
        <v>5000</v>
      </c>
      <c r="Y1083" s="274">
        <f t="shared" si="1920"/>
        <v>0</v>
      </c>
      <c r="Z1083" s="274">
        <f t="shared" si="1921"/>
        <v>0</v>
      </c>
      <c r="AA1083" s="274"/>
      <c r="AB1083" s="306">
        <f t="shared" si="1922"/>
        <v>0</v>
      </c>
    </row>
    <row r="1084" spans="1:28" s="90" customFormat="1" ht="14.1" customHeight="1" x14ac:dyDescent="0.2">
      <c r="A1084" s="301"/>
      <c r="B1084" s="351" t="s">
        <v>415</v>
      </c>
      <c r="C1084" s="101"/>
      <c r="D1084" s="101"/>
      <c r="E1084" s="101"/>
      <c r="F1084" s="370"/>
      <c r="G1084" s="149"/>
      <c r="H1084" s="149"/>
      <c r="I1084" s="149"/>
      <c r="J1084" s="149"/>
      <c r="K1084" s="159"/>
      <c r="L1084" s="159"/>
      <c r="M1084" s="159"/>
      <c r="N1084" s="159"/>
      <c r="O1084" s="159"/>
      <c r="P1084" s="159"/>
      <c r="Q1084" s="159"/>
      <c r="R1084" s="159"/>
      <c r="S1084" s="159"/>
      <c r="T1084" s="159"/>
      <c r="U1084" s="159"/>
      <c r="V1084" s="159"/>
      <c r="W1084" s="159"/>
      <c r="X1084" s="159"/>
      <c r="Y1084" s="159"/>
      <c r="Z1084" s="159"/>
      <c r="AA1084" s="159"/>
      <c r="AB1084" s="583"/>
    </row>
    <row r="1085" spans="1:28" s="90" customFormat="1" ht="14.1" hidden="1" customHeight="1" x14ac:dyDescent="0.2">
      <c r="A1085" s="301"/>
      <c r="B1085" s="350" t="s">
        <v>416</v>
      </c>
      <c r="C1085" s="101"/>
      <c r="D1085" s="101"/>
      <c r="E1085" s="101"/>
      <c r="F1085" s="370" t="s">
        <v>417</v>
      </c>
      <c r="G1085" s="149"/>
      <c r="H1085" s="149"/>
      <c r="I1085" s="329">
        <f t="shared" ref="I1085:I1097" si="1923">G1085+H1085</f>
        <v>0</v>
      </c>
      <c r="J1085" s="329">
        <f t="shared" ref="J1085:J1097" si="1924">I1085</f>
        <v>0</v>
      </c>
      <c r="K1085" s="274"/>
      <c r="L1085" s="274"/>
      <c r="M1085" s="274"/>
      <c r="N1085" s="275">
        <f t="shared" ref="N1085:N1097" si="1925">J1085+K1085-L1085+M1085</f>
        <v>0</v>
      </c>
      <c r="O1085" s="274"/>
      <c r="P1085" s="274"/>
      <c r="Q1085" s="274"/>
      <c r="R1085" s="274"/>
      <c r="S1085" s="274">
        <f t="shared" ref="S1085:S1097" si="1926">SUM(O1085:R1085)</f>
        <v>0</v>
      </c>
      <c r="T1085" s="274"/>
      <c r="U1085" s="274"/>
      <c r="V1085" s="274"/>
      <c r="W1085" s="274"/>
      <c r="X1085" s="274">
        <f t="shared" ref="X1085:X1097" si="1927">SUM(T1085:W1085)</f>
        <v>0</v>
      </c>
      <c r="Y1085" s="274">
        <f t="shared" ref="Y1085:Y1097" si="1928">I1085-N1085</f>
        <v>0</v>
      </c>
      <c r="Z1085" s="274">
        <f t="shared" ref="Z1085:Z1097" si="1929">N1085-S1085</f>
        <v>0</v>
      </c>
      <c r="AA1085" s="274"/>
      <c r="AB1085" s="306">
        <f t="shared" ref="AB1085:AB1097" si="1930">+S1085-X1085-AA1085</f>
        <v>0</v>
      </c>
    </row>
    <row r="1086" spans="1:28" s="90" customFormat="1" ht="14.1" hidden="1" customHeight="1" x14ac:dyDescent="0.2">
      <c r="A1086" s="301"/>
      <c r="B1086" s="350" t="s">
        <v>418</v>
      </c>
      <c r="C1086" s="101"/>
      <c r="D1086" s="101"/>
      <c r="E1086" s="101"/>
      <c r="F1086" s="370" t="s">
        <v>419</v>
      </c>
      <c r="G1086" s="149"/>
      <c r="H1086" s="149"/>
      <c r="I1086" s="329">
        <f t="shared" si="1923"/>
        <v>0</v>
      </c>
      <c r="J1086" s="329">
        <f t="shared" si="1924"/>
        <v>0</v>
      </c>
      <c r="K1086" s="274"/>
      <c r="L1086" s="274"/>
      <c r="M1086" s="274"/>
      <c r="N1086" s="275">
        <f t="shared" si="1925"/>
        <v>0</v>
      </c>
      <c r="O1086" s="274"/>
      <c r="P1086" s="274"/>
      <c r="Q1086" s="274"/>
      <c r="R1086" s="274"/>
      <c r="S1086" s="274">
        <f t="shared" si="1926"/>
        <v>0</v>
      </c>
      <c r="T1086" s="274"/>
      <c r="U1086" s="274"/>
      <c r="V1086" s="274"/>
      <c r="W1086" s="274"/>
      <c r="X1086" s="274">
        <f t="shared" si="1927"/>
        <v>0</v>
      </c>
      <c r="Y1086" s="274">
        <f t="shared" si="1928"/>
        <v>0</v>
      </c>
      <c r="Z1086" s="274">
        <f t="shared" si="1929"/>
        <v>0</v>
      </c>
      <c r="AA1086" s="274"/>
      <c r="AB1086" s="306">
        <f t="shared" si="1930"/>
        <v>0</v>
      </c>
    </row>
    <row r="1087" spans="1:28" s="90" customFormat="1" ht="14.1" hidden="1" customHeight="1" x14ac:dyDescent="0.2">
      <c r="A1087" s="301"/>
      <c r="B1087" s="350" t="s">
        <v>420</v>
      </c>
      <c r="C1087" s="101"/>
      <c r="D1087" s="101"/>
      <c r="E1087" s="101"/>
      <c r="F1087" s="370" t="s">
        <v>421</v>
      </c>
      <c r="G1087" s="149"/>
      <c r="H1087" s="149"/>
      <c r="I1087" s="329">
        <f t="shared" si="1923"/>
        <v>0</v>
      </c>
      <c r="J1087" s="329">
        <f t="shared" si="1924"/>
        <v>0</v>
      </c>
      <c r="K1087" s="274"/>
      <c r="L1087" s="274"/>
      <c r="M1087" s="274"/>
      <c r="N1087" s="275">
        <f t="shared" si="1925"/>
        <v>0</v>
      </c>
      <c r="O1087" s="274"/>
      <c r="P1087" s="274"/>
      <c r="Q1087" s="274"/>
      <c r="R1087" s="274"/>
      <c r="S1087" s="274">
        <f t="shared" si="1926"/>
        <v>0</v>
      </c>
      <c r="T1087" s="274"/>
      <c r="U1087" s="274"/>
      <c r="V1087" s="274"/>
      <c r="W1087" s="274"/>
      <c r="X1087" s="274">
        <f t="shared" si="1927"/>
        <v>0</v>
      </c>
      <c r="Y1087" s="274">
        <f t="shared" si="1928"/>
        <v>0</v>
      </c>
      <c r="Z1087" s="274">
        <f t="shared" si="1929"/>
        <v>0</v>
      </c>
      <c r="AA1087" s="274"/>
      <c r="AB1087" s="306">
        <f t="shared" si="1930"/>
        <v>0</v>
      </c>
    </row>
    <row r="1088" spans="1:28" s="90" customFormat="1" ht="14.1" customHeight="1" x14ac:dyDescent="0.2">
      <c r="A1088" s="301"/>
      <c r="B1088" s="350" t="s">
        <v>422</v>
      </c>
      <c r="C1088" s="101"/>
      <c r="D1088" s="101"/>
      <c r="E1088" s="101"/>
      <c r="F1088" s="370" t="s">
        <v>423</v>
      </c>
      <c r="G1088" s="149">
        <v>13800</v>
      </c>
      <c r="H1088" s="149"/>
      <c r="I1088" s="329">
        <f t="shared" si="1923"/>
        <v>13800</v>
      </c>
      <c r="J1088" s="329">
        <f t="shared" si="1924"/>
        <v>13800</v>
      </c>
      <c r="K1088" s="274"/>
      <c r="L1088" s="274"/>
      <c r="M1088" s="274"/>
      <c r="N1088" s="275">
        <f t="shared" si="1925"/>
        <v>13800</v>
      </c>
      <c r="O1088" s="274"/>
      <c r="P1088" s="274">
        <v>12650</v>
      </c>
      <c r="Q1088" s="274">
        <v>1150</v>
      </c>
      <c r="R1088" s="274"/>
      <c r="S1088" s="274">
        <f t="shared" si="1926"/>
        <v>13800</v>
      </c>
      <c r="T1088" s="274"/>
      <c r="U1088" s="274">
        <v>12650</v>
      </c>
      <c r="V1088" s="274">
        <v>1150</v>
      </c>
      <c r="W1088" s="274"/>
      <c r="X1088" s="274">
        <f t="shared" si="1927"/>
        <v>13800</v>
      </c>
      <c r="Y1088" s="274">
        <f t="shared" si="1928"/>
        <v>0</v>
      </c>
      <c r="Z1088" s="274">
        <f t="shared" si="1929"/>
        <v>0</v>
      </c>
      <c r="AA1088" s="274"/>
      <c r="AB1088" s="306">
        <f t="shared" si="1930"/>
        <v>0</v>
      </c>
    </row>
    <row r="1089" spans="1:28" s="90" customFormat="1" ht="14.1" hidden="1" customHeight="1" x14ac:dyDescent="0.2">
      <c r="A1089" s="301"/>
      <c r="B1089" s="350" t="s">
        <v>424</v>
      </c>
      <c r="C1089" s="101"/>
      <c r="D1089" s="101"/>
      <c r="E1089" s="101"/>
      <c r="F1089" s="370" t="s">
        <v>425</v>
      </c>
      <c r="G1089" s="149"/>
      <c r="H1089" s="149"/>
      <c r="I1089" s="329">
        <f t="shared" si="1923"/>
        <v>0</v>
      </c>
      <c r="J1089" s="329">
        <f t="shared" si="1924"/>
        <v>0</v>
      </c>
      <c r="K1089" s="274"/>
      <c r="L1089" s="274"/>
      <c r="M1089" s="274"/>
      <c r="N1089" s="275">
        <f t="shared" si="1925"/>
        <v>0</v>
      </c>
      <c r="O1089" s="274"/>
      <c r="P1089" s="274"/>
      <c r="Q1089" s="274"/>
      <c r="R1089" s="274"/>
      <c r="S1089" s="274">
        <f t="shared" si="1926"/>
        <v>0</v>
      </c>
      <c r="T1089" s="274"/>
      <c r="U1089" s="274"/>
      <c r="V1089" s="274"/>
      <c r="W1089" s="274"/>
      <c r="X1089" s="274">
        <f t="shared" si="1927"/>
        <v>0</v>
      </c>
      <c r="Y1089" s="274">
        <f t="shared" si="1928"/>
        <v>0</v>
      </c>
      <c r="Z1089" s="274">
        <f t="shared" si="1929"/>
        <v>0</v>
      </c>
      <c r="AA1089" s="274"/>
      <c r="AB1089" s="306">
        <f t="shared" si="1930"/>
        <v>0</v>
      </c>
    </row>
    <row r="1090" spans="1:28" s="90" customFormat="1" ht="14.1" hidden="1" customHeight="1" x14ac:dyDescent="0.2">
      <c r="A1090" s="301"/>
      <c r="B1090" s="350" t="s">
        <v>426</v>
      </c>
      <c r="C1090" s="101"/>
      <c r="D1090" s="101"/>
      <c r="E1090" s="101"/>
      <c r="F1090" s="370" t="s">
        <v>427</v>
      </c>
      <c r="G1090" s="149"/>
      <c r="H1090" s="149"/>
      <c r="I1090" s="329">
        <f t="shared" si="1923"/>
        <v>0</v>
      </c>
      <c r="J1090" s="329">
        <f t="shared" si="1924"/>
        <v>0</v>
      </c>
      <c r="K1090" s="274"/>
      <c r="L1090" s="274"/>
      <c r="M1090" s="274"/>
      <c r="N1090" s="275">
        <f t="shared" si="1925"/>
        <v>0</v>
      </c>
      <c r="O1090" s="274"/>
      <c r="P1090" s="274"/>
      <c r="Q1090" s="274"/>
      <c r="R1090" s="274"/>
      <c r="S1090" s="274">
        <f t="shared" si="1926"/>
        <v>0</v>
      </c>
      <c r="T1090" s="274"/>
      <c r="U1090" s="274"/>
      <c r="V1090" s="274"/>
      <c r="W1090" s="274"/>
      <c r="X1090" s="274">
        <f t="shared" si="1927"/>
        <v>0</v>
      </c>
      <c r="Y1090" s="274">
        <f t="shared" si="1928"/>
        <v>0</v>
      </c>
      <c r="Z1090" s="274">
        <f t="shared" si="1929"/>
        <v>0</v>
      </c>
      <c r="AA1090" s="274"/>
      <c r="AB1090" s="306">
        <f t="shared" si="1930"/>
        <v>0</v>
      </c>
    </row>
    <row r="1091" spans="1:28" s="90" customFormat="1" ht="14.1" hidden="1" customHeight="1" x14ac:dyDescent="0.2">
      <c r="A1091" s="301"/>
      <c r="B1091" s="350" t="s">
        <v>428</v>
      </c>
      <c r="C1091" s="101"/>
      <c r="D1091" s="101"/>
      <c r="E1091" s="101"/>
      <c r="F1091" s="370" t="s">
        <v>429</v>
      </c>
      <c r="G1091" s="149"/>
      <c r="H1091" s="149"/>
      <c r="I1091" s="329">
        <f t="shared" si="1923"/>
        <v>0</v>
      </c>
      <c r="J1091" s="329">
        <f t="shared" si="1924"/>
        <v>0</v>
      </c>
      <c r="K1091" s="274"/>
      <c r="L1091" s="274"/>
      <c r="M1091" s="274"/>
      <c r="N1091" s="275">
        <f t="shared" si="1925"/>
        <v>0</v>
      </c>
      <c r="O1091" s="274"/>
      <c r="P1091" s="274"/>
      <c r="Q1091" s="274"/>
      <c r="R1091" s="274"/>
      <c r="S1091" s="274">
        <f t="shared" si="1926"/>
        <v>0</v>
      </c>
      <c r="T1091" s="274"/>
      <c r="U1091" s="274"/>
      <c r="V1091" s="274"/>
      <c r="W1091" s="274"/>
      <c r="X1091" s="274">
        <f t="shared" si="1927"/>
        <v>0</v>
      </c>
      <c r="Y1091" s="274">
        <f t="shared" si="1928"/>
        <v>0</v>
      </c>
      <c r="Z1091" s="274">
        <f t="shared" si="1929"/>
        <v>0</v>
      </c>
      <c r="AA1091" s="274"/>
      <c r="AB1091" s="306">
        <f t="shared" si="1930"/>
        <v>0</v>
      </c>
    </row>
    <row r="1092" spans="1:28" s="90" customFormat="1" ht="14.1" hidden="1" customHeight="1" x14ac:dyDescent="0.2">
      <c r="A1092" s="301"/>
      <c r="B1092" s="350" t="s">
        <v>430</v>
      </c>
      <c r="C1092" s="101"/>
      <c r="D1092" s="101"/>
      <c r="E1092" s="101"/>
      <c r="F1092" s="370" t="s">
        <v>431</v>
      </c>
      <c r="G1092" s="149"/>
      <c r="H1092" s="149"/>
      <c r="I1092" s="329">
        <f t="shared" si="1923"/>
        <v>0</v>
      </c>
      <c r="J1092" s="329">
        <f t="shared" si="1924"/>
        <v>0</v>
      </c>
      <c r="K1092" s="274"/>
      <c r="L1092" s="274"/>
      <c r="M1092" s="274"/>
      <c r="N1092" s="275">
        <f t="shared" si="1925"/>
        <v>0</v>
      </c>
      <c r="O1092" s="274"/>
      <c r="P1092" s="274"/>
      <c r="Q1092" s="274"/>
      <c r="R1092" s="274"/>
      <c r="S1092" s="274">
        <f t="shared" si="1926"/>
        <v>0</v>
      </c>
      <c r="T1092" s="274"/>
      <c r="U1092" s="274"/>
      <c r="V1092" s="274"/>
      <c r="W1092" s="274"/>
      <c r="X1092" s="274">
        <f t="shared" si="1927"/>
        <v>0</v>
      </c>
      <c r="Y1092" s="274">
        <f t="shared" si="1928"/>
        <v>0</v>
      </c>
      <c r="Z1092" s="274">
        <f t="shared" si="1929"/>
        <v>0</v>
      </c>
      <c r="AA1092" s="274"/>
      <c r="AB1092" s="306">
        <f t="shared" si="1930"/>
        <v>0</v>
      </c>
    </row>
    <row r="1093" spans="1:28" s="90" customFormat="1" ht="14.1" hidden="1" customHeight="1" x14ac:dyDescent="0.2">
      <c r="A1093" s="301"/>
      <c r="B1093" s="350" t="s">
        <v>432</v>
      </c>
      <c r="C1093" s="101"/>
      <c r="D1093" s="101"/>
      <c r="E1093" s="101"/>
      <c r="F1093" s="370" t="s">
        <v>433</v>
      </c>
      <c r="G1093" s="149"/>
      <c r="H1093" s="149"/>
      <c r="I1093" s="329">
        <f t="shared" si="1923"/>
        <v>0</v>
      </c>
      <c r="J1093" s="329">
        <f t="shared" si="1924"/>
        <v>0</v>
      </c>
      <c r="K1093" s="274"/>
      <c r="L1093" s="274"/>
      <c r="M1093" s="274"/>
      <c r="N1093" s="275">
        <f t="shared" si="1925"/>
        <v>0</v>
      </c>
      <c r="O1093" s="274"/>
      <c r="P1093" s="274"/>
      <c r="Q1093" s="274"/>
      <c r="R1093" s="274"/>
      <c r="S1093" s="274">
        <f t="shared" si="1926"/>
        <v>0</v>
      </c>
      <c r="T1093" s="274"/>
      <c r="U1093" s="274"/>
      <c r="V1093" s="274"/>
      <c r="W1093" s="274"/>
      <c r="X1093" s="274">
        <f t="shared" si="1927"/>
        <v>0</v>
      </c>
      <c r="Y1093" s="274">
        <f t="shared" si="1928"/>
        <v>0</v>
      </c>
      <c r="Z1093" s="274">
        <f t="shared" si="1929"/>
        <v>0</v>
      </c>
      <c r="AA1093" s="274"/>
      <c r="AB1093" s="306">
        <f t="shared" si="1930"/>
        <v>0</v>
      </c>
    </row>
    <row r="1094" spans="1:28" s="90" customFormat="1" ht="14.1" hidden="1" customHeight="1" x14ac:dyDescent="0.2">
      <c r="A1094" s="301"/>
      <c r="B1094" s="350" t="s">
        <v>730</v>
      </c>
      <c r="C1094" s="744"/>
      <c r="D1094" s="744"/>
      <c r="E1094" s="744"/>
      <c r="F1094" s="370" t="s">
        <v>733</v>
      </c>
      <c r="G1094" s="149"/>
      <c r="H1094" s="149"/>
      <c r="I1094" s="329">
        <f t="shared" si="1923"/>
        <v>0</v>
      </c>
      <c r="J1094" s="329">
        <f t="shared" si="1924"/>
        <v>0</v>
      </c>
      <c r="K1094" s="274"/>
      <c r="L1094" s="274"/>
      <c r="M1094" s="274"/>
      <c r="N1094" s="275">
        <f t="shared" si="1925"/>
        <v>0</v>
      </c>
      <c r="O1094" s="274"/>
      <c r="P1094" s="274"/>
      <c r="Q1094" s="274"/>
      <c r="R1094" s="274"/>
      <c r="S1094" s="274">
        <f t="shared" si="1926"/>
        <v>0</v>
      </c>
      <c r="T1094" s="274"/>
      <c r="U1094" s="274"/>
      <c r="V1094" s="274"/>
      <c r="W1094" s="274"/>
      <c r="X1094" s="274">
        <f t="shared" si="1927"/>
        <v>0</v>
      </c>
      <c r="Y1094" s="274">
        <f t="shared" si="1928"/>
        <v>0</v>
      </c>
      <c r="Z1094" s="274">
        <f t="shared" si="1929"/>
        <v>0</v>
      </c>
      <c r="AA1094" s="274"/>
      <c r="AB1094" s="306">
        <f t="shared" si="1930"/>
        <v>0</v>
      </c>
    </row>
    <row r="1095" spans="1:28" s="90" customFormat="1" ht="14.1" customHeight="1" x14ac:dyDescent="0.2">
      <c r="A1095" s="301"/>
      <c r="B1095" s="350" t="s">
        <v>737</v>
      </c>
      <c r="C1095" s="744"/>
      <c r="D1095" s="744"/>
      <c r="E1095" s="744"/>
      <c r="F1095" s="370" t="s">
        <v>738</v>
      </c>
      <c r="G1095" s="149">
        <v>3000</v>
      </c>
      <c r="H1095" s="149"/>
      <c r="I1095" s="329">
        <f t="shared" ref="I1095:I1096" si="1931">G1095+H1095</f>
        <v>3000</v>
      </c>
      <c r="J1095" s="329">
        <f t="shared" ref="J1095:J1096" si="1932">I1095</f>
        <v>3000</v>
      </c>
      <c r="K1095" s="274"/>
      <c r="L1095" s="274"/>
      <c r="M1095" s="274"/>
      <c r="N1095" s="275">
        <f t="shared" si="1925"/>
        <v>3000</v>
      </c>
      <c r="O1095" s="274"/>
      <c r="P1095" s="274"/>
      <c r="Q1095" s="274">
        <f>205+1850</f>
        <v>2055</v>
      </c>
      <c r="R1095" s="274">
        <f>945</f>
        <v>945</v>
      </c>
      <c r="S1095" s="274">
        <f t="shared" ref="S1095:S1096" si="1933">SUM(O1095:R1095)</f>
        <v>3000</v>
      </c>
      <c r="T1095" s="274"/>
      <c r="U1095" s="274"/>
      <c r="V1095" s="274">
        <f>205+1850</f>
        <v>2055</v>
      </c>
      <c r="W1095" s="274">
        <f>945</f>
        <v>945</v>
      </c>
      <c r="X1095" s="274">
        <f t="shared" ref="X1095:X1096" si="1934">SUM(T1095:W1095)</f>
        <v>3000</v>
      </c>
      <c r="Y1095" s="274">
        <f t="shared" ref="Y1095:Y1096" si="1935">I1095-N1095</f>
        <v>0</v>
      </c>
      <c r="Z1095" s="274">
        <f t="shared" ref="Z1095:Z1096" si="1936">N1095-S1095</f>
        <v>0</v>
      </c>
      <c r="AA1095" s="274"/>
      <c r="AB1095" s="306">
        <f t="shared" ref="AB1095:AB1096" si="1937">+S1095-X1095-AA1095</f>
        <v>0</v>
      </c>
    </row>
    <row r="1096" spans="1:28" s="90" customFormat="1" ht="14.1" hidden="1" customHeight="1" x14ac:dyDescent="0.2">
      <c r="A1096" s="301"/>
      <c r="B1096" s="350" t="s">
        <v>434</v>
      </c>
      <c r="C1096" s="718"/>
      <c r="D1096" s="718"/>
      <c r="E1096" s="718"/>
      <c r="F1096" s="370" t="s">
        <v>435</v>
      </c>
      <c r="G1096" s="149"/>
      <c r="H1096" s="149"/>
      <c r="I1096" s="329">
        <f t="shared" si="1931"/>
        <v>0</v>
      </c>
      <c r="J1096" s="329">
        <f t="shared" si="1932"/>
        <v>0</v>
      </c>
      <c r="K1096" s="274"/>
      <c r="L1096" s="274"/>
      <c r="M1096" s="274"/>
      <c r="N1096" s="275">
        <f t="shared" si="1925"/>
        <v>0</v>
      </c>
      <c r="O1096" s="274"/>
      <c r="P1096" s="274"/>
      <c r="Q1096" s="274"/>
      <c r="R1096" s="274"/>
      <c r="S1096" s="274">
        <f t="shared" si="1933"/>
        <v>0</v>
      </c>
      <c r="T1096" s="274"/>
      <c r="U1096" s="274"/>
      <c r="V1096" s="274"/>
      <c r="W1096" s="274"/>
      <c r="X1096" s="274">
        <f t="shared" si="1934"/>
        <v>0</v>
      </c>
      <c r="Y1096" s="274">
        <f t="shared" si="1935"/>
        <v>0</v>
      </c>
      <c r="Z1096" s="274">
        <f t="shared" si="1936"/>
        <v>0</v>
      </c>
      <c r="AA1096" s="274"/>
      <c r="AB1096" s="306">
        <f t="shared" si="1937"/>
        <v>0</v>
      </c>
    </row>
    <row r="1097" spans="1:28" s="90" customFormat="1" ht="14.1" hidden="1" customHeight="1" x14ac:dyDescent="0.2">
      <c r="A1097" s="301"/>
      <c r="B1097" s="350" t="s">
        <v>732</v>
      </c>
      <c r="C1097" s="718"/>
      <c r="D1097" s="718"/>
      <c r="E1097" s="718"/>
      <c r="F1097" s="370" t="s">
        <v>731</v>
      </c>
      <c r="G1097" s="149"/>
      <c r="H1097" s="149"/>
      <c r="I1097" s="329">
        <f t="shared" si="1923"/>
        <v>0</v>
      </c>
      <c r="J1097" s="329">
        <f t="shared" si="1924"/>
        <v>0</v>
      </c>
      <c r="K1097" s="274"/>
      <c r="L1097" s="274"/>
      <c r="M1097" s="274"/>
      <c r="N1097" s="275">
        <f t="shared" si="1925"/>
        <v>0</v>
      </c>
      <c r="O1097" s="274"/>
      <c r="P1097" s="274"/>
      <c r="Q1097" s="274"/>
      <c r="R1097" s="274"/>
      <c r="S1097" s="274">
        <f t="shared" si="1926"/>
        <v>0</v>
      </c>
      <c r="T1097" s="274"/>
      <c r="U1097" s="274"/>
      <c r="V1097" s="274"/>
      <c r="W1097" s="274"/>
      <c r="X1097" s="274">
        <f t="shared" si="1927"/>
        <v>0</v>
      </c>
      <c r="Y1097" s="274">
        <f t="shared" si="1928"/>
        <v>0</v>
      </c>
      <c r="Z1097" s="274">
        <f t="shared" si="1929"/>
        <v>0</v>
      </c>
      <c r="AA1097" s="274"/>
      <c r="AB1097" s="306">
        <f t="shared" si="1930"/>
        <v>0</v>
      </c>
    </row>
    <row r="1098" spans="1:28" s="90" customFormat="1" ht="14.1" customHeight="1" x14ac:dyDescent="0.2">
      <c r="A1098" s="301"/>
      <c r="B1098" s="15"/>
      <c r="C1098" s="101"/>
      <c r="D1098" s="101"/>
      <c r="E1098" s="101"/>
      <c r="F1098" s="370"/>
      <c r="G1098" s="321"/>
      <c r="H1098" s="321"/>
      <c r="I1098" s="321"/>
      <c r="J1098" s="321"/>
      <c r="K1098" s="332"/>
      <c r="L1098" s="332"/>
      <c r="M1098" s="332"/>
      <c r="N1098" s="332"/>
      <c r="O1098" s="332"/>
      <c r="P1098" s="332"/>
      <c r="Q1098" s="332"/>
      <c r="R1098" s="332"/>
      <c r="S1098" s="332"/>
      <c r="T1098" s="332"/>
      <c r="U1098" s="332"/>
      <c r="V1098" s="332"/>
      <c r="W1098" s="332"/>
      <c r="X1098" s="332"/>
      <c r="Y1098" s="332"/>
      <c r="Z1098" s="332"/>
      <c r="AA1098" s="332"/>
      <c r="AB1098" s="302"/>
    </row>
    <row r="1099" spans="1:28" s="90" customFormat="1" ht="14.1" customHeight="1" x14ac:dyDescent="0.2">
      <c r="A1099" s="301"/>
      <c r="B1099" s="347" t="s">
        <v>436</v>
      </c>
      <c r="C1099" s="101"/>
      <c r="D1099" s="101"/>
      <c r="E1099" s="101"/>
      <c r="F1099" s="370"/>
      <c r="G1099" s="322">
        <f t="shared" ref="G1099" si="1938">SUM(G1102:G1126)</f>
        <v>0</v>
      </c>
      <c r="H1099" s="322">
        <f t="shared" ref="H1099:AB1099" si="1939">SUM(H1102:H1126)</f>
        <v>0</v>
      </c>
      <c r="I1099" s="322">
        <f t="shared" si="1939"/>
        <v>0</v>
      </c>
      <c r="J1099" s="322">
        <f t="shared" si="1939"/>
        <v>0</v>
      </c>
      <c r="K1099" s="322">
        <f t="shared" si="1939"/>
        <v>0</v>
      </c>
      <c r="L1099" s="322">
        <f t="shared" si="1939"/>
        <v>0</v>
      </c>
      <c r="M1099" s="322">
        <f t="shared" si="1939"/>
        <v>0</v>
      </c>
      <c r="N1099" s="322">
        <f t="shared" si="1939"/>
        <v>0</v>
      </c>
      <c r="O1099" s="322">
        <f t="shared" si="1939"/>
        <v>0</v>
      </c>
      <c r="P1099" s="322">
        <f t="shared" si="1939"/>
        <v>0</v>
      </c>
      <c r="Q1099" s="322">
        <f t="shared" si="1939"/>
        <v>0</v>
      </c>
      <c r="R1099" s="322">
        <f t="shared" si="1939"/>
        <v>0</v>
      </c>
      <c r="S1099" s="322">
        <f t="shared" si="1939"/>
        <v>0</v>
      </c>
      <c r="T1099" s="322">
        <f t="shared" si="1939"/>
        <v>0</v>
      </c>
      <c r="U1099" s="322">
        <f t="shared" si="1939"/>
        <v>0</v>
      </c>
      <c r="V1099" s="322">
        <f t="shared" si="1939"/>
        <v>0</v>
      </c>
      <c r="W1099" s="322">
        <f t="shared" si="1939"/>
        <v>0</v>
      </c>
      <c r="X1099" s="322">
        <f t="shared" si="1939"/>
        <v>0</v>
      </c>
      <c r="Y1099" s="322">
        <f t="shared" si="1939"/>
        <v>0</v>
      </c>
      <c r="Z1099" s="322">
        <f t="shared" si="1939"/>
        <v>0</v>
      </c>
      <c r="AA1099" s="333">
        <f t="shared" ref="AA1099" si="1940">SUM(AA1102:AA1126)</f>
        <v>0</v>
      </c>
      <c r="AB1099" s="305">
        <f t="shared" si="1939"/>
        <v>0</v>
      </c>
    </row>
    <row r="1100" spans="1:28" s="90" customFormat="1" ht="14.1" customHeight="1" x14ac:dyDescent="0.2">
      <c r="A1100" s="301"/>
      <c r="B1100" s="347" t="s">
        <v>437</v>
      </c>
      <c r="C1100" s="101"/>
      <c r="D1100" s="101"/>
      <c r="E1100" s="101"/>
      <c r="F1100" s="370"/>
      <c r="G1100" s="321"/>
      <c r="H1100" s="321"/>
      <c r="I1100" s="321"/>
      <c r="J1100" s="321"/>
      <c r="K1100" s="332"/>
      <c r="L1100" s="332"/>
      <c r="M1100" s="332"/>
      <c r="N1100" s="332"/>
      <c r="O1100" s="332"/>
      <c r="P1100" s="332"/>
      <c r="Q1100" s="332"/>
      <c r="R1100" s="332"/>
      <c r="S1100" s="332"/>
      <c r="T1100" s="332"/>
      <c r="U1100" s="332"/>
      <c r="V1100" s="332"/>
      <c r="W1100" s="332"/>
      <c r="X1100" s="332"/>
      <c r="Y1100" s="332"/>
      <c r="Z1100" s="332"/>
      <c r="AA1100" s="332"/>
      <c r="AB1100" s="302"/>
    </row>
    <row r="1101" spans="1:28" s="90" customFormat="1" ht="14.1" hidden="1" customHeight="1" x14ac:dyDescent="0.2">
      <c r="A1101" s="301"/>
      <c r="B1101" s="348" t="s">
        <v>438</v>
      </c>
      <c r="C1101" s="101"/>
      <c r="D1101" s="101"/>
      <c r="E1101" s="101"/>
      <c r="F1101" s="370"/>
      <c r="G1101" s="321"/>
      <c r="H1101" s="321"/>
      <c r="I1101" s="321"/>
      <c r="J1101" s="321"/>
      <c r="K1101" s="332"/>
      <c r="L1101" s="332"/>
      <c r="M1101" s="332"/>
      <c r="N1101" s="332"/>
      <c r="O1101" s="332"/>
      <c r="P1101" s="332"/>
      <c r="Q1101" s="332"/>
      <c r="R1101" s="332"/>
      <c r="S1101" s="332"/>
      <c r="T1101" s="332"/>
      <c r="U1101" s="332"/>
      <c r="V1101" s="332"/>
      <c r="W1101" s="332"/>
      <c r="X1101" s="332"/>
      <c r="Y1101" s="332"/>
      <c r="Z1101" s="332"/>
      <c r="AA1101" s="332"/>
      <c r="AB1101" s="302"/>
    </row>
    <row r="1102" spans="1:28" s="90" customFormat="1" ht="14.1" hidden="1" customHeight="1" x14ac:dyDescent="0.2">
      <c r="A1102" s="301"/>
      <c r="B1102" s="349" t="s">
        <v>439</v>
      </c>
      <c r="C1102" s="101"/>
      <c r="D1102" s="101"/>
      <c r="E1102" s="101"/>
      <c r="F1102" s="370" t="s">
        <v>440</v>
      </c>
      <c r="G1102" s="149"/>
      <c r="H1102" s="149"/>
      <c r="I1102" s="329">
        <f t="shared" ref="I1102:I1103" si="1941">G1102+H1102</f>
        <v>0</v>
      </c>
      <c r="J1102" s="329">
        <f t="shared" ref="J1102:J1103" si="1942">I1102</f>
        <v>0</v>
      </c>
      <c r="K1102" s="274"/>
      <c r="L1102" s="274"/>
      <c r="M1102" s="274"/>
      <c r="N1102" s="275">
        <f t="shared" ref="N1102:N1103" si="1943">J1102+K1102-L1102+M1102</f>
        <v>0</v>
      </c>
      <c r="O1102" s="274"/>
      <c r="P1102" s="274"/>
      <c r="Q1102" s="274"/>
      <c r="R1102" s="274"/>
      <c r="S1102" s="274">
        <f t="shared" ref="S1102:S1103" si="1944">SUM(O1102:R1102)</f>
        <v>0</v>
      </c>
      <c r="T1102" s="274"/>
      <c r="U1102" s="274"/>
      <c r="V1102" s="274"/>
      <c r="W1102" s="274"/>
      <c r="X1102" s="274">
        <f t="shared" ref="X1102:X1103" si="1945">SUM(T1102:W1102)</f>
        <v>0</v>
      </c>
      <c r="Y1102" s="274">
        <f t="shared" ref="Y1102:Y1103" si="1946">I1102-N1102</f>
        <v>0</v>
      </c>
      <c r="Z1102" s="274">
        <f t="shared" ref="Z1102:Z1103" si="1947">N1102-S1102</f>
        <v>0</v>
      </c>
      <c r="AA1102" s="274"/>
      <c r="AB1102" s="306">
        <f t="shared" ref="AB1102:AB1103" si="1948">+S1102-X1102-AA1102</f>
        <v>0</v>
      </c>
    </row>
    <row r="1103" spans="1:28" s="90" customFormat="1" ht="14.1" hidden="1" customHeight="1" x14ac:dyDescent="0.2">
      <c r="A1103" s="301"/>
      <c r="B1103" s="349" t="s">
        <v>441</v>
      </c>
      <c r="C1103" s="101"/>
      <c r="D1103" s="101"/>
      <c r="E1103" s="101"/>
      <c r="F1103" s="370" t="s">
        <v>442</v>
      </c>
      <c r="G1103" s="149"/>
      <c r="H1103" s="149"/>
      <c r="I1103" s="329">
        <f t="shared" si="1941"/>
        <v>0</v>
      </c>
      <c r="J1103" s="329">
        <f t="shared" si="1942"/>
        <v>0</v>
      </c>
      <c r="K1103" s="274"/>
      <c r="L1103" s="274"/>
      <c r="M1103" s="274"/>
      <c r="N1103" s="275">
        <f t="shared" si="1943"/>
        <v>0</v>
      </c>
      <c r="O1103" s="274"/>
      <c r="P1103" s="274"/>
      <c r="Q1103" s="274"/>
      <c r="R1103" s="274"/>
      <c r="S1103" s="274">
        <f t="shared" si="1944"/>
        <v>0</v>
      </c>
      <c r="T1103" s="274"/>
      <c r="U1103" s="274"/>
      <c r="V1103" s="274"/>
      <c r="W1103" s="274"/>
      <c r="X1103" s="274">
        <f t="shared" si="1945"/>
        <v>0</v>
      </c>
      <c r="Y1103" s="274">
        <f t="shared" si="1946"/>
        <v>0</v>
      </c>
      <c r="Z1103" s="274">
        <f t="shared" si="1947"/>
        <v>0</v>
      </c>
      <c r="AA1103" s="274"/>
      <c r="AB1103" s="306">
        <f t="shared" si="1948"/>
        <v>0</v>
      </c>
    </row>
    <row r="1104" spans="1:28" s="90" customFormat="1" ht="14.1" hidden="1" customHeight="1" x14ac:dyDescent="0.2">
      <c r="A1104" s="301"/>
      <c r="B1104" s="348" t="s">
        <v>443</v>
      </c>
      <c r="C1104" s="101"/>
      <c r="D1104" s="101"/>
      <c r="E1104" s="101"/>
      <c r="F1104" s="370"/>
      <c r="G1104" s="149"/>
      <c r="H1104" s="149"/>
      <c r="I1104" s="149"/>
      <c r="J1104" s="149"/>
      <c r="K1104" s="159"/>
      <c r="L1104" s="159"/>
      <c r="M1104" s="159"/>
      <c r="N1104" s="159"/>
      <c r="O1104" s="159"/>
      <c r="P1104" s="159"/>
      <c r="Q1104" s="159"/>
      <c r="R1104" s="159"/>
      <c r="S1104" s="159"/>
      <c r="T1104" s="159"/>
      <c r="U1104" s="159"/>
      <c r="V1104" s="159"/>
      <c r="W1104" s="159"/>
      <c r="X1104" s="159"/>
      <c r="Y1104" s="159"/>
      <c r="Z1104" s="159"/>
      <c r="AA1104" s="159"/>
      <c r="AB1104" s="583"/>
    </row>
    <row r="1105" spans="1:28" s="90" customFormat="1" ht="14.1" hidden="1" customHeight="1" x14ac:dyDescent="0.2">
      <c r="A1105" s="301"/>
      <c r="B1105" s="349" t="s">
        <v>444</v>
      </c>
      <c r="C1105" s="101"/>
      <c r="D1105" s="101"/>
      <c r="E1105" s="101"/>
      <c r="F1105" s="370" t="s">
        <v>445</v>
      </c>
      <c r="G1105" s="149"/>
      <c r="H1105" s="149"/>
      <c r="I1105" s="329">
        <f t="shared" ref="I1105:I1107" si="1949">G1105+H1105</f>
        <v>0</v>
      </c>
      <c r="J1105" s="329">
        <f t="shared" ref="J1105:J1107" si="1950">I1105</f>
        <v>0</v>
      </c>
      <c r="K1105" s="274"/>
      <c r="L1105" s="274"/>
      <c r="M1105" s="274"/>
      <c r="N1105" s="275">
        <f t="shared" ref="N1105:N1107" si="1951">J1105+K1105-L1105+M1105</f>
        <v>0</v>
      </c>
      <c r="O1105" s="274"/>
      <c r="P1105" s="274"/>
      <c r="Q1105" s="274"/>
      <c r="R1105" s="274"/>
      <c r="S1105" s="274">
        <f t="shared" ref="S1105:S1107" si="1952">SUM(O1105:R1105)</f>
        <v>0</v>
      </c>
      <c r="T1105" s="274"/>
      <c r="U1105" s="274"/>
      <c r="V1105" s="274"/>
      <c r="W1105" s="274"/>
      <c r="X1105" s="274">
        <f t="shared" ref="X1105:X1107" si="1953">SUM(T1105:W1105)</f>
        <v>0</v>
      </c>
      <c r="Y1105" s="274">
        <f t="shared" ref="Y1105:Y1107" si="1954">I1105-N1105</f>
        <v>0</v>
      </c>
      <c r="Z1105" s="274">
        <f t="shared" ref="Z1105:Z1107" si="1955">N1105-S1105</f>
        <v>0</v>
      </c>
      <c r="AA1105" s="274"/>
      <c r="AB1105" s="306">
        <f t="shared" ref="AB1105:AB1107" si="1956">+S1105-X1105-AA1105</f>
        <v>0</v>
      </c>
    </row>
    <row r="1106" spans="1:28" s="90" customFormat="1" ht="14.1" hidden="1" customHeight="1" x14ac:dyDescent="0.2">
      <c r="A1106" s="301"/>
      <c r="B1106" s="349" t="s">
        <v>446</v>
      </c>
      <c r="C1106" s="101"/>
      <c r="D1106" s="101"/>
      <c r="E1106" s="101"/>
      <c r="F1106" s="370" t="s">
        <v>447</v>
      </c>
      <c r="G1106" s="149"/>
      <c r="H1106" s="149"/>
      <c r="I1106" s="329">
        <f t="shared" si="1949"/>
        <v>0</v>
      </c>
      <c r="J1106" s="329">
        <f t="shared" si="1950"/>
        <v>0</v>
      </c>
      <c r="K1106" s="274"/>
      <c r="L1106" s="274"/>
      <c r="M1106" s="274"/>
      <c r="N1106" s="275">
        <f t="shared" si="1951"/>
        <v>0</v>
      </c>
      <c r="O1106" s="274"/>
      <c r="P1106" s="274"/>
      <c r="Q1106" s="274"/>
      <c r="R1106" s="274"/>
      <c r="S1106" s="274">
        <f t="shared" si="1952"/>
        <v>0</v>
      </c>
      <c r="T1106" s="274"/>
      <c r="U1106" s="274"/>
      <c r="V1106" s="274"/>
      <c r="W1106" s="274"/>
      <c r="X1106" s="274">
        <f t="shared" si="1953"/>
        <v>0</v>
      </c>
      <c r="Y1106" s="274">
        <f t="shared" si="1954"/>
        <v>0</v>
      </c>
      <c r="Z1106" s="274">
        <f t="shared" si="1955"/>
        <v>0</v>
      </c>
      <c r="AA1106" s="274"/>
      <c r="AB1106" s="306">
        <f t="shared" si="1956"/>
        <v>0</v>
      </c>
    </row>
    <row r="1107" spans="1:28" s="90" customFormat="1" ht="14.1" hidden="1" customHeight="1" x14ac:dyDescent="0.2">
      <c r="A1107" s="301"/>
      <c r="B1107" s="349" t="s">
        <v>448</v>
      </c>
      <c r="C1107" s="101"/>
      <c r="D1107" s="101"/>
      <c r="E1107" s="101"/>
      <c r="F1107" s="370" t="s">
        <v>449</v>
      </c>
      <c r="G1107" s="149"/>
      <c r="H1107" s="149"/>
      <c r="I1107" s="329">
        <f t="shared" si="1949"/>
        <v>0</v>
      </c>
      <c r="J1107" s="329">
        <f t="shared" si="1950"/>
        <v>0</v>
      </c>
      <c r="K1107" s="274"/>
      <c r="L1107" s="274"/>
      <c r="M1107" s="274"/>
      <c r="N1107" s="275">
        <f t="shared" si="1951"/>
        <v>0</v>
      </c>
      <c r="O1107" s="274"/>
      <c r="P1107" s="274"/>
      <c r="Q1107" s="274"/>
      <c r="R1107" s="274"/>
      <c r="S1107" s="274">
        <f t="shared" si="1952"/>
        <v>0</v>
      </c>
      <c r="T1107" s="274"/>
      <c r="U1107" s="274"/>
      <c r="V1107" s="274"/>
      <c r="W1107" s="274"/>
      <c r="X1107" s="274">
        <f t="shared" si="1953"/>
        <v>0</v>
      </c>
      <c r="Y1107" s="274">
        <f t="shared" si="1954"/>
        <v>0</v>
      </c>
      <c r="Z1107" s="274">
        <f t="shared" si="1955"/>
        <v>0</v>
      </c>
      <c r="AA1107" s="274"/>
      <c r="AB1107" s="306">
        <f t="shared" si="1956"/>
        <v>0</v>
      </c>
    </row>
    <row r="1108" spans="1:28" s="90" customFormat="1" ht="14.1" hidden="1" customHeight="1" x14ac:dyDescent="0.2">
      <c r="A1108" s="301"/>
      <c r="B1108" s="348" t="s">
        <v>450</v>
      </c>
      <c r="C1108" s="101"/>
      <c r="D1108" s="101"/>
      <c r="E1108" s="101"/>
      <c r="F1108" s="370"/>
      <c r="G1108" s="149"/>
      <c r="H1108" s="149"/>
      <c r="I1108" s="149"/>
      <c r="J1108" s="149"/>
      <c r="K1108" s="159"/>
      <c r="L1108" s="159"/>
      <c r="M1108" s="159"/>
      <c r="N1108" s="159"/>
      <c r="O1108" s="159"/>
      <c r="P1108" s="159"/>
      <c r="Q1108" s="159"/>
      <c r="R1108" s="159"/>
      <c r="S1108" s="159"/>
      <c r="T1108" s="159"/>
      <c r="U1108" s="159"/>
      <c r="V1108" s="159"/>
      <c r="W1108" s="159"/>
      <c r="X1108" s="159"/>
      <c r="Y1108" s="159"/>
      <c r="Z1108" s="159"/>
      <c r="AA1108" s="159"/>
      <c r="AB1108" s="583"/>
    </row>
    <row r="1109" spans="1:28" s="90" customFormat="1" ht="14.1" hidden="1" customHeight="1" x14ac:dyDescent="0.2">
      <c r="A1109" s="301"/>
      <c r="B1109" s="349" t="s">
        <v>451</v>
      </c>
      <c r="C1109" s="101"/>
      <c r="D1109" s="101"/>
      <c r="E1109" s="101"/>
      <c r="F1109" s="370" t="s">
        <v>452</v>
      </c>
      <c r="G1109" s="149"/>
      <c r="H1109" s="149"/>
      <c r="I1109" s="329">
        <f t="shared" ref="I1109:I1115" si="1957">G1109+H1109</f>
        <v>0</v>
      </c>
      <c r="J1109" s="329">
        <f t="shared" ref="J1109:J1115" si="1958">I1109</f>
        <v>0</v>
      </c>
      <c r="K1109" s="274"/>
      <c r="L1109" s="274"/>
      <c r="M1109" s="274"/>
      <c r="N1109" s="275">
        <f t="shared" ref="N1109:N1115" si="1959">J1109+K1109-L1109+M1109</f>
        <v>0</v>
      </c>
      <c r="O1109" s="274"/>
      <c r="P1109" s="274"/>
      <c r="Q1109" s="274"/>
      <c r="R1109" s="274"/>
      <c r="S1109" s="274">
        <f t="shared" ref="S1109:S1115" si="1960">SUM(O1109:R1109)</f>
        <v>0</v>
      </c>
      <c r="T1109" s="274"/>
      <c r="U1109" s="274"/>
      <c r="V1109" s="274"/>
      <c r="W1109" s="274"/>
      <c r="X1109" s="274">
        <f t="shared" ref="X1109:X1115" si="1961">SUM(T1109:W1109)</f>
        <v>0</v>
      </c>
      <c r="Y1109" s="274">
        <f t="shared" ref="Y1109:Y1115" si="1962">I1109-N1109</f>
        <v>0</v>
      </c>
      <c r="Z1109" s="274">
        <f t="shared" ref="Z1109:Z1115" si="1963">N1109-S1109</f>
        <v>0</v>
      </c>
      <c r="AA1109" s="274"/>
      <c r="AB1109" s="306">
        <f t="shared" ref="AB1109:AB1115" si="1964">+S1109-X1109-AA1109</f>
        <v>0</v>
      </c>
    </row>
    <row r="1110" spans="1:28" s="90" customFormat="1" ht="14.1" hidden="1" customHeight="1" x14ac:dyDescent="0.2">
      <c r="A1110" s="301"/>
      <c r="B1110" s="349" t="s">
        <v>453</v>
      </c>
      <c r="C1110" s="101"/>
      <c r="D1110" s="101"/>
      <c r="E1110" s="101"/>
      <c r="F1110" s="370" t="s">
        <v>454</v>
      </c>
      <c r="G1110" s="149"/>
      <c r="H1110" s="149"/>
      <c r="I1110" s="329">
        <f t="shared" si="1957"/>
        <v>0</v>
      </c>
      <c r="J1110" s="329">
        <f t="shared" si="1958"/>
        <v>0</v>
      </c>
      <c r="K1110" s="274"/>
      <c r="L1110" s="274"/>
      <c r="M1110" s="274"/>
      <c r="N1110" s="275">
        <f t="shared" si="1959"/>
        <v>0</v>
      </c>
      <c r="O1110" s="274"/>
      <c r="P1110" s="274"/>
      <c r="Q1110" s="274"/>
      <c r="R1110" s="274"/>
      <c r="S1110" s="274">
        <f t="shared" si="1960"/>
        <v>0</v>
      </c>
      <c r="T1110" s="274"/>
      <c r="U1110" s="274"/>
      <c r="V1110" s="274"/>
      <c r="W1110" s="274"/>
      <c r="X1110" s="274">
        <f t="shared" si="1961"/>
        <v>0</v>
      </c>
      <c r="Y1110" s="274">
        <f t="shared" si="1962"/>
        <v>0</v>
      </c>
      <c r="Z1110" s="274">
        <f t="shared" si="1963"/>
        <v>0</v>
      </c>
      <c r="AA1110" s="274"/>
      <c r="AB1110" s="306">
        <f t="shared" si="1964"/>
        <v>0</v>
      </c>
    </row>
    <row r="1111" spans="1:28" s="90" customFormat="1" ht="14.1" hidden="1" customHeight="1" x14ac:dyDescent="0.2">
      <c r="A1111" s="301"/>
      <c r="B1111" s="349" t="s">
        <v>455</v>
      </c>
      <c r="C1111" s="101"/>
      <c r="D1111" s="101"/>
      <c r="E1111" s="101"/>
      <c r="F1111" s="370" t="s">
        <v>456</v>
      </c>
      <c r="G1111" s="149"/>
      <c r="H1111" s="149"/>
      <c r="I1111" s="329">
        <f t="shared" si="1957"/>
        <v>0</v>
      </c>
      <c r="J1111" s="329">
        <f t="shared" si="1958"/>
        <v>0</v>
      </c>
      <c r="K1111" s="274"/>
      <c r="L1111" s="274"/>
      <c r="M1111" s="274"/>
      <c r="N1111" s="275">
        <f t="shared" si="1959"/>
        <v>0</v>
      </c>
      <c r="O1111" s="274"/>
      <c r="P1111" s="274"/>
      <c r="Q1111" s="274"/>
      <c r="R1111" s="274"/>
      <c r="S1111" s="274">
        <f t="shared" si="1960"/>
        <v>0</v>
      </c>
      <c r="T1111" s="274"/>
      <c r="U1111" s="274"/>
      <c r="V1111" s="274"/>
      <c r="W1111" s="274"/>
      <c r="X1111" s="274">
        <f t="shared" si="1961"/>
        <v>0</v>
      </c>
      <c r="Y1111" s="274">
        <f t="shared" si="1962"/>
        <v>0</v>
      </c>
      <c r="Z1111" s="274">
        <f t="shared" si="1963"/>
        <v>0</v>
      </c>
      <c r="AA1111" s="274"/>
      <c r="AB1111" s="306">
        <f t="shared" si="1964"/>
        <v>0</v>
      </c>
    </row>
    <row r="1112" spans="1:28" s="90" customFormat="1" ht="14.1" hidden="1" customHeight="1" x14ac:dyDescent="0.2">
      <c r="A1112" s="301"/>
      <c r="B1112" s="349" t="s">
        <v>457</v>
      </c>
      <c r="C1112" s="101"/>
      <c r="D1112" s="101"/>
      <c r="E1112" s="101"/>
      <c r="F1112" s="370" t="s">
        <v>458</v>
      </c>
      <c r="G1112" s="149"/>
      <c r="H1112" s="149"/>
      <c r="I1112" s="329">
        <f t="shared" si="1957"/>
        <v>0</v>
      </c>
      <c r="J1112" s="329">
        <f t="shared" si="1958"/>
        <v>0</v>
      </c>
      <c r="K1112" s="274"/>
      <c r="L1112" s="274"/>
      <c r="M1112" s="274"/>
      <c r="N1112" s="275">
        <f t="shared" si="1959"/>
        <v>0</v>
      </c>
      <c r="O1112" s="274"/>
      <c r="P1112" s="274"/>
      <c r="Q1112" s="274"/>
      <c r="R1112" s="274"/>
      <c r="S1112" s="274">
        <f t="shared" si="1960"/>
        <v>0</v>
      </c>
      <c r="T1112" s="274"/>
      <c r="U1112" s="274"/>
      <c r="V1112" s="274"/>
      <c r="W1112" s="274"/>
      <c r="X1112" s="274">
        <f t="shared" si="1961"/>
        <v>0</v>
      </c>
      <c r="Y1112" s="274">
        <f t="shared" si="1962"/>
        <v>0</v>
      </c>
      <c r="Z1112" s="274">
        <f t="shared" si="1963"/>
        <v>0</v>
      </c>
      <c r="AA1112" s="274"/>
      <c r="AB1112" s="306">
        <f t="shared" si="1964"/>
        <v>0</v>
      </c>
    </row>
    <row r="1113" spans="1:28" s="90" customFormat="1" ht="14.1" hidden="1" customHeight="1" x14ac:dyDescent="0.2">
      <c r="A1113" s="301"/>
      <c r="B1113" s="349" t="s">
        <v>459</v>
      </c>
      <c r="C1113" s="101"/>
      <c r="D1113" s="101"/>
      <c r="E1113" s="101"/>
      <c r="F1113" s="370" t="s">
        <v>460</v>
      </c>
      <c r="G1113" s="149"/>
      <c r="H1113" s="149"/>
      <c r="I1113" s="329">
        <f t="shared" si="1957"/>
        <v>0</v>
      </c>
      <c r="J1113" s="329">
        <f t="shared" si="1958"/>
        <v>0</v>
      </c>
      <c r="K1113" s="274"/>
      <c r="L1113" s="274"/>
      <c r="M1113" s="274"/>
      <c r="N1113" s="275">
        <f t="shared" si="1959"/>
        <v>0</v>
      </c>
      <c r="O1113" s="274"/>
      <c r="P1113" s="274"/>
      <c r="Q1113" s="274"/>
      <c r="R1113" s="274"/>
      <c r="S1113" s="274">
        <f t="shared" si="1960"/>
        <v>0</v>
      </c>
      <c r="T1113" s="274"/>
      <c r="U1113" s="274"/>
      <c r="V1113" s="274"/>
      <c r="W1113" s="274"/>
      <c r="X1113" s="274">
        <f t="shared" si="1961"/>
        <v>0</v>
      </c>
      <c r="Y1113" s="274">
        <f t="shared" si="1962"/>
        <v>0</v>
      </c>
      <c r="Z1113" s="274">
        <f t="shared" si="1963"/>
        <v>0</v>
      </c>
      <c r="AA1113" s="274"/>
      <c r="AB1113" s="306">
        <f t="shared" si="1964"/>
        <v>0</v>
      </c>
    </row>
    <row r="1114" spans="1:28" s="90" customFormat="1" ht="14.1" hidden="1" customHeight="1" x14ac:dyDescent="0.2">
      <c r="A1114" s="301"/>
      <c r="B1114" s="349" t="s">
        <v>461</v>
      </c>
      <c r="C1114" s="101"/>
      <c r="D1114" s="101"/>
      <c r="E1114" s="101"/>
      <c r="F1114" s="370" t="s">
        <v>462</v>
      </c>
      <c r="G1114" s="149"/>
      <c r="H1114" s="149"/>
      <c r="I1114" s="329">
        <f t="shared" si="1957"/>
        <v>0</v>
      </c>
      <c r="J1114" s="329">
        <f t="shared" si="1958"/>
        <v>0</v>
      </c>
      <c r="K1114" s="274"/>
      <c r="L1114" s="274"/>
      <c r="M1114" s="274"/>
      <c r="N1114" s="275">
        <f t="shared" si="1959"/>
        <v>0</v>
      </c>
      <c r="O1114" s="274"/>
      <c r="P1114" s="274"/>
      <c r="Q1114" s="274"/>
      <c r="R1114" s="274"/>
      <c r="S1114" s="274">
        <f t="shared" si="1960"/>
        <v>0</v>
      </c>
      <c r="T1114" s="274"/>
      <c r="U1114" s="274"/>
      <c r="V1114" s="274"/>
      <c r="W1114" s="274"/>
      <c r="X1114" s="274">
        <f t="shared" si="1961"/>
        <v>0</v>
      </c>
      <c r="Y1114" s="274">
        <f t="shared" si="1962"/>
        <v>0</v>
      </c>
      <c r="Z1114" s="274">
        <f t="shared" si="1963"/>
        <v>0</v>
      </c>
      <c r="AA1114" s="274"/>
      <c r="AB1114" s="306">
        <f t="shared" si="1964"/>
        <v>0</v>
      </c>
    </row>
    <row r="1115" spans="1:28" s="90" customFormat="1" ht="14.1" hidden="1" customHeight="1" x14ac:dyDescent="0.2">
      <c r="A1115" s="301"/>
      <c r="B1115" s="349" t="s">
        <v>463</v>
      </c>
      <c r="C1115" s="101"/>
      <c r="D1115" s="101"/>
      <c r="E1115" s="101"/>
      <c r="F1115" s="370" t="s">
        <v>464</v>
      </c>
      <c r="G1115" s="149"/>
      <c r="H1115" s="149"/>
      <c r="I1115" s="329">
        <f t="shared" si="1957"/>
        <v>0</v>
      </c>
      <c r="J1115" s="329">
        <f t="shared" si="1958"/>
        <v>0</v>
      </c>
      <c r="K1115" s="274"/>
      <c r="L1115" s="274"/>
      <c r="M1115" s="274"/>
      <c r="N1115" s="275">
        <f t="shared" si="1959"/>
        <v>0</v>
      </c>
      <c r="O1115" s="274"/>
      <c r="P1115" s="274"/>
      <c r="Q1115" s="274"/>
      <c r="R1115" s="274"/>
      <c r="S1115" s="274">
        <f t="shared" si="1960"/>
        <v>0</v>
      </c>
      <c r="T1115" s="274"/>
      <c r="U1115" s="274"/>
      <c r="V1115" s="274"/>
      <c r="W1115" s="274"/>
      <c r="X1115" s="274">
        <f t="shared" si="1961"/>
        <v>0</v>
      </c>
      <c r="Y1115" s="274">
        <f t="shared" si="1962"/>
        <v>0</v>
      </c>
      <c r="Z1115" s="274">
        <f t="shared" si="1963"/>
        <v>0</v>
      </c>
      <c r="AA1115" s="274"/>
      <c r="AB1115" s="306">
        <f t="shared" si="1964"/>
        <v>0</v>
      </c>
    </row>
    <row r="1116" spans="1:28" s="90" customFormat="1" ht="14.1" hidden="1" customHeight="1" x14ac:dyDescent="0.2">
      <c r="A1116" s="301"/>
      <c r="B1116" s="348" t="s">
        <v>465</v>
      </c>
      <c r="C1116" s="101"/>
      <c r="D1116" s="101"/>
      <c r="E1116" s="101"/>
      <c r="F1116" s="370"/>
      <c r="G1116" s="149"/>
      <c r="H1116" s="149"/>
      <c r="I1116" s="149"/>
      <c r="J1116" s="149"/>
      <c r="K1116" s="159"/>
      <c r="L1116" s="159"/>
      <c r="M1116" s="159"/>
      <c r="N1116" s="159"/>
      <c r="O1116" s="159"/>
      <c r="P1116" s="159"/>
      <c r="Q1116" s="159"/>
      <c r="R1116" s="159"/>
      <c r="S1116" s="159"/>
      <c r="T1116" s="159"/>
      <c r="U1116" s="159"/>
      <c r="V1116" s="159"/>
      <c r="W1116" s="159"/>
      <c r="X1116" s="159"/>
      <c r="Y1116" s="159"/>
      <c r="Z1116" s="159"/>
      <c r="AA1116" s="159"/>
      <c r="AB1116" s="583"/>
    </row>
    <row r="1117" spans="1:28" s="90" customFormat="1" ht="14.1" hidden="1" customHeight="1" x14ac:dyDescent="0.2">
      <c r="A1117" s="301"/>
      <c r="B1117" s="349" t="s">
        <v>466</v>
      </c>
      <c r="C1117" s="101"/>
      <c r="D1117" s="101"/>
      <c r="E1117" s="101"/>
      <c r="F1117" s="370" t="s">
        <v>467</v>
      </c>
      <c r="G1117" s="149"/>
      <c r="H1117" s="149"/>
      <c r="I1117" s="329">
        <f t="shared" ref="I1117:I1119" si="1965">G1117+H1117</f>
        <v>0</v>
      </c>
      <c r="J1117" s="329">
        <f t="shared" ref="J1117:J1119" si="1966">I1117</f>
        <v>0</v>
      </c>
      <c r="K1117" s="274"/>
      <c r="L1117" s="274"/>
      <c r="M1117" s="274"/>
      <c r="N1117" s="275">
        <f t="shared" ref="N1117:N1119" si="1967">J1117+K1117-L1117+M1117</f>
        <v>0</v>
      </c>
      <c r="O1117" s="274"/>
      <c r="P1117" s="274"/>
      <c r="Q1117" s="274"/>
      <c r="R1117" s="274"/>
      <c r="S1117" s="274">
        <f t="shared" ref="S1117:S1119" si="1968">SUM(O1117:R1117)</f>
        <v>0</v>
      </c>
      <c r="T1117" s="274"/>
      <c r="U1117" s="274"/>
      <c r="V1117" s="274"/>
      <c r="W1117" s="274"/>
      <c r="X1117" s="274">
        <f t="shared" ref="X1117:X1119" si="1969">SUM(T1117:W1117)</f>
        <v>0</v>
      </c>
      <c r="Y1117" s="274">
        <f t="shared" ref="Y1117:Y1119" si="1970">I1117-N1117</f>
        <v>0</v>
      </c>
      <c r="Z1117" s="274">
        <f t="shared" ref="Z1117:Z1119" si="1971">N1117-S1117</f>
        <v>0</v>
      </c>
      <c r="AA1117" s="274"/>
      <c r="AB1117" s="306">
        <f t="shared" ref="AB1117:AB1119" si="1972">+S1117-X1117-AA1117</f>
        <v>0</v>
      </c>
    </row>
    <row r="1118" spans="1:28" s="90" customFormat="1" ht="14.1" hidden="1" customHeight="1" x14ac:dyDescent="0.2">
      <c r="A1118" s="301"/>
      <c r="B1118" s="349" t="s">
        <v>468</v>
      </c>
      <c r="C1118" s="101"/>
      <c r="D1118" s="101"/>
      <c r="E1118" s="101"/>
      <c r="F1118" s="370" t="s">
        <v>469</v>
      </c>
      <c r="G1118" s="149"/>
      <c r="H1118" s="149"/>
      <c r="I1118" s="329">
        <f t="shared" si="1965"/>
        <v>0</v>
      </c>
      <c r="J1118" s="329">
        <f t="shared" si="1966"/>
        <v>0</v>
      </c>
      <c r="K1118" s="274"/>
      <c r="L1118" s="274"/>
      <c r="M1118" s="274"/>
      <c r="N1118" s="275">
        <f t="shared" si="1967"/>
        <v>0</v>
      </c>
      <c r="O1118" s="274"/>
      <c r="P1118" s="274"/>
      <c r="Q1118" s="274"/>
      <c r="R1118" s="274"/>
      <c r="S1118" s="274">
        <f t="shared" si="1968"/>
        <v>0</v>
      </c>
      <c r="T1118" s="274"/>
      <c r="U1118" s="274"/>
      <c r="V1118" s="274"/>
      <c r="W1118" s="274"/>
      <c r="X1118" s="274">
        <f t="shared" si="1969"/>
        <v>0</v>
      </c>
      <c r="Y1118" s="274">
        <f t="shared" si="1970"/>
        <v>0</v>
      </c>
      <c r="Z1118" s="274">
        <f t="shared" si="1971"/>
        <v>0</v>
      </c>
      <c r="AA1118" s="274"/>
      <c r="AB1118" s="306">
        <f t="shared" si="1972"/>
        <v>0</v>
      </c>
    </row>
    <row r="1119" spans="1:28" s="90" customFormat="1" ht="14.1" hidden="1" customHeight="1" x14ac:dyDescent="0.2">
      <c r="A1119" s="301"/>
      <c r="B1119" s="349" t="s">
        <v>470</v>
      </c>
      <c r="C1119" s="101"/>
      <c r="D1119" s="101"/>
      <c r="E1119" s="101"/>
      <c r="F1119" s="370" t="s">
        <v>471</v>
      </c>
      <c r="G1119" s="149"/>
      <c r="H1119" s="149"/>
      <c r="I1119" s="329">
        <f t="shared" si="1965"/>
        <v>0</v>
      </c>
      <c r="J1119" s="329">
        <f t="shared" si="1966"/>
        <v>0</v>
      </c>
      <c r="K1119" s="274"/>
      <c r="L1119" s="274"/>
      <c r="M1119" s="274"/>
      <c r="N1119" s="275">
        <f t="shared" si="1967"/>
        <v>0</v>
      </c>
      <c r="O1119" s="274"/>
      <c r="P1119" s="274"/>
      <c r="Q1119" s="274"/>
      <c r="R1119" s="274"/>
      <c r="S1119" s="274">
        <f t="shared" si="1968"/>
        <v>0</v>
      </c>
      <c r="T1119" s="274"/>
      <c r="U1119" s="274"/>
      <c r="V1119" s="274"/>
      <c r="W1119" s="274"/>
      <c r="X1119" s="274">
        <f t="shared" si="1969"/>
        <v>0</v>
      </c>
      <c r="Y1119" s="274">
        <f t="shared" si="1970"/>
        <v>0</v>
      </c>
      <c r="Z1119" s="274">
        <f t="shared" si="1971"/>
        <v>0</v>
      </c>
      <c r="AA1119" s="274"/>
      <c r="AB1119" s="306">
        <f t="shared" si="1972"/>
        <v>0</v>
      </c>
    </row>
    <row r="1120" spans="1:28" s="90" customFormat="1" ht="14.1" hidden="1" customHeight="1" x14ac:dyDescent="0.2">
      <c r="A1120" s="301"/>
      <c r="B1120" s="348" t="s">
        <v>472</v>
      </c>
      <c r="C1120" s="101"/>
      <c r="D1120" s="101"/>
      <c r="E1120" s="101"/>
      <c r="F1120" s="370"/>
      <c r="G1120" s="149"/>
      <c r="H1120" s="149"/>
      <c r="I1120" s="149"/>
      <c r="J1120" s="149"/>
      <c r="K1120" s="159"/>
      <c r="L1120" s="159"/>
      <c r="M1120" s="159"/>
      <c r="N1120" s="159"/>
      <c r="O1120" s="159"/>
      <c r="P1120" s="159"/>
      <c r="Q1120" s="159"/>
      <c r="R1120" s="159"/>
      <c r="S1120" s="159"/>
      <c r="T1120" s="159"/>
      <c r="U1120" s="159"/>
      <c r="V1120" s="159"/>
      <c r="W1120" s="159"/>
      <c r="X1120" s="159"/>
      <c r="Y1120" s="159"/>
      <c r="Z1120" s="159"/>
      <c r="AA1120" s="159"/>
      <c r="AB1120" s="583"/>
    </row>
    <row r="1121" spans="1:91" s="90" customFormat="1" ht="14.1" hidden="1" customHeight="1" x14ac:dyDescent="0.2">
      <c r="A1121" s="301"/>
      <c r="B1121" s="349" t="s">
        <v>473</v>
      </c>
      <c r="C1121" s="101"/>
      <c r="D1121" s="101"/>
      <c r="E1121" s="101"/>
      <c r="F1121" s="370" t="s">
        <v>474</v>
      </c>
      <c r="G1121" s="149"/>
      <c r="H1121" s="149"/>
      <c r="I1121" s="329">
        <f t="shared" ref="I1121:I1122" si="1973">G1121+H1121</f>
        <v>0</v>
      </c>
      <c r="J1121" s="329">
        <f t="shared" ref="J1121:J1122" si="1974">I1121</f>
        <v>0</v>
      </c>
      <c r="K1121" s="274"/>
      <c r="L1121" s="274"/>
      <c r="M1121" s="274"/>
      <c r="N1121" s="275">
        <f t="shared" ref="N1121:N1122" si="1975">J1121+K1121-L1121+M1121</f>
        <v>0</v>
      </c>
      <c r="O1121" s="274"/>
      <c r="P1121" s="274"/>
      <c r="Q1121" s="274"/>
      <c r="R1121" s="274"/>
      <c r="S1121" s="274">
        <f t="shared" ref="S1121:S1122" si="1976">SUM(O1121:R1121)</f>
        <v>0</v>
      </c>
      <c r="T1121" s="274"/>
      <c r="U1121" s="274"/>
      <c r="V1121" s="274"/>
      <c r="W1121" s="274"/>
      <c r="X1121" s="274">
        <f t="shared" ref="X1121:X1122" si="1977">SUM(T1121:W1121)</f>
        <v>0</v>
      </c>
      <c r="Y1121" s="274">
        <f t="shared" ref="Y1121:Y1122" si="1978">I1121-N1121</f>
        <v>0</v>
      </c>
      <c r="Z1121" s="274">
        <f t="shared" ref="Z1121:Z1122" si="1979">N1121-S1121</f>
        <v>0</v>
      </c>
      <c r="AA1121" s="274"/>
      <c r="AB1121" s="306">
        <f t="shared" ref="AB1121:AB1122" si="1980">+S1121-X1121-AA1121</f>
        <v>0</v>
      </c>
    </row>
    <row r="1122" spans="1:91" s="90" customFormat="1" ht="14.1" hidden="1" customHeight="1" x14ac:dyDescent="0.2">
      <c r="A1122" s="301"/>
      <c r="B1122" s="349" t="s">
        <v>475</v>
      </c>
      <c r="C1122" s="101"/>
      <c r="D1122" s="101"/>
      <c r="E1122" s="101"/>
      <c r="F1122" s="370" t="s">
        <v>476</v>
      </c>
      <c r="G1122" s="149"/>
      <c r="H1122" s="149"/>
      <c r="I1122" s="329">
        <f t="shared" si="1973"/>
        <v>0</v>
      </c>
      <c r="J1122" s="329">
        <f t="shared" si="1974"/>
        <v>0</v>
      </c>
      <c r="K1122" s="274"/>
      <c r="L1122" s="274"/>
      <c r="M1122" s="274"/>
      <c r="N1122" s="275">
        <f t="shared" si="1975"/>
        <v>0</v>
      </c>
      <c r="O1122" s="274"/>
      <c r="P1122" s="274"/>
      <c r="Q1122" s="274"/>
      <c r="R1122" s="274"/>
      <c r="S1122" s="274">
        <f t="shared" si="1976"/>
        <v>0</v>
      </c>
      <c r="T1122" s="274"/>
      <c r="U1122" s="274"/>
      <c r="V1122" s="274"/>
      <c r="W1122" s="274"/>
      <c r="X1122" s="274">
        <f t="shared" si="1977"/>
        <v>0</v>
      </c>
      <c r="Y1122" s="274">
        <f t="shared" si="1978"/>
        <v>0</v>
      </c>
      <c r="Z1122" s="274">
        <f t="shared" si="1979"/>
        <v>0</v>
      </c>
      <c r="AA1122" s="274"/>
      <c r="AB1122" s="306">
        <f t="shared" si="1980"/>
        <v>0</v>
      </c>
    </row>
    <row r="1123" spans="1:91" s="90" customFormat="1" ht="14.1" hidden="1" customHeight="1" x14ac:dyDescent="0.2">
      <c r="A1123" s="301"/>
      <c r="B1123" s="348" t="s">
        <v>477</v>
      </c>
      <c r="C1123" s="101"/>
      <c r="D1123" s="101"/>
      <c r="E1123" s="101"/>
      <c r="F1123" s="370"/>
      <c r="G1123" s="149"/>
      <c r="H1123" s="149"/>
      <c r="I1123" s="149"/>
      <c r="J1123" s="149"/>
      <c r="K1123" s="159"/>
      <c r="L1123" s="159"/>
      <c r="M1123" s="159"/>
      <c r="N1123" s="159"/>
      <c r="O1123" s="159"/>
      <c r="P1123" s="159"/>
      <c r="Q1123" s="159"/>
      <c r="R1123" s="159"/>
      <c r="S1123" s="159"/>
      <c r="T1123" s="159"/>
      <c r="U1123" s="159"/>
      <c r="V1123" s="159"/>
      <c r="W1123" s="159"/>
      <c r="X1123" s="159"/>
      <c r="Y1123" s="159"/>
      <c r="Z1123" s="159"/>
      <c r="AA1123" s="159"/>
      <c r="AB1123" s="583"/>
    </row>
    <row r="1124" spans="1:91" s="90" customFormat="1" ht="14.1" hidden="1" customHeight="1" x14ac:dyDescent="0.2">
      <c r="A1124" s="301"/>
      <c r="B1124" s="349" t="s">
        <v>478</v>
      </c>
      <c r="C1124" s="101"/>
      <c r="D1124" s="101"/>
      <c r="E1124" s="101"/>
      <c r="F1124" s="370" t="s">
        <v>479</v>
      </c>
      <c r="G1124" s="149"/>
      <c r="H1124" s="149"/>
      <c r="I1124" s="329">
        <f t="shared" ref="I1124" si="1981">G1124+H1124</f>
        <v>0</v>
      </c>
      <c r="J1124" s="329">
        <f t="shared" ref="J1124" si="1982">I1124</f>
        <v>0</v>
      </c>
      <c r="K1124" s="274"/>
      <c r="L1124" s="274"/>
      <c r="M1124" s="274"/>
      <c r="N1124" s="275">
        <f t="shared" ref="N1124" si="1983">J1124+K1124-L1124+M1124</f>
        <v>0</v>
      </c>
      <c r="O1124" s="274"/>
      <c r="P1124" s="274"/>
      <c r="Q1124" s="274"/>
      <c r="R1124" s="274"/>
      <c r="S1124" s="274">
        <f t="shared" ref="S1124" si="1984">SUM(O1124:R1124)</f>
        <v>0</v>
      </c>
      <c r="T1124" s="274"/>
      <c r="U1124" s="274"/>
      <c r="V1124" s="274"/>
      <c r="W1124" s="274"/>
      <c r="X1124" s="274">
        <f t="shared" ref="X1124" si="1985">SUM(T1124:W1124)</f>
        <v>0</v>
      </c>
      <c r="Y1124" s="274">
        <f t="shared" ref="Y1124" si="1986">I1124-N1124</f>
        <v>0</v>
      </c>
      <c r="Z1124" s="274">
        <f t="shared" ref="Z1124" si="1987">N1124-S1124</f>
        <v>0</v>
      </c>
      <c r="AA1124" s="274"/>
      <c r="AB1124" s="306">
        <f t="shared" ref="AB1124" si="1988">+S1124-X1124-AA1124</f>
        <v>0</v>
      </c>
    </row>
    <row r="1125" spans="1:91" s="90" customFormat="1" ht="14.1" hidden="1" customHeight="1" x14ac:dyDescent="0.2">
      <c r="A1125" s="301"/>
      <c r="B1125" s="348" t="s">
        <v>480</v>
      </c>
      <c r="C1125" s="101"/>
      <c r="D1125" s="101"/>
      <c r="E1125" s="101"/>
      <c r="F1125" s="370"/>
      <c r="G1125" s="149"/>
      <c r="H1125" s="149"/>
      <c r="I1125" s="149"/>
      <c r="J1125" s="149"/>
      <c r="K1125" s="159"/>
      <c r="L1125" s="159"/>
      <c r="M1125" s="159"/>
      <c r="N1125" s="159"/>
      <c r="O1125" s="159"/>
      <c r="P1125" s="159"/>
      <c r="Q1125" s="159"/>
      <c r="R1125" s="159"/>
      <c r="S1125" s="159"/>
      <c r="T1125" s="159"/>
      <c r="U1125" s="159"/>
      <c r="V1125" s="159"/>
      <c r="W1125" s="159"/>
      <c r="X1125" s="159"/>
      <c r="Y1125" s="159"/>
      <c r="Z1125" s="159"/>
      <c r="AA1125" s="159"/>
      <c r="AB1125" s="583"/>
    </row>
    <row r="1126" spans="1:91" s="90" customFormat="1" ht="14.1" hidden="1" customHeight="1" x14ac:dyDescent="0.2">
      <c r="A1126" s="301"/>
      <c r="B1126" s="349" t="s">
        <v>481</v>
      </c>
      <c r="C1126" s="101"/>
      <c r="D1126" s="101"/>
      <c r="E1126" s="101"/>
      <c r="F1126" s="370" t="s">
        <v>482</v>
      </c>
      <c r="G1126" s="149"/>
      <c r="H1126" s="149"/>
      <c r="I1126" s="329">
        <f t="shared" ref="I1126" si="1989">G1126+H1126</f>
        <v>0</v>
      </c>
      <c r="J1126" s="329">
        <f t="shared" ref="J1126" si="1990">I1126</f>
        <v>0</v>
      </c>
      <c r="K1126" s="274"/>
      <c r="L1126" s="274"/>
      <c r="M1126" s="274"/>
      <c r="N1126" s="275">
        <f t="shared" ref="N1126" si="1991">J1126+K1126-L1126+M1126</f>
        <v>0</v>
      </c>
      <c r="O1126" s="274"/>
      <c r="P1126" s="274"/>
      <c r="Q1126" s="274"/>
      <c r="R1126" s="274"/>
      <c r="S1126" s="274">
        <f t="shared" ref="S1126" si="1992">SUM(O1126:R1126)</f>
        <v>0</v>
      </c>
      <c r="T1126" s="274"/>
      <c r="U1126" s="274"/>
      <c r="V1126" s="274"/>
      <c r="W1126" s="274"/>
      <c r="X1126" s="274">
        <f t="shared" ref="X1126" si="1993">SUM(T1126:W1126)</f>
        <v>0</v>
      </c>
      <c r="Y1126" s="274">
        <f t="shared" ref="Y1126" si="1994">I1126-N1126</f>
        <v>0</v>
      </c>
      <c r="Z1126" s="274">
        <f t="shared" ref="Z1126" si="1995">N1126-S1126</f>
        <v>0</v>
      </c>
      <c r="AA1126" s="274"/>
      <c r="AB1126" s="306">
        <f t="shared" ref="AB1126" si="1996">+S1126-X1126-AA1126</f>
        <v>0</v>
      </c>
    </row>
    <row r="1127" spans="1:91" s="61" customFormat="1" ht="14.1" customHeight="1" x14ac:dyDescent="0.2">
      <c r="A1127" s="303"/>
      <c r="B1127" s="94"/>
      <c r="C1127" s="94"/>
      <c r="D1127" s="94"/>
      <c r="E1127" s="69"/>
      <c r="F1127" s="258"/>
      <c r="G1127" s="148"/>
      <c r="H1127" s="148"/>
      <c r="I1127" s="148"/>
      <c r="J1127" s="148"/>
      <c r="K1127" s="152"/>
      <c r="L1127" s="152"/>
      <c r="M1127" s="152"/>
      <c r="N1127" s="152"/>
      <c r="O1127" s="152"/>
      <c r="P1127" s="152"/>
      <c r="Q1127" s="152"/>
      <c r="R1127" s="340"/>
      <c r="S1127" s="340"/>
      <c r="T1127" s="340"/>
      <c r="U1127" s="340"/>
      <c r="V1127" s="340"/>
      <c r="W1127" s="340"/>
      <c r="X1127" s="340"/>
      <c r="Y1127" s="340"/>
      <c r="Z1127" s="340"/>
      <c r="AA1127" s="340"/>
      <c r="AB1127" s="300"/>
      <c r="AC1127" s="59"/>
      <c r="AD1127" s="59"/>
      <c r="AE1127" s="59"/>
      <c r="AF1127" s="59"/>
      <c r="AG1127" s="59"/>
      <c r="AH1127" s="59"/>
      <c r="AI1127" s="59"/>
      <c r="AJ1127" s="59"/>
      <c r="AK1127" s="59"/>
      <c r="AL1127" s="59"/>
      <c r="AM1127" s="59"/>
      <c r="AN1127" s="59"/>
      <c r="AO1127" s="59"/>
      <c r="AP1127" s="59"/>
      <c r="AQ1127" s="59"/>
      <c r="AR1127" s="59"/>
      <c r="AS1127" s="59"/>
      <c r="AT1127" s="59"/>
      <c r="AU1127" s="59"/>
      <c r="AV1127" s="59"/>
      <c r="AW1127" s="59"/>
      <c r="AX1127" s="59"/>
      <c r="AY1127" s="59"/>
      <c r="AZ1127" s="59"/>
      <c r="BA1127" s="59"/>
      <c r="BB1127" s="59"/>
      <c r="BC1127" s="59"/>
      <c r="BD1127" s="59"/>
      <c r="BE1127" s="59"/>
      <c r="BF1127" s="59"/>
      <c r="BG1127" s="59"/>
      <c r="BH1127" s="59"/>
      <c r="BI1127" s="59"/>
      <c r="BJ1127" s="59"/>
      <c r="BK1127" s="59"/>
      <c r="BL1127" s="59"/>
      <c r="BM1127" s="59"/>
      <c r="BN1127" s="59"/>
      <c r="BO1127" s="59"/>
      <c r="BP1127" s="59"/>
      <c r="BQ1127" s="59"/>
      <c r="BR1127" s="59"/>
      <c r="BS1127" s="59"/>
      <c r="BT1127" s="59"/>
      <c r="BU1127" s="59"/>
      <c r="BV1127" s="59"/>
      <c r="BW1127" s="59"/>
      <c r="BX1127" s="59"/>
      <c r="BY1127" s="59"/>
      <c r="BZ1127" s="59"/>
      <c r="CA1127" s="59"/>
      <c r="CB1127" s="59"/>
      <c r="CC1127" s="59"/>
      <c r="CD1127" s="59"/>
      <c r="CE1127" s="59"/>
      <c r="CF1127" s="59"/>
      <c r="CG1127" s="59"/>
      <c r="CH1127" s="59"/>
      <c r="CI1127" s="59"/>
      <c r="CJ1127" s="59"/>
      <c r="CK1127" s="59"/>
      <c r="CL1127" s="59"/>
      <c r="CM1127" s="59"/>
    </row>
    <row r="1128" spans="1:91" s="61" customFormat="1" ht="14.1" customHeight="1" x14ac:dyDescent="0.2">
      <c r="A1128" s="311" t="s">
        <v>262</v>
      </c>
      <c r="B1128" s="94"/>
      <c r="C1128" s="94"/>
      <c r="D1128" s="94"/>
      <c r="E1128" s="69"/>
      <c r="F1128" s="258" t="s">
        <v>263</v>
      </c>
      <c r="G1128" s="324">
        <f t="shared" ref="G1128:AB1128" si="1997">+G1130+G1205</f>
        <v>182937.26</v>
      </c>
      <c r="H1128" s="324">
        <f t="shared" si="1997"/>
        <v>0</v>
      </c>
      <c r="I1128" s="324">
        <f t="shared" si="1997"/>
        <v>182937.26</v>
      </c>
      <c r="J1128" s="324">
        <f t="shared" si="1997"/>
        <v>182937.26</v>
      </c>
      <c r="K1128" s="324">
        <f t="shared" si="1997"/>
        <v>0</v>
      </c>
      <c r="L1128" s="324">
        <f t="shared" si="1997"/>
        <v>0</v>
      </c>
      <c r="M1128" s="324">
        <f t="shared" si="1997"/>
        <v>0</v>
      </c>
      <c r="N1128" s="324">
        <f t="shared" si="1997"/>
        <v>182937.26</v>
      </c>
      <c r="O1128" s="324">
        <f t="shared" si="1997"/>
        <v>0</v>
      </c>
      <c r="P1128" s="324">
        <f t="shared" si="1997"/>
        <v>65016.09</v>
      </c>
      <c r="Q1128" s="324">
        <f t="shared" si="1997"/>
        <v>49350.46</v>
      </c>
      <c r="R1128" s="324">
        <f t="shared" si="1997"/>
        <v>53570.710000000006</v>
      </c>
      <c r="S1128" s="324">
        <f t="shared" si="1997"/>
        <v>167937.26</v>
      </c>
      <c r="T1128" s="324">
        <f t="shared" si="1997"/>
        <v>0</v>
      </c>
      <c r="U1128" s="324">
        <f t="shared" si="1997"/>
        <v>65016.09</v>
      </c>
      <c r="V1128" s="324">
        <f t="shared" si="1997"/>
        <v>49350.46</v>
      </c>
      <c r="W1128" s="324">
        <f t="shared" si="1997"/>
        <v>53570.710000000006</v>
      </c>
      <c r="X1128" s="324">
        <f t="shared" si="1997"/>
        <v>167937.26</v>
      </c>
      <c r="Y1128" s="324">
        <f t="shared" si="1997"/>
        <v>0</v>
      </c>
      <c r="Z1128" s="324">
        <f t="shared" si="1997"/>
        <v>15000</v>
      </c>
      <c r="AA1128" s="334">
        <f t="shared" si="1997"/>
        <v>0</v>
      </c>
      <c r="AB1128" s="308">
        <f t="shared" si="1997"/>
        <v>0</v>
      </c>
      <c r="AC1128" s="59"/>
      <c r="AD1128" s="59"/>
      <c r="AE1128" s="59"/>
      <c r="AF1128" s="59"/>
      <c r="AG1128" s="59"/>
      <c r="AH1128" s="59"/>
      <c r="AI1128" s="59"/>
      <c r="AJ1128" s="59"/>
      <c r="AK1128" s="59"/>
      <c r="AL1128" s="59"/>
      <c r="AM1128" s="59"/>
      <c r="AN1128" s="59"/>
      <c r="AO1128" s="59"/>
      <c r="AP1128" s="59"/>
      <c r="AQ1128" s="59"/>
      <c r="AR1128" s="59"/>
      <c r="AS1128" s="59"/>
      <c r="AT1128" s="59"/>
      <c r="AU1128" s="59"/>
      <c r="AV1128" s="59"/>
      <c r="AW1128" s="59"/>
      <c r="AX1128" s="59"/>
      <c r="AY1128" s="59"/>
      <c r="AZ1128" s="59"/>
      <c r="BA1128" s="59"/>
      <c r="BB1128" s="59"/>
      <c r="BC1128" s="59"/>
      <c r="BD1128" s="59"/>
      <c r="BE1128" s="59"/>
      <c r="BF1128" s="59"/>
      <c r="BG1128" s="59"/>
      <c r="BH1128" s="59"/>
      <c r="BI1128" s="59"/>
      <c r="BJ1128" s="59"/>
      <c r="BK1128" s="59"/>
      <c r="BL1128" s="59"/>
      <c r="BM1128" s="59"/>
      <c r="BN1128" s="59"/>
      <c r="BO1128" s="59"/>
      <c r="BP1128" s="59"/>
      <c r="BQ1128" s="59"/>
      <c r="BR1128" s="59"/>
      <c r="BS1128" s="59"/>
      <c r="BT1128" s="59"/>
      <c r="BU1128" s="59"/>
      <c r="BV1128" s="59"/>
      <c r="BW1128" s="59"/>
      <c r="BX1128" s="59"/>
      <c r="BY1128" s="59"/>
      <c r="BZ1128" s="59"/>
      <c r="CA1128" s="59"/>
      <c r="CB1128" s="59"/>
      <c r="CC1128" s="59"/>
      <c r="CD1128" s="59"/>
      <c r="CE1128" s="59"/>
      <c r="CF1128" s="59"/>
      <c r="CG1128" s="59"/>
      <c r="CH1128" s="59"/>
      <c r="CI1128" s="59"/>
      <c r="CJ1128" s="59"/>
      <c r="CK1128" s="59"/>
      <c r="CL1128" s="59"/>
      <c r="CM1128" s="59"/>
    </row>
    <row r="1129" spans="1:91" ht="14.1" customHeight="1" x14ac:dyDescent="0.2">
      <c r="A1129" s="303" t="s">
        <v>193</v>
      </c>
      <c r="B1129" s="69" t="s">
        <v>194</v>
      </c>
      <c r="C1129" s="69"/>
      <c r="D1129" s="69"/>
      <c r="E1129" s="69"/>
      <c r="F1129" s="258" t="s">
        <v>264</v>
      </c>
      <c r="G1129" s="148"/>
      <c r="H1129" s="148"/>
      <c r="I1129" s="148"/>
      <c r="J1129" s="148"/>
      <c r="K1129" s="152"/>
      <c r="L1129" s="152"/>
      <c r="M1129" s="152"/>
      <c r="N1129" s="152"/>
      <c r="O1129" s="152"/>
      <c r="P1129" s="152"/>
      <c r="Q1129" s="152"/>
      <c r="R1129" s="340"/>
      <c r="S1129" s="340"/>
      <c r="T1129" s="340"/>
      <c r="U1129" s="340"/>
      <c r="V1129" s="340"/>
      <c r="W1129" s="340"/>
      <c r="X1129" s="340"/>
      <c r="Y1129" s="340"/>
      <c r="Z1129" s="340"/>
      <c r="AA1129" s="340"/>
      <c r="AB1129" s="300"/>
    </row>
    <row r="1130" spans="1:91" s="90" customFormat="1" ht="14.1" customHeight="1" x14ac:dyDescent="0.2">
      <c r="A1130" s="301"/>
      <c r="B1130" s="347" t="s">
        <v>316</v>
      </c>
      <c r="C1130" s="101"/>
      <c r="D1130" s="101"/>
      <c r="E1130" s="101"/>
      <c r="F1130" s="370"/>
      <c r="G1130" s="321">
        <f t="shared" ref="G1130" si="1998">SUM(G1132:G1203)</f>
        <v>182937.26</v>
      </c>
      <c r="H1130" s="321">
        <f t="shared" ref="H1130:AB1130" si="1999">SUM(H1132:H1203)</f>
        <v>0</v>
      </c>
      <c r="I1130" s="321">
        <f t="shared" si="1999"/>
        <v>182937.26</v>
      </c>
      <c r="J1130" s="321">
        <f t="shared" si="1999"/>
        <v>182937.26</v>
      </c>
      <c r="K1130" s="321">
        <f t="shared" si="1999"/>
        <v>0</v>
      </c>
      <c r="L1130" s="321">
        <f t="shared" si="1999"/>
        <v>0</v>
      </c>
      <c r="M1130" s="321">
        <f t="shared" si="1999"/>
        <v>0</v>
      </c>
      <c r="N1130" s="321">
        <f t="shared" si="1999"/>
        <v>182937.26</v>
      </c>
      <c r="O1130" s="321">
        <f t="shared" si="1999"/>
        <v>0</v>
      </c>
      <c r="P1130" s="321">
        <f t="shared" si="1999"/>
        <v>65016.09</v>
      </c>
      <c r="Q1130" s="321">
        <f t="shared" si="1999"/>
        <v>49350.46</v>
      </c>
      <c r="R1130" s="321">
        <f t="shared" si="1999"/>
        <v>53570.710000000006</v>
      </c>
      <c r="S1130" s="321">
        <f t="shared" si="1999"/>
        <v>167937.26</v>
      </c>
      <c r="T1130" s="321">
        <f t="shared" si="1999"/>
        <v>0</v>
      </c>
      <c r="U1130" s="321">
        <f t="shared" si="1999"/>
        <v>65016.09</v>
      </c>
      <c r="V1130" s="321">
        <f t="shared" si="1999"/>
        <v>49350.46</v>
      </c>
      <c r="W1130" s="321">
        <f t="shared" si="1999"/>
        <v>53570.710000000006</v>
      </c>
      <c r="X1130" s="321">
        <f t="shared" si="1999"/>
        <v>167937.26</v>
      </c>
      <c r="Y1130" s="321">
        <f t="shared" si="1999"/>
        <v>0</v>
      </c>
      <c r="Z1130" s="321">
        <f t="shared" si="1999"/>
        <v>15000</v>
      </c>
      <c r="AA1130" s="332">
        <f t="shared" ref="AA1130" si="2000">SUM(AA1132:AA1203)</f>
        <v>0</v>
      </c>
      <c r="AB1130" s="302">
        <f t="shared" si="1999"/>
        <v>0</v>
      </c>
    </row>
    <row r="1131" spans="1:91" s="90" customFormat="1" ht="14.1" customHeight="1" x14ac:dyDescent="0.2">
      <c r="A1131" s="301"/>
      <c r="B1131" s="348" t="s">
        <v>317</v>
      </c>
      <c r="C1131" s="101"/>
      <c r="D1131" s="101"/>
      <c r="E1131" s="101"/>
      <c r="F1131" s="370"/>
      <c r="G1131" s="321"/>
      <c r="H1131" s="321"/>
      <c r="I1131" s="321"/>
      <c r="J1131" s="321"/>
      <c r="K1131" s="332"/>
      <c r="L1131" s="332"/>
      <c r="M1131" s="332"/>
      <c r="N1131" s="332"/>
      <c r="O1131" s="332"/>
      <c r="P1131" s="332"/>
      <c r="Q1131" s="332"/>
      <c r="R1131" s="332"/>
      <c r="S1131" s="332"/>
      <c r="T1131" s="332"/>
      <c r="U1131" s="332"/>
      <c r="V1131" s="332"/>
      <c r="W1131" s="332"/>
      <c r="X1131" s="332"/>
      <c r="Y1131" s="332"/>
      <c r="Z1131" s="332"/>
      <c r="AA1131" s="332"/>
      <c r="AB1131" s="302"/>
    </row>
    <row r="1132" spans="1:91" s="90" customFormat="1" ht="14.1" customHeight="1" x14ac:dyDescent="0.2">
      <c r="A1132" s="301"/>
      <c r="B1132" s="350" t="s">
        <v>318</v>
      </c>
      <c r="C1132" s="101"/>
      <c r="D1132" s="101"/>
      <c r="E1132" s="101"/>
      <c r="F1132" s="370" t="s">
        <v>319</v>
      </c>
      <c r="G1132" s="149">
        <v>40000</v>
      </c>
      <c r="H1132" s="149"/>
      <c r="I1132" s="329">
        <f t="shared" ref="I1132:I1133" si="2001">G1132+H1132</f>
        <v>40000</v>
      </c>
      <c r="J1132" s="329">
        <f t="shared" ref="J1132:J1133" si="2002">I1132</f>
        <v>40000</v>
      </c>
      <c r="K1132" s="274"/>
      <c r="L1132" s="274"/>
      <c r="M1132" s="274"/>
      <c r="N1132" s="275">
        <f t="shared" ref="N1132:N1133" si="2003">J1132+K1132-L1132+M1132</f>
        <v>40000</v>
      </c>
      <c r="O1132" s="274"/>
      <c r="P1132" s="274">
        <f>11427+3733.26+15014.96+9824.78</f>
        <v>40000</v>
      </c>
      <c r="Q1132" s="274"/>
      <c r="R1132" s="274"/>
      <c r="S1132" s="274">
        <f t="shared" ref="S1132:S1133" si="2004">SUM(O1132:R1132)</f>
        <v>40000</v>
      </c>
      <c r="T1132" s="274"/>
      <c r="U1132" s="274">
        <f>11427+3733.26+15014.96+9824.78</f>
        <v>40000</v>
      </c>
      <c r="V1132" s="274"/>
      <c r="W1132" s="274"/>
      <c r="X1132" s="274">
        <f t="shared" ref="X1132:X1133" si="2005">SUM(T1132:W1132)</f>
        <v>40000</v>
      </c>
      <c r="Y1132" s="274">
        <f t="shared" ref="Y1132:Y1133" si="2006">I1132-N1132</f>
        <v>0</v>
      </c>
      <c r="Z1132" s="274">
        <f t="shared" ref="Z1132:Z1133" si="2007">N1132-S1132</f>
        <v>0</v>
      </c>
      <c r="AA1132" s="274"/>
      <c r="AB1132" s="306">
        <f t="shared" ref="AB1132:AB1133" si="2008">+S1132-X1132-AA1132</f>
        <v>0</v>
      </c>
    </row>
    <row r="1133" spans="1:91" s="90" customFormat="1" ht="14.1" hidden="1" customHeight="1" x14ac:dyDescent="0.2">
      <c r="A1133" s="301"/>
      <c r="B1133" s="350" t="s">
        <v>320</v>
      </c>
      <c r="C1133" s="101"/>
      <c r="D1133" s="101"/>
      <c r="E1133" s="101"/>
      <c r="F1133" s="370" t="s">
        <v>321</v>
      </c>
      <c r="G1133" s="149"/>
      <c r="H1133" s="149"/>
      <c r="I1133" s="329">
        <f t="shared" si="2001"/>
        <v>0</v>
      </c>
      <c r="J1133" s="329">
        <f t="shared" si="2002"/>
        <v>0</v>
      </c>
      <c r="K1133" s="274"/>
      <c r="L1133" s="274"/>
      <c r="M1133" s="274"/>
      <c r="N1133" s="275">
        <f t="shared" si="2003"/>
        <v>0</v>
      </c>
      <c r="O1133" s="274"/>
      <c r="P1133" s="274"/>
      <c r="Q1133" s="274"/>
      <c r="R1133" s="274"/>
      <c r="S1133" s="274">
        <f t="shared" si="2004"/>
        <v>0</v>
      </c>
      <c r="T1133" s="274"/>
      <c r="U1133" s="274"/>
      <c r="V1133" s="274"/>
      <c r="W1133" s="274"/>
      <c r="X1133" s="274">
        <f t="shared" si="2005"/>
        <v>0</v>
      </c>
      <c r="Y1133" s="274">
        <f t="shared" si="2006"/>
        <v>0</v>
      </c>
      <c r="Z1133" s="274">
        <f t="shared" si="2007"/>
        <v>0</v>
      </c>
      <c r="AA1133" s="274"/>
      <c r="AB1133" s="306">
        <f t="shared" si="2008"/>
        <v>0</v>
      </c>
    </row>
    <row r="1134" spans="1:91" s="90" customFormat="1" ht="14.1" customHeight="1" x14ac:dyDescent="0.2">
      <c r="A1134" s="301"/>
      <c r="B1134" s="351" t="s">
        <v>322</v>
      </c>
      <c r="C1134" s="101"/>
      <c r="D1134" s="101"/>
      <c r="E1134" s="101"/>
      <c r="F1134" s="370"/>
      <c r="G1134" s="149"/>
      <c r="H1134" s="149"/>
      <c r="I1134" s="149"/>
      <c r="J1134" s="149"/>
      <c r="K1134" s="159"/>
      <c r="L1134" s="159"/>
      <c r="M1134" s="159"/>
      <c r="N1134" s="159"/>
      <c r="O1134" s="159"/>
      <c r="P1134" s="159"/>
      <c r="Q1134" s="159"/>
      <c r="R1134" s="159"/>
      <c r="S1134" s="159"/>
      <c r="T1134" s="159"/>
      <c r="U1134" s="159"/>
      <c r="V1134" s="159"/>
      <c r="W1134" s="159"/>
      <c r="X1134" s="159"/>
      <c r="Y1134" s="159"/>
      <c r="Z1134" s="159"/>
      <c r="AA1134" s="159"/>
      <c r="AB1134" s="583"/>
    </row>
    <row r="1135" spans="1:91" s="90" customFormat="1" ht="14.1" customHeight="1" x14ac:dyDescent="0.2">
      <c r="A1135" s="301"/>
      <c r="B1135" s="350" t="s">
        <v>323</v>
      </c>
      <c r="C1135" s="101"/>
      <c r="D1135" s="101"/>
      <c r="E1135" s="101"/>
      <c r="F1135" s="370" t="s">
        <v>324</v>
      </c>
      <c r="G1135" s="149">
        <v>49980.71</v>
      </c>
      <c r="H1135" s="149"/>
      <c r="I1135" s="329">
        <f t="shared" ref="I1135:I1137" si="2009">G1135+H1135</f>
        <v>49980.71</v>
      </c>
      <c r="J1135" s="329">
        <f t="shared" ref="J1135:J1137" si="2010">I1135</f>
        <v>49980.71</v>
      </c>
      <c r="K1135" s="274"/>
      <c r="L1135" s="274"/>
      <c r="M1135" s="274"/>
      <c r="N1135" s="275">
        <f t="shared" ref="N1135:N1137" si="2011">J1135+K1135-L1135+M1135</f>
        <v>49980.71</v>
      </c>
      <c r="O1135" s="274"/>
      <c r="P1135" s="274"/>
      <c r="Q1135" s="274"/>
      <c r="R1135" s="274">
        <f>1482.55+18000+30000+498.16</f>
        <v>49980.710000000006</v>
      </c>
      <c r="S1135" s="274">
        <f t="shared" ref="S1135:S1137" si="2012">SUM(O1135:R1135)</f>
        <v>49980.710000000006</v>
      </c>
      <c r="T1135" s="274"/>
      <c r="U1135" s="274"/>
      <c r="V1135" s="274"/>
      <c r="W1135" s="274">
        <f>1482.55+18000+30000+498.16</f>
        <v>49980.710000000006</v>
      </c>
      <c r="X1135" s="274">
        <f t="shared" ref="X1135:X1137" si="2013">SUM(T1135:W1135)</f>
        <v>49980.710000000006</v>
      </c>
      <c r="Y1135" s="274">
        <f t="shared" ref="Y1135:Y1137" si="2014">I1135-N1135</f>
        <v>0</v>
      </c>
      <c r="Z1135" s="274">
        <f t="shared" ref="Z1135:Z1137" si="2015">N1135-S1135</f>
        <v>0</v>
      </c>
      <c r="AA1135" s="274"/>
      <c r="AB1135" s="306">
        <f t="shared" ref="AB1135:AB1137" si="2016">+S1135-X1135-AA1135</f>
        <v>0</v>
      </c>
    </row>
    <row r="1136" spans="1:91" s="90" customFormat="1" ht="14.1" hidden="1" customHeight="1" x14ac:dyDescent="0.2">
      <c r="A1136" s="301"/>
      <c r="B1136" s="350" t="s">
        <v>720</v>
      </c>
      <c r="C1136" s="718"/>
      <c r="D1136" s="718"/>
      <c r="E1136" s="718"/>
      <c r="F1136" s="370" t="s">
        <v>721</v>
      </c>
      <c r="G1136" s="149"/>
      <c r="H1136" s="149"/>
      <c r="I1136" s="329">
        <f t="shared" ref="I1136" si="2017">G1136+H1136</f>
        <v>0</v>
      </c>
      <c r="J1136" s="329">
        <f t="shared" ref="J1136" si="2018">I1136</f>
        <v>0</v>
      </c>
      <c r="K1136" s="274"/>
      <c r="L1136" s="274"/>
      <c r="M1136" s="274"/>
      <c r="N1136" s="275">
        <f t="shared" si="2011"/>
        <v>0</v>
      </c>
      <c r="O1136" s="274"/>
      <c r="P1136" s="274"/>
      <c r="Q1136" s="274"/>
      <c r="R1136" s="274"/>
      <c r="S1136" s="274">
        <f t="shared" ref="S1136" si="2019">SUM(O1136:R1136)</f>
        <v>0</v>
      </c>
      <c r="T1136" s="274"/>
      <c r="U1136" s="274"/>
      <c r="V1136" s="274"/>
      <c r="W1136" s="274"/>
      <c r="X1136" s="274">
        <f t="shared" ref="X1136" si="2020">SUM(T1136:W1136)</f>
        <v>0</v>
      </c>
      <c r="Y1136" s="274">
        <f t="shared" ref="Y1136" si="2021">I1136-N1136</f>
        <v>0</v>
      </c>
      <c r="Z1136" s="274">
        <f t="shared" ref="Z1136" si="2022">N1136-S1136</f>
        <v>0</v>
      </c>
      <c r="AA1136" s="274"/>
      <c r="AB1136" s="306">
        <f t="shared" ref="AB1136" si="2023">+S1136-X1136-AA1136</f>
        <v>0</v>
      </c>
    </row>
    <row r="1137" spans="1:28" s="90" customFormat="1" ht="14.1" hidden="1" customHeight="1" x14ac:dyDescent="0.2">
      <c r="A1137" s="301"/>
      <c r="B1137" s="350" t="s">
        <v>325</v>
      </c>
      <c r="C1137" s="101"/>
      <c r="D1137" s="101"/>
      <c r="E1137" s="101"/>
      <c r="F1137" s="370" t="s">
        <v>326</v>
      </c>
      <c r="G1137" s="149"/>
      <c r="H1137" s="149"/>
      <c r="I1137" s="329">
        <f t="shared" si="2009"/>
        <v>0</v>
      </c>
      <c r="J1137" s="329">
        <f t="shared" si="2010"/>
        <v>0</v>
      </c>
      <c r="K1137" s="274"/>
      <c r="L1137" s="274"/>
      <c r="M1137" s="274"/>
      <c r="N1137" s="275">
        <f t="shared" si="2011"/>
        <v>0</v>
      </c>
      <c r="O1137" s="274"/>
      <c r="P1137" s="274"/>
      <c r="Q1137" s="274"/>
      <c r="R1137" s="274"/>
      <c r="S1137" s="274">
        <f t="shared" si="2012"/>
        <v>0</v>
      </c>
      <c r="T1137" s="274"/>
      <c r="U1137" s="274"/>
      <c r="V1137" s="274"/>
      <c r="W1137" s="274"/>
      <c r="X1137" s="274">
        <f t="shared" si="2013"/>
        <v>0</v>
      </c>
      <c r="Y1137" s="274">
        <f t="shared" si="2014"/>
        <v>0</v>
      </c>
      <c r="Z1137" s="274">
        <f t="shared" si="2015"/>
        <v>0</v>
      </c>
      <c r="AA1137" s="274"/>
      <c r="AB1137" s="306">
        <f t="shared" si="2016"/>
        <v>0</v>
      </c>
    </row>
    <row r="1138" spans="1:28" s="90" customFormat="1" ht="14.1" customHeight="1" x14ac:dyDescent="0.2">
      <c r="A1138" s="301"/>
      <c r="B1138" s="351" t="s">
        <v>327</v>
      </c>
      <c r="C1138" s="101"/>
      <c r="D1138" s="101"/>
      <c r="E1138" s="101"/>
      <c r="F1138" s="370"/>
      <c r="G1138" s="149"/>
      <c r="H1138" s="149"/>
      <c r="I1138" s="149"/>
      <c r="J1138" s="149"/>
      <c r="K1138" s="159"/>
      <c r="L1138" s="159"/>
      <c r="M1138" s="159"/>
      <c r="N1138" s="159"/>
      <c r="O1138" s="159"/>
      <c r="P1138" s="159"/>
      <c r="Q1138" s="159"/>
      <c r="R1138" s="159"/>
      <c r="S1138" s="159"/>
      <c r="T1138" s="159"/>
      <c r="U1138" s="159"/>
      <c r="V1138" s="159"/>
      <c r="W1138" s="159"/>
      <c r="X1138" s="159"/>
      <c r="Y1138" s="159"/>
      <c r="Z1138" s="159"/>
      <c r="AA1138" s="159"/>
      <c r="AB1138" s="583"/>
    </row>
    <row r="1139" spans="1:28" s="90" customFormat="1" ht="14.1" hidden="1" customHeight="1" x14ac:dyDescent="0.2">
      <c r="A1139" s="301"/>
      <c r="B1139" s="350" t="s">
        <v>328</v>
      </c>
      <c r="C1139" s="101"/>
      <c r="D1139" s="101"/>
      <c r="E1139" s="101"/>
      <c r="F1139" s="370" t="s">
        <v>743</v>
      </c>
      <c r="G1139" s="149"/>
      <c r="H1139" s="149"/>
      <c r="I1139" s="329">
        <f t="shared" ref="I1139:I1144" si="2024">G1139+H1139</f>
        <v>0</v>
      </c>
      <c r="J1139" s="329">
        <f t="shared" ref="J1139:J1144" si="2025">I1139</f>
        <v>0</v>
      </c>
      <c r="K1139" s="274"/>
      <c r="L1139" s="274"/>
      <c r="M1139" s="274"/>
      <c r="N1139" s="275">
        <f t="shared" ref="N1139:N1144" si="2026">J1139+K1139-L1139+M1139</f>
        <v>0</v>
      </c>
      <c r="O1139" s="274"/>
      <c r="P1139" s="274"/>
      <c r="Q1139" s="274"/>
      <c r="R1139" s="274"/>
      <c r="S1139" s="274">
        <f t="shared" ref="S1139:S1144" si="2027">SUM(O1139:R1139)</f>
        <v>0</v>
      </c>
      <c r="T1139" s="274"/>
      <c r="U1139" s="274"/>
      <c r="V1139" s="274"/>
      <c r="W1139" s="274"/>
      <c r="X1139" s="274">
        <f t="shared" ref="X1139:X1144" si="2028">SUM(T1139:W1139)</f>
        <v>0</v>
      </c>
      <c r="Y1139" s="274">
        <f t="shared" ref="Y1139:Y1144" si="2029">I1139-N1139</f>
        <v>0</v>
      </c>
      <c r="Z1139" s="274">
        <f t="shared" ref="Z1139:Z1144" si="2030">N1139-S1139</f>
        <v>0</v>
      </c>
      <c r="AA1139" s="274"/>
      <c r="AB1139" s="306">
        <f t="shared" ref="AB1139:AB1144" si="2031">+S1139-X1139-AA1139</f>
        <v>0</v>
      </c>
    </row>
    <row r="1140" spans="1:28" s="90" customFormat="1" ht="14.1" hidden="1" customHeight="1" x14ac:dyDescent="0.2">
      <c r="A1140" s="301"/>
      <c r="B1140" s="350" t="s">
        <v>330</v>
      </c>
      <c r="C1140" s="101"/>
      <c r="D1140" s="101"/>
      <c r="E1140" s="101"/>
      <c r="F1140" s="370" t="s">
        <v>331</v>
      </c>
      <c r="G1140" s="149"/>
      <c r="H1140" s="149"/>
      <c r="I1140" s="329">
        <f t="shared" si="2024"/>
        <v>0</v>
      </c>
      <c r="J1140" s="329">
        <f t="shared" si="2025"/>
        <v>0</v>
      </c>
      <c r="K1140" s="274"/>
      <c r="L1140" s="274"/>
      <c r="M1140" s="274"/>
      <c r="N1140" s="275">
        <f t="shared" si="2026"/>
        <v>0</v>
      </c>
      <c r="O1140" s="274"/>
      <c r="P1140" s="274"/>
      <c r="Q1140" s="274"/>
      <c r="R1140" s="274"/>
      <c r="S1140" s="274">
        <f t="shared" si="2027"/>
        <v>0</v>
      </c>
      <c r="T1140" s="274"/>
      <c r="U1140" s="274"/>
      <c r="V1140" s="274"/>
      <c r="W1140" s="274"/>
      <c r="X1140" s="274">
        <f t="shared" si="2028"/>
        <v>0</v>
      </c>
      <c r="Y1140" s="274">
        <f t="shared" si="2029"/>
        <v>0</v>
      </c>
      <c r="Z1140" s="274">
        <f t="shared" si="2030"/>
        <v>0</v>
      </c>
      <c r="AA1140" s="274"/>
      <c r="AB1140" s="306">
        <f t="shared" si="2031"/>
        <v>0</v>
      </c>
    </row>
    <row r="1141" spans="1:28" s="90" customFormat="1" ht="14.1" hidden="1" customHeight="1" x14ac:dyDescent="0.2">
      <c r="A1141" s="301"/>
      <c r="B1141" s="350" t="s">
        <v>332</v>
      </c>
      <c r="C1141" s="101"/>
      <c r="D1141" s="101"/>
      <c r="E1141" s="101"/>
      <c r="F1141" s="370" t="s">
        <v>333</v>
      </c>
      <c r="G1141" s="149"/>
      <c r="H1141" s="149"/>
      <c r="I1141" s="329">
        <f t="shared" si="2024"/>
        <v>0</v>
      </c>
      <c r="J1141" s="329">
        <f t="shared" si="2025"/>
        <v>0</v>
      </c>
      <c r="K1141" s="274"/>
      <c r="L1141" s="274"/>
      <c r="M1141" s="274"/>
      <c r="N1141" s="275">
        <f t="shared" si="2026"/>
        <v>0</v>
      </c>
      <c r="O1141" s="274"/>
      <c r="P1141" s="274"/>
      <c r="Q1141" s="274"/>
      <c r="R1141" s="274"/>
      <c r="S1141" s="274">
        <f t="shared" si="2027"/>
        <v>0</v>
      </c>
      <c r="T1141" s="274"/>
      <c r="U1141" s="274"/>
      <c r="V1141" s="274"/>
      <c r="W1141" s="274"/>
      <c r="X1141" s="274">
        <f t="shared" si="2028"/>
        <v>0</v>
      </c>
      <c r="Y1141" s="274">
        <f t="shared" si="2029"/>
        <v>0</v>
      </c>
      <c r="Z1141" s="274">
        <f t="shared" si="2030"/>
        <v>0</v>
      </c>
      <c r="AA1141" s="274"/>
      <c r="AB1141" s="306">
        <f t="shared" si="2031"/>
        <v>0</v>
      </c>
    </row>
    <row r="1142" spans="1:28" s="90" customFormat="1" ht="14.1" hidden="1" customHeight="1" x14ac:dyDescent="0.2">
      <c r="A1142" s="301"/>
      <c r="B1142" s="350" t="s">
        <v>334</v>
      </c>
      <c r="C1142" s="101"/>
      <c r="D1142" s="101"/>
      <c r="E1142" s="101"/>
      <c r="F1142" s="370" t="s">
        <v>335</v>
      </c>
      <c r="G1142" s="149"/>
      <c r="H1142" s="149"/>
      <c r="I1142" s="329">
        <f t="shared" si="2024"/>
        <v>0</v>
      </c>
      <c r="J1142" s="329">
        <f t="shared" si="2025"/>
        <v>0</v>
      </c>
      <c r="K1142" s="274"/>
      <c r="L1142" s="274"/>
      <c r="M1142" s="274"/>
      <c r="N1142" s="275">
        <f t="shared" si="2026"/>
        <v>0</v>
      </c>
      <c r="O1142" s="274"/>
      <c r="P1142" s="274"/>
      <c r="Q1142" s="274"/>
      <c r="R1142" s="274"/>
      <c r="S1142" s="274">
        <f t="shared" si="2027"/>
        <v>0</v>
      </c>
      <c r="T1142" s="274"/>
      <c r="U1142" s="274"/>
      <c r="V1142" s="274"/>
      <c r="W1142" s="274"/>
      <c r="X1142" s="274">
        <f t="shared" si="2028"/>
        <v>0</v>
      </c>
      <c r="Y1142" s="274">
        <f t="shared" si="2029"/>
        <v>0</v>
      </c>
      <c r="Z1142" s="274">
        <f t="shared" si="2030"/>
        <v>0</v>
      </c>
      <c r="AA1142" s="274"/>
      <c r="AB1142" s="306">
        <f t="shared" si="2031"/>
        <v>0</v>
      </c>
    </row>
    <row r="1143" spans="1:28" s="90" customFormat="1" ht="14.1" hidden="1" customHeight="1" x14ac:dyDescent="0.2">
      <c r="A1143" s="301"/>
      <c r="B1143" s="350" t="s">
        <v>336</v>
      </c>
      <c r="C1143" s="101"/>
      <c r="D1143" s="101"/>
      <c r="E1143" s="101"/>
      <c r="F1143" s="370" t="s">
        <v>337</v>
      </c>
      <c r="G1143" s="149"/>
      <c r="H1143" s="149"/>
      <c r="I1143" s="329">
        <f t="shared" si="2024"/>
        <v>0</v>
      </c>
      <c r="J1143" s="329">
        <f t="shared" si="2025"/>
        <v>0</v>
      </c>
      <c r="K1143" s="274"/>
      <c r="L1143" s="274"/>
      <c r="M1143" s="274"/>
      <c r="N1143" s="275">
        <f t="shared" si="2026"/>
        <v>0</v>
      </c>
      <c r="O1143" s="274"/>
      <c r="P1143" s="274"/>
      <c r="Q1143" s="274"/>
      <c r="R1143" s="274"/>
      <c r="S1143" s="274">
        <f t="shared" si="2027"/>
        <v>0</v>
      </c>
      <c r="T1143" s="274"/>
      <c r="U1143" s="274"/>
      <c r="V1143" s="274"/>
      <c r="W1143" s="274"/>
      <c r="X1143" s="274">
        <f t="shared" si="2028"/>
        <v>0</v>
      </c>
      <c r="Y1143" s="274">
        <f t="shared" si="2029"/>
        <v>0</v>
      </c>
      <c r="Z1143" s="274">
        <f t="shared" si="2030"/>
        <v>0</v>
      </c>
      <c r="AA1143" s="274"/>
      <c r="AB1143" s="306">
        <f t="shared" si="2031"/>
        <v>0</v>
      </c>
    </row>
    <row r="1144" spans="1:28" s="90" customFormat="1" ht="14.1" hidden="1" customHeight="1" x14ac:dyDescent="0.2">
      <c r="A1144" s="301"/>
      <c r="B1144" s="350" t="s">
        <v>338</v>
      </c>
      <c r="C1144" s="101"/>
      <c r="D1144" s="101"/>
      <c r="E1144" s="101"/>
      <c r="F1144" s="370" t="s">
        <v>339</v>
      </c>
      <c r="G1144" s="149"/>
      <c r="H1144" s="149"/>
      <c r="I1144" s="329">
        <f t="shared" si="2024"/>
        <v>0</v>
      </c>
      <c r="J1144" s="329">
        <f t="shared" si="2025"/>
        <v>0</v>
      </c>
      <c r="K1144" s="274"/>
      <c r="L1144" s="274"/>
      <c r="M1144" s="274"/>
      <c r="N1144" s="275">
        <f t="shared" si="2026"/>
        <v>0</v>
      </c>
      <c r="O1144" s="274"/>
      <c r="P1144" s="274"/>
      <c r="Q1144" s="274"/>
      <c r="R1144" s="274"/>
      <c r="S1144" s="274">
        <f t="shared" si="2027"/>
        <v>0</v>
      </c>
      <c r="T1144" s="274"/>
      <c r="U1144" s="274"/>
      <c r="V1144" s="274"/>
      <c r="W1144" s="274"/>
      <c r="X1144" s="274">
        <f t="shared" si="2028"/>
        <v>0</v>
      </c>
      <c r="Y1144" s="274">
        <f t="shared" si="2029"/>
        <v>0</v>
      </c>
      <c r="Z1144" s="274">
        <f t="shared" si="2030"/>
        <v>0</v>
      </c>
      <c r="AA1144" s="274"/>
      <c r="AB1144" s="306">
        <f t="shared" si="2031"/>
        <v>0</v>
      </c>
    </row>
    <row r="1145" spans="1:28" s="90" customFormat="1" ht="14.1" customHeight="1" x14ac:dyDescent="0.2">
      <c r="A1145" s="301"/>
      <c r="B1145" s="351" t="s">
        <v>340</v>
      </c>
      <c r="C1145" s="101"/>
      <c r="D1145" s="101"/>
      <c r="E1145" s="101"/>
      <c r="F1145" s="370"/>
      <c r="G1145" s="149"/>
      <c r="H1145" s="149"/>
      <c r="I1145" s="149"/>
      <c r="J1145" s="149"/>
      <c r="K1145" s="159"/>
      <c r="L1145" s="159"/>
      <c r="M1145" s="159"/>
      <c r="N1145" s="159"/>
      <c r="O1145" s="159"/>
      <c r="P1145" s="159"/>
      <c r="Q1145" s="159"/>
      <c r="R1145" s="159"/>
      <c r="S1145" s="159"/>
      <c r="T1145" s="159"/>
      <c r="U1145" s="159"/>
      <c r="V1145" s="159"/>
      <c r="W1145" s="159"/>
      <c r="X1145" s="159"/>
      <c r="Y1145" s="159"/>
      <c r="Z1145" s="159"/>
      <c r="AA1145" s="159"/>
      <c r="AB1145" s="583"/>
    </row>
    <row r="1146" spans="1:28" s="90" customFormat="1" ht="14.1" customHeight="1" x14ac:dyDescent="0.2">
      <c r="A1146" s="301"/>
      <c r="B1146" s="350" t="s">
        <v>341</v>
      </c>
      <c r="C1146" s="101"/>
      <c r="D1146" s="101"/>
      <c r="E1146" s="101"/>
      <c r="F1146" s="370" t="s">
        <v>342</v>
      </c>
      <c r="G1146" s="149">
        <v>7930.62</v>
      </c>
      <c r="H1146" s="149"/>
      <c r="I1146" s="329">
        <f t="shared" ref="I1146:I1147" si="2032">G1146+H1146</f>
        <v>7930.62</v>
      </c>
      <c r="J1146" s="329">
        <f t="shared" ref="J1146:J1147" si="2033">I1146</f>
        <v>7930.62</v>
      </c>
      <c r="K1146" s="274"/>
      <c r="L1146" s="274"/>
      <c r="M1146" s="274"/>
      <c r="N1146" s="275">
        <f t="shared" ref="N1146:N1147" si="2034">J1146+K1146-L1146+M1146</f>
        <v>7930.62</v>
      </c>
      <c r="O1146" s="274"/>
      <c r="P1146" s="274">
        <v>4622.13</v>
      </c>
      <c r="Q1146" s="274">
        <v>3308.49</v>
      </c>
      <c r="R1146" s="274"/>
      <c r="S1146" s="274">
        <f t="shared" ref="S1146:S1147" si="2035">SUM(O1146:R1146)</f>
        <v>7930.62</v>
      </c>
      <c r="T1146" s="274"/>
      <c r="U1146" s="274">
        <v>4622.13</v>
      </c>
      <c r="V1146" s="274">
        <v>3308.49</v>
      </c>
      <c r="W1146" s="274"/>
      <c r="X1146" s="274">
        <f t="shared" ref="X1146:X1147" si="2036">SUM(T1146:W1146)</f>
        <v>7930.62</v>
      </c>
      <c r="Y1146" s="274">
        <f t="shared" ref="Y1146:Y1147" si="2037">I1146-N1146</f>
        <v>0</v>
      </c>
      <c r="Z1146" s="274">
        <f t="shared" ref="Z1146:Z1147" si="2038">N1146-S1146</f>
        <v>0</v>
      </c>
      <c r="AA1146" s="274"/>
      <c r="AB1146" s="306">
        <f t="shared" ref="AB1146:AB1147" si="2039">+S1146-X1146-AA1146</f>
        <v>0</v>
      </c>
    </row>
    <row r="1147" spans="1:28" s="90" customFormat="1" ht="14.1" hidden="1" customHeight="1" x14ac:dyDescent="0.2">
      <c r="A1147" s="301"/>
      <c r="B1147" s="350" t="s">
        <v>343</v>
      </c>
      <c r="C1147" s="101"/>
      <c r="D1147" s="101"/>
      <c r="E1147" s="101"/>
      <c r="F1147" s="370" t="s">
        <v>344</v>
      </c>
      <c r="G1147" s="149"/>
      <c r="H1147" s="149"/>
      <c r="I1147" s="329">
        <f t="shared" si="2032"/>
        <v>0</v>
      </c>
      <c r="J1147" s="329">
        <f t="shared" si="2033"/>
        <v>0</v>
      </c>
      <c r="K1147" s="274"/>
      <c r="L1147" s="274"/>
      <c r="M1147" s="274"/>
      <c r="N1147" s="275">
        <f t="shared" si="2034"/>
        <v>0</v>
      </c>
      <c r="O1147" s="274"/>
      <c r="P1147" s="274"/>
      <c r="Q1147" s="274"/>
      <c r="R1147" s="274"/>
      <c r="S1147" s="274">
        <f t="shared" si="2035"/>
        <v>0</v>
      </c>
      <c r="T1147" s="274"/>
      <c r="U1147" s="274"/>
      <c r="V1147" s="274"/>
      <c r="W1147" s="274"/>
      <c r="X1147" s="274">
        <f t="shared" si="2036"/>
        <v>0</v>
      </c>
      <c r="Y1147" s="274">
        <f t="shared" si="2037"/>
        <v>0</v>
      </c>
      <c r="Z1147" s="274">
        <f t="shared" si="2038"/>
        <v>0</v>
      </c>
      <c r="AA1147" s="274"/>
      <c r="AB1147" s="306">
        <f t="shared" si="2039"/>
        <v>0</v>
      </c>
    </row>
    <row r="1148" spans="1:28" s="90" customFormat="1" ht="14.1" customHeight="1" x14ac:dyDescent="0.2">
      <c r="A1148" s="301"/>
      <c r="B1148" s="351" t="s">
        <v>345</v>
      </c>
      <c r="C1148" s="101"/>
      <c r="D1148" s="101"/>
      <c r="E1148" s="101"/>
      <c r="F1148" s="370"/>
      <c r="G1148" s="149"/>
      <c r="H1148" s="149"/>
      <c r="I1148" s="149"/>
      <c r="J1148" s="149"/>
      <c r="K1148" s="159"/>
      <c r="L1148" s="159"/>
      <c r="M1148" s="159"/>
      <c r="N1148" s="159"/>
      <c r="O1148" s="159"/>
      <c r="P1148" s="159"/>
      <c r="Q1148" s="159"/>
      <c r="R1148" s="159"/>
      <c r="S1148" s="159"/>
      <c r="T1148" s="159"/>
      <c r="U1148" s="159"/>
      <c r="V1148" s="159"/>
      <c r="W1148" s="159"/>
      <c r="X1148" s="159"/>
      <c r="Y1148" s="159"/>
      <c r="Z1148" s="159"/>
      <c r="AA1148" s="159"/>
      <c r="AB1148" s="583"/>
    </row>
    <row r="1149" spans="1:28" s="90" customFormat="1" ht="14.1" customHeight="1" x14ac:dyDescent="0.2">
      <c r="A1149" s="301"/>
      <c r="B1149" s="350" t="s">
        <v>346</v>
      </c>
      <c r="C1149" s="101"/>
      <c r="D1149" s="101"/>
      <c r="E1149" s="101"/>
      <c r="F1149" s="370" t="s">
        <v>743</v>
      </c>
      <c r="G1149" s="149">
        <v>5508.2</v>
      </c>
      <c r="H1149" s="149"/>
      <c r="I1149" s="329">
        <f t="shared" ref="I1149:I1153" si="2040">G1149+H1149</f>
        <v>5508.2</v>
      </c>
      <c r="J1149" s="329">
        <f t="shared" ref="J1149:J1153" si="2041">I1149</f>
        <v>5508.2</v>
      </c>
      <c r="K1149" s="274"/>
      <c r="L1149" s="274"/>
      <c r="M1149" s="274"/>
      <c r="N1149" s="275">
        <f t="shared" ref="N1149:N1153" si="2042">J1149+K1149-L1149+M1149</f>
        <v>5508.2</v>
      </c>
      <c r="O1149" s="274"/>
      <c r="P1149" s="274">
        <f>1000+2940</f>
        <v>3940</v>
      </c>
      <c r="Q1149" s="274">
        <f>1568.2</f>
        <v>1568.2</v>
      </c>
      <c r="R1149" s="274"/>
      <c r="S1149" s="274">
        <f t="shared" ref="S1149:S1153" si="2043">SUM(O1149:R1149)</f>
        <v>5508.2</v>
      </c>
      <c r="T1149" s="274"/>
      <c r="U1149" s="274">
        <f>1000+2940</f>
        <v>3940</v>
      </c>
      <c r="V1149" s="274">
        <f>1568.2</f>
        <v>1568.2</v>
      </c>
      <c r="W1149" s="274"/>
      <c r="X1149" s="274">
        <f t="shared" ref="X1149:X1153" si="2044">SUM(T1149:W1149)</f>
        <v>5508.2</v>
      </c>
      <c r="Y1149" s="274">
        <f t="shared" ref="Y1149:Y1153" si="2045">I1149-N1149</f>
        <v>0</v>
      </c>
      <c r="Z1149" s="274">
        <f t="shared" ref="Z1149:Z1153" si="2046">N1149-S1149</f>
        <v>0</v>
      </c>
      <c r="AA1149" s="274"/>
      <c r="AB1149" s="306">
        <f t="shared" ref="AB1149:AB1153" si="2047">+S1149-X1149-AA1149</f>
        <v>0</v>
      </c>
    </row>
    <row r="1150" spans="1:28" s="90" customFormat="1" ht="14.1" customHeight="1" x14ac:dyDescent="0.2">
      <c r="A1150" s="301"/>
      <c r="B1150" s="350" t="s">
        <v>348</v>
      </c>
      <c r="C1150" s="101"/>
      <c r="D1150" s="101"/>
      <c r="E1150" s="101"/>
      <c r="F1150" s="370" t="s">
        <v>349</v>
      </c>
      <c r="G1150" s="149">
        <v>4200</v>
      </c>
      <c r="H1150" s="149"/>
      <c r="I1150" s="329">
        <f t="shared" si="2040"/>
        <v>4200</v>
      </c>
      <c r="J1150" s="329">
        <f t="shared" si="2041"/>
        <v>4200</v>
      </c>
      <c r="K1150" s="274"/>
      <c r="L1150" s="274"/>
      <c r="M1150" s="274"/>
      <c r="N1150" s="275">
        <f t="shared" si="2042"/>
        <v>4200</v>
      </c>
      <c r="O1150" s="274"/>
      <c r="P1150" s="274">
        <v>4200</v>
      </c>
      <c r="Q1150" s="274"/>
      <c r="R1150" s="274"/>
      <c r="S1150" s="274">
        <f t="shared" si="2043"/>
        <v>4200</v>
      </c>
      <c r="T1150" s="274"/>
      <c r="U1150" s="274">
        <v>4200</v>
      </c>
      <c r="V1150" s="274"/>
      <c r="W1150" s="274"/>
      <c r="X1150" s="274">
        <f t="shared" si="2044"/>
        <v>4200</v>
      </c>
      <c r="Y1150" s="274">
        <f t="shared" si="2045"/>
        <v>0</v>
      </c>
      <c r="Z1150" s="274">
        <f t="shared" si="2046"/>
        <v>0</v>
      </c>
      <c r="AA1150" s="274"/>
      <c r="AB1150" s="306">
        <f t="shared" si="2047"/>
        <v>0</v>
      </c>
    </row>
    <row r="1151" spans="1:28" s="90" customFormat="1" ht="14.1" customHeight="1" x14ac:dyDescent="0.2">
      <c r="A1151" s="301"/>
      <c r="B1151" s="350" t="s">
        <v>350</v>
      </c>
      <c r="C1151" s="101"/>
      <c r="D1151" s="101"/>
      <c r="E1151" s="101"/>
      <c r="F1151" s="370" t="s">
        <v>351</v>
      </c>
      <c r="G1151" s="149">
        <v>7163.96</v>
      </c>
      <c r="H1151" s="149"/>
      <c r="I1151" s="329">
        <f t="shared" si="2040"/>
        <v>7163.96</v>
      </c>
      <c r="J1151" s="329">
        <f t="shared" si="2041"/>
        <v>7163.96</v>
      </c>
      <c r="K1151" s="274"/>
      <c r="L1151" s="274"/>
      <c r="M1151" s="274"/>
      <c r="N1151" s="275">
        <f t="shared" si="2042"/>
        <v>7163.96</v>
      </c>
      <c r="O1151" s="274"/>
      <c r="P1151" s="274">
        <f>2795.79+1509.52+1048.78+1809.87</f>
        <v>7163.9599999999991</v>
      </c>
      <c r="Q1151" s="274"/>
      <c r="R1151" s="274"/>
      <c r="S1151" s="274">
        <f t="shared" si="2043"/>
        <v>7163.9599999999991</v>
      </c>
      <c r="T1151" s="274"/>
      <c r="U1151" s="274">
        <f>2795.79+1509.52+1048.78+1809.87</f>
        <v>7163.9599999999991</v>
      </c>
      <c r="V1151" s="274"/>
      <c r="W1151" s="274"/>
      <c r="X1151" s="274">
        <f t="shared" si="2044"/>
        <v>7163.9599999999991</v>
      </c>
      <c r="Y1151" s="274">
        <f t="shared" si="2045"/>
        <v>0</v>
      </c>
      <c r="Z1151" s="274">
        <f t="shared" si="2046"/>
        <v>0</v>
      </c>
      <c r="AA1151" s="274"/>
      <c r="AB1151" s="306">
        <f t="shared" si="2047"/>
        <v>0</v>
      </c>
    </row>
    <row r="1152" spans="1:28" s="90" customFormat="1" ht="14.1" hidden="1" customHeight="1" x14ac:dyDescent="0.2">
      <c r="A1152" s="301"/>
      <c r="B1152" s="350" t="s">
        <v>352</v>
      </c>
      <c r="C1152" s="101"/>
      <c r="D1152" s="101"/>
      <c r="E1152" s="101"/>
      <c r="F1152" s="370" t="s">
        <v>353</v>
      </c>
      <c r="G1152" s="149"/>
      <c r="H1152" s="149"/>
      <c r="I1152" s="329">
        <f t="shared" si="2040"/>
        <v>0</v>
      </c>
      <c r="J1152" s="329">
        <f t="shared" si="2041"/>
        <v>0</v>
      </c>
      <c r="K1152" s="274"/>
      <c r="L1152" s="274"/>
      <c r="M1152" s="274"/>
      <c r="N1152" s="275">
        <f t="shared" si="2042"/>
        <v>0</v>
      </c>
      <c r="O1152" s="274"/>
      <c r="P1152" s="274"/>
      <c r="Q1152" s="274"/>
      <c r="R1152" s="274"/>
      <c r="S1152" s="274">
        <f t="shared" si="2043"/>
        <v>0</v>
      </c>
      <c r="T1152" s="274"/>
      <c r="U1152" s="274"/>
      <c r="V1152" s="274"/>
      <c r="W1152" s="274"/>
      <c r="X1152" s="274">
        <f t="shared" si="2044"/>
        <v>0</v>
      </c>
      <c r="Y1152" s="274">
        <f t="shared" si="2045"/>
        <v>0</v>
      </c>
      <c r="Z1152" s="274">
        <f t="shared" si="2046"/>
        <v>0</v>
      </c>
      <c r="AA1152" s="274"/>
      <c r="AB1152" s="306">
        <f t="shared" si="2047"/>
        <v>0</v>
      </c>
    </row>
    <row r="1153" spans="1:28" s="90" customFormat="1" ht="14.1" hidden="1" customHeight="1" x14ac:dyDescent="0.2">
      <c r="A1153" s="301"/>
      <c r="B1153" s="350" t="s">
        <v>354</v>
      </c>
      <c r="C1153" s="101"/>
      <c r="D1153" s="101"/>
      <c r="E1153" s="101"/>
      <c r="F1153" s="370" t="s">
        <v>355</v>
      </c>
      <c r="G1153" s="149"/>
      <c r="H1153" s="149"/>
      <c r="I1153" s="329">
        <f t="shared" si="2040"/>
        <v>0</v>
      </c>
      <c r="J1153" s="329">
        <f t="shared" si="2041"/>
        <v>0</v>
      </c>
      <c r="K1153" s="274"/>
      <c r="L1153" s="274"/>
      <c r="M1153" s="274"/>
      <c r="N1153" s="275">
        <f t="shared" si="2042"/>
        <v>0</v>
      </c>
      <c r="O1153" s="274"/>
      <c r="P1153" s="274"/>
      <c r="Q1153" s="274"/>
      <c r="R1153" s="274"/>
      <c r="S1153" s="274">
        <f t="shared" si="2043"/>
        <v>0</v>
      </c>
      <c r="T1153" s="274"/>
      <c r="U1153" s="274"/>
      <c r="V1153" s="274"/>
      <c r="W1153" s="274"/>
      <c r="X1153" s="274">
        <f t="shared" si="2044"/>
        <v>0</v>
      </c>
      <c r="Y1153" s="274">
        <f t="shared" si="2045"/>
        <v>0</v>
      </c>
      <c r="Z1153" s="274">
        <f t="shared" si="2046"/>
        <v>0</v>
      </c>
      <c r="AA1153" s="274"/>
      <c r="AB1153" s="306">
        <f t="shared" si="2047"/>
        <v>0</v>
      </c>
    </row>
    <row r="1154" spans="1:28" s="90" customFormat="1" ht="14.1" customHeight="1" x14ac:dyDescent="0.2">
      <c r="A1154" s="301"/>
      <c r="B1154" s="351" t="s">
        <v>356</v>
      </c>
      <c r="C1154" s="101"/>
      <c r="D1154" s="101"/>
      <c r="E1154" s="101"/>
      <c r="F1154" s="370"/>
      <c r="G1154" s="149"/>
      <c r="H1154" s="149"/>
      <c r="I1154" s="149"/>
      <c r="J1154" s="149"/>
      <c r="K1154" s="159"/>
      <c r="L1154" s="159"/>
      <c r="M1154" s="159"/>
      <c r="N1154" s="159"/>
      <c r="O1154" s="159"/>
      <c r="P1154" s="159"/>
      <c r="Q1154" s="159"/>
      <c r="R1154" s="159"/>
      <c r="S1154" s="159"/>
      <c r="T1154" s="159"/>
      <c r="U1154" s="159"/>
      <c r="V1154" s="159"/>
      <c r="W1154" s="159"/>
      <c r="X1154" s="159"/>
      <c r="Y1154" s="159"/>
      <c r="Z1154" s="159"/>
      <c r="AA1154" s="159"/>
      <c r="AB1154" s="583"/>
    </row>
    <row r="1155" spans="1:28" s="90" customFormat="1" ht="14.1" hidden="1" customHeight="1" x14ac:dyDescent="0.2">
      <c r="A1155" s="301"/>
      <c r="B1155" s="350" t="s">
        <v>357</v>
      </c>
      <c r="C1155" s="101"/>
      <c r="D1155" s="101"/>
      <c r="E1155" s="101"/>
      <c r="F1155" s="370" t="s">
        <v>358</v>
      </c>
      <c r="G1155" s="149"/>
      <c r="H1155" s="149"/>
      <c r="I1155" s="329">
        <f t="shared" ref="I1155" si="2048">G1155+H1155</f>
        <v>0</v>
      </c>
      <c r="J1155" s="329">
        <f t="shared" ref="J1155" si="2049">I1155</f>
        <v>0</v>
      </c>
      <c r="K1155" s="274"/>
      <c r="L1155" s="274"/>
      <c r="M1155" s="274"/>
      <c r="N1155" s="275">
        <f t="shared" ref="N1155" si="2050">J1155+K1155-L1155+M1155</f>
        <v>0</v>
      </c>
      <c r="O1155" s="274"/>
      <c r="P1155" s="274"/>
      <c r="Q1155" s="274"/>
      <c r="R1155" s="274"/>
      <c r="S1155" s="274">
        <f t="shared" ref="S1155" si="2051">SUM(O1155:R1155)</f>
        <v>0</v>
      </c>
      <c r="T1155" s="274"/>
      <c r="U1155" s="274"/>
      <c r="V1155" s="274"/>
      <c r="W1155" s="274"/>
      <c r="X1155" s="274">
        <f t="shared" ref="X1155" si="2052">SUM(T1155:W1155)</f>
        <v>0</v>
      </c>
      <c r="Y1155" s="274">
        <f t="shared" ref="Y1155" si="2053">I1155-N1155</f>
        <v>0</v>
      </c>
      <c r="Z1155" s="274">
        <f t="shared" ref="Z1155" si="2054">N1155-S1155</f>
        <v>0</v>
      </c>
      <c r="AA1155" s="274"/>
      <c r="AB1155" s="306">
        <f t="shared" ref="AB1155" si="2055">+S1155-X1155-AA1155</f>
        <v>0</v>
      </c>
    </row>
    <row r="1156" spans="1:28" s="90" customFormat="1" ht="14.1" customHeight="1" x14ac:dyDescent="0.2">
      <c r="A1156" s="301"/>
      <c r="B1156" s="351" t="s">
        <v>359</v>
      </c>
      <c r="C1156" s="101"/>
      <c r="D1156" s="101"/>
      <c r="E1156" s="101"/>
      <c r="F1156" s="370"/>
      <c r="G1156" s="149"/>
      <c r="H1156" s="149"/>
      <c r="I1156" s="149"/>
      <c r="J1156" s="149"/>
      <c r="K1156" s="159"/>
      <c r="L1156" s="159"/>
      <c r="M1156" s="159"/>
      <c r="N1156" s="159"/>
      <c r="O1156" s="159"/>
      <c r="P1156" s="159"/>
      <c r="Q1156" s="159"/>
      <c r="R1156" s="159"/>
      <c r="S1156" s="159"/>
      <c r="T1156" s="159"/>
      <c r="U1156" s="159"/>
      <c r="V1156" s="159"/>
      <c r="W1156" s="159"/>
      <c r="X1156" s="159"/>
      <c r="Y1156" s="159"/>
      <c r="Z1156" s="159"/>
      <c r="AA1156" s="159"/>
      <c r="AB1156" s="583"/>
    </row>
    <row r="1157" spans="1:28" s="90" customFormat="1" ht="14.1" hidden="1" customHeight="1" x14ac:dyDescent="0.2">
      <c r="A1157" s="301"/>
      <c r="B1157" s="350" t="s">
        <v>360</v>
      </c>
      <c r="C1157" s="101"/>
      <c r="D1157" s="101"/>
      <c r="E1157" s="101"/>
      <c r="F1157" s="370" t="s">
        <v>361</v>
      </c>
      <c r="G1157" s="149"/>
      <c r="H1157" s="149"/>
      <c r="I1157" s="329">
        <f t="shared" ref="I1157:I1160" si="2056">G1157+H1157</f>
        <v>0</v>
      </c>
      <c r="J1157" s="329">
        <f t="shared" ref="J1157:J1160" si="2057">I1157</f>
        <v>0</v>
      </c>
      <c r="K1157" s="274"/>
      <c r="L1157" s="274"/>
      <c r="M1157" s="274"/>
      <c r="N1157" s="275">
        <f t="shared" ref="N1157:N1160" si="2058">J1157+K1157-L1157+M1157</f>
        <v>0</v>
      </c>
      <c r="O1157" s="274"/>
      <c r="P1157" s="274"/>
      <c r="Q1157" s="274"/>
      <c r="R1157" s="274"/>
      <c r="S1157" s="274">
        <f t="shared" ref="S1157:S1160" si="2059">SUM(O1157:R1157)</f>
        <v>0</v>
      </c>
      <c r="T1157" s="274"/>
      <c r="U1157" s="274"/>
      <c r="V1157" s="274"/>
      <c r="W1157" s="274"/>
      <c r="X1157" s="274">
        <f t="shared" ref="X1157:X1160" si="2060">SUM(T1157:W1157)</f>
        <v>0</v>
      </c>
      <c r="Y1157" s="274">
        <f t="shared" ref="Y1157:Y1160" si="2061">I1157-N1157</f>
        <v>0</v>
      </c>
      <c r="Z1157" s="274">
        <f t="shared" ref="Z1157:Z1160" si="2062">N1157-S1157</f>
        <v>0</v>
      </c>
      <c r="AA1157" s="274"/>
      <c r="AB1157" s="306">
        <f t="shared" ref="AB1157:AB1160" si="2063">+S1157-X1157-AA1157</f>
        <v>0</v>
      </c>
    </row>
    <row r="1158" spans="1:28" s="90" customFormat="1" ht="14.1" hidden="1" customHeight="1" x14ac:dyDescent="0.2">
      <c r="A1158" s="301"/>
      <c r="B1158" s="350" t="s">
        <v>362</v>
      </c>
      <c r="C1158" s="101"/>
      <c r="D1158" s="101"/>
      <c r="E1158" s="101"/>
      <c r="F1158" s="370" t="s">
        <v>363</v>
      </c>
      <c r="G1158" s="149"/>
      <c r="H1158" s="149"/>
      <c r="I1158" s="329">
        <f t="shared" si="2056"/>
        <v>0</v>
      </c>
      <c r="J1158" s="329">
        <f t="shared" si="2057"/>
        <v>0</v>
      </c>
      <c r="K1158" s="274"/>
      <c r="L1158" s="274"/>
      <c r="M1158" s="274"/>
      <c r="N1158" s="275">
        <f t="shared" si="2058"/>
        <v>0</v>
      </c>
      <c r="O1158" s="274"/>
      <c r="P1158" s="274"/>
      <c r="Q1158" s="274"/>
      <c r="R1158" s="274"/>
      <c r="S1158" s="274">
        <f t="shared" si="2059"/>
        <v>0</v>
      </c>
      <c r="T1158" s="274"/>
      <c r="U1158" s="274"/>
      <c r="V1158" s="274"/>
      <c r="W1158" s="274"/>
      <c r="X1158" s="274">
        <f t="shared" si="2060"/>
        <v>0</v>
      </c>
      <c r="Y1158" s="274">
        <f t="shared" si="2061"/>
        <v>0</v>
      </c>
      <c r="Z1158" s="274">
        <f t="shared" si="2062"/>
        <v>0</v>
      </c>
      <c r="AA1158" s="274"/>
      <c r="AB1158" s="306">
        <f t="shared" si="2063"/>
        <v>0</v>
      </c>
    </row>
    <row r="1159" spans="1:28" s="90" customFormat="1" ht="14.1" hidden="1" customHeight="1" x14ac:dyDescent="0.2">
      <c r="A1159" s="301"/>
      <c r="B1159" s="350" t="s">
        <v>722</v>
      </c>
      <c r="C1159" s="718"/>
      <c r="D1159" s="718"/>
      <c r="E1159" s="718"/>
      <c r="F1159" s="370" t="s">
        <v>723</v>
      </c>
      <c r="G1159" s="149"/>
      <c r="H1159" s="149"/>
      <c r="I1159" s="329">
        <f t="shared" si="2056"/>
        <v>0</v>
      </c>
      <c r="J1159" s="329">
        <f t="shared" si="2057"/>
        <v>0</v>
      </c>
      <c r="K1159" s="274"/>
      <c r="L1159" s="274"/>
      <c r="M1159" s="274"/>
      <c r="N1159" s="275">
        <f t="shared" si="2058"/>
        <v>0</v>
      </c>
      <c r="O1159" s="274"/>
      <c r="P1159" s="274"/>
      <c r="Q1159" s="274"/>
      <c r="R1159" s="274"/>
      <c r="S1159" s="274">
        <f t="shared" si="2059"/>
        <v>0</v>
      </c>
      <c r="T1159" s="274"/>
      <c r="U1159" s="274"/>
      <c r="V1159" s="274"/>
      <c r="W1159" s="274"/>
      <c r="X1159" s="274">
        <f t="shared" si="2060"/>
        <v>0</v>
      </c>
      <c r="Y1159" s="274">
        <f t="shared" si="2061"/>
        <v>0</v>
      </c>
      <c r="Z1159" s="274">
        <f t="shared" si="2062"/>
        <v>0</v>
      </c>
      <c r="AA1159" s="274"/>
      <c r="AB1159" s="306">
        <f t="shared" si="2063"/>
        <v>0</v>
      </c>
    </row>
    <row r="1160" spans="1:28" s="90" customFormat="1" ht="14.1" hidden="1" customHeight="1" x14ac:dyDescent="0.2">
      <c r="A1160" s="301"/>
      <c r="B1160" s="350" t="s">
        <v>364</v>
      </c>
      <c r="C1160" s="101"/>
      <c r="D1160" s="101"/>
      <c r="E1160" s="101"/>
      <c r="F1160" s="370" t="s">
        <v>365</v>
      </c>
      <c r="G1160" s="149"/>
      <c r="H1160" s="149"/>
      <c r="I1160" s="329">
        <f t="shared" si="2056"/>
        <v>0</v>
      </c>
      <c r="J1160" s="329">
        <f t="shared" si="2057"/>
        <v>0</v>
      </c>
      <c r="K1160" s="274"/>
      <c r="L1160" s="274"/>
      <c r="M1160" s="274"/>
      <c r="N1160" s="275">
        <f t="shared" si="2058"/>
        <v>0</v>
      </c>
      <c r="O1160" s="274"/>
      <c r="P1160" s="274"/>
      <c r="Q1160" s="274"/>
      <c r="R1160" s="274"/>
      <c r="S1160" s="274">
        <f t="shared" si="2059"/>
        <v>0</v>
      </c>
      <c r="T1160" s="274"/>
      <c r="U1160" s="274"/>
      <c r="V1160" s="274"/>
      <c r="W1160" s="274"/>
      <c r="X1160" s="274">
        <f t="shared" si="2060"/>
        <v>0</v>
      </c>
      <c r="Y1160" s="274">
        <f t="shared" si="2061"/>
        <v>0</v>
      </c>
      <c r="Z1160" s="274">
        <f t="shared" si="2062"/>
        <v>0</v>
      </c>
      <c r="AA1160" s="274"/>
      <c r="AB1160" s="306">
        <f t="shared" si="2063"/>
        <v>0</v>
      </c>
    </row>
    <row r="1161" spans="1:28" s="90" customFormat="1" ht="14.1" customHeight="1" x14ac:dyDescent="0.2">
      <c r="A1161" s="301"/>
      <c r="B1161" s="351" t="s">
        <v>366</v>
      </c>
      <c r="C1161" s="101"/>
      <c r="D1161" s="101"/>
      <c r="E1161" s="101"/>
      <c r="F1161" s="370"/>
      <c r="G1161" s="149"/>
      <c r="H1161" s="149"/>
      <c r="I1161" s="149"/>
      <c r="J1161" s="149"/>
      <c r="K1161" s="159"/>
      <c r="L1161" s="159"/>
      <c r="M1161" s="159"/>
      <c r="N1161" s="159"/>
      <c r="O1161" s="159"/>
      <c r="P1161" s="159"/>
      <c r="Q1161" s="159"/>
      <c r="R1161" s="159"/>
      <c r="S1161" s="159"/>
      <c r="T1161" s="159"/>
      <c r="U1161" s="159"/>
      <c r="V1161" s="159"/>
      <c r="W1161" s="159"/>
      <c r="X1161" s="159"/>
      <c r="Y1161" s="159"/>
      <c r="Z1161" s="159"/>
      <c r="AA1161" s="159"/>
      <c r="AB1161" s="583"/>
    </row>
    <row r="1162" spans="1:28" s="90" customFormat="1" ht="14.1" hidden="1" customHeight="1" x14ac:dyDescent="0.2">
      <c r="A1162" s="301"/>
      <c r="B1162" s="350" t="s">
        <v>366</v>
      </c>
      <c r="C1162" s="101"/>
      <c r="D1162" s="101"/>
      <c r="E1162" s="101"/>
      <c r="F1162" s="370" t="s">
        <v>367</v>
      </c>
      <c r="G1162" s="149"/>
      <c r="H1162" s="149"/>
      <c r="I1162" s="329">
        <f t="shared" ref="I1162:I1166" si="2064">G1162+H1162</f>
        <v>0</v>
      </c>
      <c r="J1162" s="329">
        <f t="shared" ref="J1162:J1166" si="2065">I1162</f>
        <v>0</v>
      </c>
      <c r="K1162" s="274"/>
      <c r="L1162" s="274"/>
      <c r="M1162" s="274"/>
      <c r="N1162" s="275">
        <f t="shared" ref="N1162:N1166" si="2066">J1162+K1162-L1162+M1162</f>
        <v>0</v>
      </c>
      <c r="O1162" s="274"/>
      <c r="P1162" s="274"/>
      <c r="Q1162" s="274"/>
      <c r="R1162" s="274"/>
      <c r="S1162" s="274">
        <f t="shared" ref="S1162:S1166" si="2067">SUM(O1162:R1162)</f>
        <v>0</v>
      </c>
      <c r="T1162" s="274"/>
      <c r="U1162" s="274"/>
      <c r="V1162" s="274"/>
      <c r="W1162" s="274"/>
      <c r="X1162" s="274">
        <f t="shared" ref="X1162:X1166" si="2068">SUM(T1162:W1162)</f>
        <v>0</v>
      </c>
      <c r="Y1162" s="274">
        <f t="shared" ref="Y1162:Y1166" si="2069">I1162-N1162</f>
        <v>0</v>
      </c>
      <c r="Z1162" s="274">
        <f t="shared" ref="Z1162:Z1166" si="2070">N1162-S1162</f>
        <v>0</v>
      </c>
      <c r="AA1162" s="274"/>
      <c r="AB1162" s="306">
        <f t="shared" ref="AB1162:AB1166" si="2071">+S1162-X1162-AA1162</f>
        <v>0</v>
      </c>
    </row>
    <row r="1163" spans="1:28" s="90" customFormat="1" ht="14.1" hidden="1" customHeight="1" x14ac:dyDescent="0.2">
      <c r="A1163" s="301"/>
      <c r="B1163" s="350" t="s">
        <v>724</v>
      </c>
      <c r="C1163" s="718"/>
      <c r="D1163" s="718"/>
      <c r="E1163" s="718"/>
      <c r="F1163" s="370" t="s">
        <v>725</v>
      </c>
      <c r="G1163" s="149"/>
      <c r="H1163" s="149"/>
      <c r="I1163" s="329">
        <f t="shared" ref="I1163" si="2072">G1163+H1163</f>
        <v>0</v>
      </c>
      <c r="J1163" s="329">
        <f t="shared" ref="J1163" si="2073">I1163</f>
        <v>0</v>
      </c>
      <c r="K1163" s="274"/>
      <c r="L1163" s="274"/>
      <c r="M1163" s="274"/>
      <c r="N1163" s="275">
        <f t="shared" si="2066"/>
        <v>0</v>
      </c>
      <c r="O1163" s="274"/>
      <c r="P1163" s="274"/>
      <c r="Q1163" s="274"/>
      <c r="R1163" s="274"/>
      <c r="S1163" s="274">
        <f t="shared" ref="S1163" si="2074">SUM(O1163:R1163)</f>
        <v>0</v>
      </c>
      <c r="T1163" s="274"/>
      <c r="U1163" s="274"/>
      <c r="V1163" s="274"/>
      <c r="W1163" s="274"/>
      <c r="X1163" s="274">
        <f t="shared" ref="X1163" si="2075">SUM(T1163:W1163)</f>
        <v>0</v>
      </c>
      <c r="Y1163" s="274">
        <f t="shared" ref="Y1163" si="2076">I1163-N1163</f>
        <v>0</v>
      </c>
      <c r="Z1163" s="274">
        <f t="shared" ref="Z1163" si="2077">N1163-S1163</f>
        <v>0</v>
      </c>
      <c r="AA1163" s="274"/>
      <c r="AB1163" s="306">
        <f t="shared" ref="AB1163" si="2078">+S1163-X1163-AA1163</f>
        <v>0</v>
      </c>
    </row>
    <row r="1164" spans="1:28" s="90" customFormat="1" ht="14.1" customHeight="1" x14ac:dyDescent="0.2">
      <c r="A1164" s="301"/>
      <c r="B1164" s="350" t="s">
        <v>368</v>
      </c>
      <c r="C1164" s="101"/>
      <c r="D1164" s="101"/>
      <c r="E1164" s="101"/>
      <c r="F1164" s="370" t="s">
        <v>369</v>
      </c>
      <c r="G1164" s="149">
        <v>18147.03</v>
      </c>
      <c r="H1164" s="149"/>
      <c r="I1164" s="329">
        <f t="shared" si="2064"/>
        <v>18147.03</v>
      </c>
      <c r="J1164" s="329">
        <f t="shared" si="2065"/>
        <v>18147.03</v>
      </c>
      <c r="K1164" s="274"/>
      <c r="L1164" s="274"/>
      <c r="M1164" s="274"/>
      <c r="N1164" s="275">
        <f t="shared" si="2066"/>
        <v>18147.03</v>
      </c>
      <c r="O1164" s="274"/>
      <c r="P1164" s="274"/>
      <c r="Q1164" s="274">
        <f>1692.4+5500+5500+5454.63</f>
        <v>18147.03</v>
      </c>
      <c r="R1164" s="274"/>
      <c r="S1164" s="274">
        <f t="shared" si="2067"/>
        <v>18147.03</v>
      </c>
      <c r="T1164" s="274"/>
      <c r="U1164" s="274"/>
      <c r="V1164" s="274">
        <f>1292.4+5000+5500+5454.63+500+400</f>
        <v>18147.03</v>
      </c>
      <c r="W1164" s="274"/>
      <c r="X1164" s="274">
        <f t="shared" si="2068"/>
        <v>18147.03</v>
      </c>
      <c r="Y1164" s="274">
        <f t="shared" si="2069"/>
        <v>0</v>
      </c>
      <c r="Z1164" s="274">
        <f t="shared" si="2070"/>
        <v>0</v>
      </c>
      <c r="AA1164" s="274"/>
      <c r="AB1164" s="306">
        <f t="shared" si="2071"/>
        <v>0</v>
      </c>
    </row>
    <row r="1165" spans="1:28" s="90" customFormat="1" ht="14.1" customHeight="1" x14ac:dyDescent="0.2">
      <c r="A1165" s="301"/>
      <c r="B1165" s="350" t="s">
        <v>370</v>
      </c>
      <c r="C1165" s="101"/>
      <c r="D1165" s="101"/>
      <c r="E1165" s="101"/>
      <c r="F1165" s="370" t="s">
        <v>371</v>
      </c>
      <c r="G1165" s="149">
        <v>9366.36</v>
      </c>
      <c r="H1165" s="149"/>
      <c r="I1165" s="329">
        <f t="shared" si="2064"/>
        <v>9366.36</v>
      </c>
      <c r="J1165" s="329">
        <f t="shared" si="2065"/>
        <v>9366.36</v>
      </c>
      <c r="K1165" s="274"/>
      <c r="L1165" s="274"/>
      <c r="M1165" s="274"/>
      <c r="N1165" s="275">
        <f t="shared" si="2066"/>
        <v>9366.36</v>
      </c>
      <c r="O1165" s="274"/>
      <c r="P1165" s="274"/>
      <c r="Q1165" s="274">
        <v>9366.36</v>
      </c>
      <c r="R1165" s="274"/>
      <c r="S1165" s="274">
        <f t="shared" si="2067"/>
        <v>9366.36</v>
      </c>
      <c r="T1165" s="274"/>
      <c r="U1165" s="274"/>
      <c r="V1165" s="274">
        <v>9366.36</v>
      </c>
      <c r="W1165" s="274"/>
      <c r="X1165" s="274">
        <f t="shared" si="2068"/>
        <v>9366.36</v>
      </c>
      <c r="Y1165" s="274">
        <f t="shared" si="2069"/>
        <v>0</v>
      </c>
      <c r="Z1165" s="274">
        <f t="shared" si="2070"/>
        <v>0</v>
      </c>
      <c r="AA1165" s="274"/>
      <c r="AB1165" s="306">
        <f t="shared" si="2071"/>
        <v>0</v>
      </c>
    </row>
    <row r="1166" spans="1:28" s="90" customFormat="1" ht="14.1" hidden="1" customHeight="1" x14ac:dyDescent="0.2">
      <c r="A1166" s="301"/>
      <c r="B1166" s="350" t="s">
        <v>372</v>
      </c>
      <c r="C1166" s="101"/>
      <c r="D1166" s="101"/>
      <c r="E1166" s="101"/>
      <c r="F1166" s="370" t="s">
        <v>373</v>
      </c>
      <c r="G1166" s="149"/>
      <c r="H1166" s="149"/>
      <c r="I1166" s="329">
        <f t="shared" si="2064"/>
        <v>0</v>
      </c>
      <c r="J1166" s="329">
        <f t="shared" si="2065"/>
        <v>0</v>
      </c>
      <c r="K1166" s="274"/>
      <c r="L1166" s="274"/>
      <c r="M1166" s="274"/>
      <c r="N1166" s="275">
        <f t="shared" si="2066"/>
        <v>0</v>
      </c>
      <c r="O1166" s="274"/>
      <c r="P1166" s="274"/>
      <c r="Q1166" s="274"/>
      <c r="R1166" s="274"/>
      <c r="S1166" s="274">
        <f t="shared" si="2067"/>
        <v>0</v>
      </c>
      <c r="T1166" s="274"/>
      <c r="U1166" s="274"/>
      <c r="V1166" s="274"/>
      <c r="W1166" s="274"/>
      <c r="X1166" s="274">
        <f t="shared" si="2068"/>
        <v>0</v>
      </c>
      <c r="Y1166" s="274">
        <f t="shared" si="2069"/>
        <v>0</v>
      </c>
      <c r="Z1166" s="274">
        <f t="shared" si="2070"/>
        <v>0</v>
      </c>
      <c r="AA1166" s="274"/>
      <c r="AB1166" s="306">
        <f t="shared" si="2071"/>
        <v>0</v>
      </c>
    </row>
    <row r="1167" spans="1:28" s="90" customFormat="1" ht="14.1" customHeight="1" x14ac:dyDescent="0.2">
      <c r="A1167" s="301"/>
      <c r="B1167" s="351" t="s">
        <v>374</v>
      </c>
      <c r="C1167" s="101"/>
      <c r="D1167" s="101"/>
      <c r="E1167" s="101"/>
      <c r="F1167" s="370"/>
      <c r="G1167" s="149"/>
      <c r="H1167" s="149"/>
      <c r="I1167" s="149"/>
      <c r="J1167" s="149"/>
      <c r="K1167" s="159"/>
      <c r="L1167" s="159"/>
      <c r="M1167" s="159"/>
      <c r="N1167" s="159"/>
      <c r="O1167" s="159"/>
      <c r="P1167" s="159"/>
      <c r="Q1167" s="159"/>
      <c r="R1167" s="159"/>
      <c r="S1167" s="159"/>
      <c r="T1167" s="159"/>
      <c r="U1167" s="159"/>
      <c r="V1167" s="159"/>
      <c r="W1167" s="159"/>
      <c r="X1167" s="159"/>
      <c r="Y1167" s="159"/>
      <c r="Z1167" s="159"/>
      <c r="AA1167" s="159"/>
      <c r="AB1167" s="583"/>
    </row>
    <row r="1168" spans="1:28" s="90" customFormat="1" ht="14.1" hidden="1" customHeight="1" x14ac:dyDescent="0.2">
      <c r="A1168" s="301"/>
      <c r="B1168" s="350" t="s">
        <v>375</v>
      </c>
      <c r="C1168" s="101"/>
      <c r="D1168" s="101"/>
      <c r="E1168" s="101"/>
      <c r="F1168" s="370" t="s">
        <v>376</v>
      </c>
      <c r="G1168" s="149"/>
      <c r="H1168" s="149"/>
      <c r="I1168" s="329">
        <f t="shared" ref="I1168:I1185" si="2079">G1168+H1168</f>
        <v>0</v>
      </c>
      <c r="J1168" s="329">
        <f t="shared" ref="J1168:J1185" si="2080">I1168</f>
        <v>0</v>
      </c>
      <c r="K1168" s="274"/>
      <c r="L1168" s="274"/>
      <c r="M1168" s="274"/>
      <c r="N1168" s="275">
        <f t="shared" ref="N1168:N1185" si="2081">J1168+K1168-L1168+M1168</f>
        <v>0</v>
      </c>
      <c r="O1168" s="274"/>
      <c r="P1168" s="274"/>
      <c r="Q1168" s="274"/>
      <c r="R1168" s="274"/>
      <c r="S1168" s="274">
        <f t="shared" ref="S1168:S1185" si="2082">SUM(O1168:R1168)</f>
        <v>0</v>
      </c>
      <c r="T1168" s="274"/>
      <c r="U1168" s="274"/>
      <c r="V1168" s="274"/>
      <c r="W1168" s="274"/>
      <c r="X1168" s="274">
        <f t="shared" ref="X1168:X1185" si="2083">SUM(T1168:W1168)</f>
        <v>0</v>
      </c>
      <c r="Y1168" s="274">
        <f t="shared" ref="Y1168:Y1185" si="2084">I1168-N1168</f>
        <v>0</v>
      </c>
      <c r="Z1168" s="274">
        <f t="shared" ref="Z1168:Z1185" si="2085">N1168-S1168</f>
        <v>0</v>
      </c>
      <c r="AA1168" s="274"/>
      <c r="AB1168" s="306">
        <f t="shared" ref="AB1168:AB1185" si="2086">+S1168-X1168-AA1168</f>
        <v>0</v>
      </c>
    </row>
    <row r="1169" spans="1:28" s="90" customFormat="1" ht="14.1" hidden="1" customHeight="1" x14ac:dyDescent="0.2">
      <c r="A1169" s="301"/>
      <c r="B1169" s="350" t="s">
        <v>377</v>
      </c>
      <c r="C1169" s="101"/>
      <c r="D1169" s="101"/>
      <c r="E1169" s="101"/>
      <c r="F1169" s="370" t="s">
        <v>378</v>
      </c>
      <c r="G1169" s="149"/>
      <c r="H1169" s="149"/>
      <c r="I1169" s="329">
        <f t="shared" si="2079"/>
        <v>0</v>
      </c>
      <c r="J1169" s="329">
        <f t="shared" si="2080"/>
        <v>0</v>
      </c>
      <c r="K1169" s="274"/>
      <c r="L1169" s="274"/>
      <c r="M1169" s="274"/>
      <c r="N1169" s="275">
        <f t="shared" si="2081"/>
        <v>0</v>
      </c>
      <c r="O1169" s="274"/>
      <c r="P1169" s="274"/>
      <c r="Q1169" s="274"/>
      <c r="R1169" s="274"/>
      <c r="S1169" s="274">
        <f t="shared" si="2082"/>
        <v>0</v>
      </c>
      <c r="T1169" s="274"/>
      <c r="U1169" s="274"/>
      <c r="V1169" s="274"/>
      <c r="W1169" s="274"/>
      <c r="X1169" s="274">
        <f t="shared" si="2083"/>
        <v>0</v>
      </c>
      <c r="Y1169" s="274">
        <f t="shared" si="2084"/>
        <v>0</v>
      </c>
      <c r="Z1169" s="274">
        <f t="shared" si="2085"/>
        <v>0</v>
      </c>
      <c r="AA1169" s="274"/>
      <c r="AB1169" s="306">
        <f t="shared" si="2086"/>
        <v>0</v>
      </c>
    </row>
    <row r="1170" spans="1:28" s="90" customFormat="1" ht="14.1" hidden="1" customHeight="1" x14ac:dyDescent="0.2">
      <c r="A1170" s="301"/>
      <c r="B1170" s="350" t="s">
        <v>379</v>
      </c>
      <c r="C1170" s="101"/>
      <c r="D1170" s="101"/>
      <c r="E1170" s="101"/>
      <c r="F1170" s="370" t="s">
        <v>380</v>
      </c>
      <c r="G1170" s="149"/>
      <c r="H1170" s="149"/>
      <c r="I1170" s="329">
        <f t="shared" si="2079"/>
        <v>0</v>
      </c>
      <c r="J1170" s="329">
        <f t="shared" si="2080"/>
        <v>0</v>
      </c>
      <c r="K1170" s="274"/>
      <c r="L1170" s="274"/>
      <c r="M1170" s="274"/>
      <c r="N1170" s="275">
        <f t="shared" si="2081"/>
        <v>0</v>
      </c>
      <c r="O1170" s="274"/>
      <c r="P1170" s="274"/>
      <c r="Q1170" s="274"/>
      <c r="R1170" s="274"/>
      <c r="S1170" s="274">
        <f t="shared" si="2082"/>
        <v>0</v>
      </c>
      <c r="T1170" s="274"/>
      <c r="U1170" s="274"/>
      <c r="V1170" s="274"/>
      <c r="W1170" s="274"/>
      <c r="X1170" s="274">
        <f t="shared" si="2083"/>
        <v>0</v>
      </c>
      <c r="Y1170" s="274">
        <f t="shared" si="2084"/>
        <v>0</v>
      </c>
      <c r="Z1170" s="274">
        <f t="shared" si="2085"/>
        <v>0</v>
      </c>
      <c r="AA1170" s="274"/>
      <c r="AB1170" s="306">
        <f t="shared" si="2086"/>
        <v>0</v>
      </c>
    </row>
    <row r="1171" spans="1:28" s="90" customFormat="1" ht="14.1" hidden="1" customHeight="1" x14ac:dyDescent="0.2">
      <c r="A1171" s="301"/>
      <c r="B1171" s="350" t="s">
        <v>381</v>
      </c>
      <c r="C1171" s="101"/>
      <c r="D1171" s="101"/>
      <c r="E1171" s="101"/>
      <c r="F1171" s="370" t="s">
        <v>382</v>
      </c>
      <c r="G1171" s="149"/>
      <c r="H1171" s="149"/>
      <c r="I1171" s="329">
        <f t="shared" si="2079"/>
        <v>0</v>
      </c>
      <c r="J1171" s="329">
        <f t="shared" si="2080"/>
        <v>0</v>
      </c>
      <c r="K1171" s="274"/>
      <c r="L1171" s="274"/>
      <c r="M1171" s="274"/>
      <c r="N1171" s="275">
        <f t="shared" si="2081"/>
        <v>0</v>
      </c>
      <c r="O1171" s="274"/>
      <c r="P1171" s="274"/>
      <c r="Q1171" s="274"/>
      <c r="R1171" s="274"/>
      <c r="S1171" s="274">
        <f t="shared" si="2082"/>
        <v>0</v>
      </c>
      <c r="T1171" s="274"/>
      <c r="U1171" s="274"/>
      <c r="V1171" s="274"/>
      <c r="W1171" s="274"/>
      <c r="X1171" s="274">
        <f t="shared" si="2083"/>
        <v>0</v>
      </c>
      <c r="Y1171" s="274">
        <f t="shared" si="2084"/>
        <v>0</v>
      </c>
      <c r="Z1171" s="274">
        <f t="shared" si="2085"/>
        <v>0</v>
      </c>
      <c r="AA1171" s="274"/>
      <c r="AB1171" s="306">
        <f t="shared" si="2086"/>
        <v>0</v>
      </c>
    </row>
    <row r="1172" spans="1:28" s="90" customFormat="1" ht="14.1" hidden="1" customHeight="1" x14ac:dyDescent="0.2">
      <c r="A1172" s="301"/>
      <c r="B1172" s="350" t="s">
        <v>383</v>
      </c>
      <c r="C1172" s="101"/>
      <c r="D1172" s="101"/>
      <c r="E1172" s="101"/>
      <c r="F1172" s="370" t="s">
        <v>384</v>
      </c>
      <c r="G1172" s="149"/>
      <c r="H1172" s="149"/>
      <c r="I1172" s="329">
        <f t="shared" si="2079"/>
        <v>0</v>
      </c>
      <c r="J1172" s="329">
        <f t="shared" si="2080"/>
        <v>0</v>
      </c>
      <c r="K1172" s="274"/>
      <c r="L1172" s="274"/>
      <c r="M1172" s="274"/>
      <c r="N1172" s="275">
        <f t="shared" si="2081"/>
        <v>0</v>
      </c>
      <c r="O1172" s="274"/>
      <c r="P1172" s="274"/>
      <c r="Q1172" s="274"/>
      <c r="R1172" s="274"/>
      <c r="S1172" s="274">
        <f t="shared" si="2082"/>
        <v>0</v>
      </c>
      <c r="T1172" s="274"/>
      <c r="U1172" s="274"/>
      <c r="V1172" s="274"/>
      <c r="W1172" s="274"/>
      <c r="X1172" s="274">
        <f t="shared" si="2083"/>
        <v>0</v>
      </c>
      <c r="Y1172" s="274">
        <f t="shared" si="2084"/>
        <v>0</v>
      </c>
      <c r="Z1172" s="274">
        <f t="shared" si="2085"/>
        <v>0</v>
      </c>
      <c r="AA1172" s="274"/>
      <c r="AB1172" s="306">
        <f t="shared" si="2086"/>
        <v>0</v>
      </c>
    </row>
    <row r="1173" spans="1:28" s="90" customFormat="1" ht="14.1" hidden="1" customHeight="1" x14ac:dyDescent="0.2">
      <c r="A1173" s="301"/>
      <c r="B1173" s="350" t="s">
        <v>385</v>
      </c>
      <c r="C1173" s="101"/>
      <c r="D1173" s="101"/>
      <c r="E1173" s="101"/>
      <c r="F1173" s="370" t="s">
        <v>386</v>
      </c>
      <c r="G1173" s="149"/>
      <c r="H1173" s="149"/>
      <c r="I1173" s="329">
        <f t="shared" si="2079"/>
        <v>0</v>
      </c>
      <c r="J1173" s="329">
        <f t="shared" si="2080"/>
        <v>0</v>
      </c>
      <c r="K1173" s="274"/>
      <c r="L1173" s="274"/>
      <c r="M1173" s="274"/>
      <c r="N1173" s="275">
        <f t="shared" si="2081"/>
        <v>0</v>
      </c>
      <c r="O1173" s="274"/>
      <c r="P1173" s="274"/>
      <c r="Q1173" s="274"/>
      <c r="R1173" s="274"/>
      <c r="S1173" s="274">
        <f t="shared" si="2082"/>
        <v>0</v>
      </c>
      <c r="T1173" s="274"/>
      <c r="U1173" s="274"/>
      <c r="V1173" s="274"/>
      <c r="W1173" s="274"/>
      <c r="X1173" s="274">
        <f t="shared" si="2083"/>
        <v>0</v>
      </c>
      <c r="Y1173" s="274">
        <f t="shared" si="2084"/>
        <v>0</v>
      </c>
      <c r="Z1173" s="274">
        <f t="shared" si="2085"/>
        <v>0</v>
      </c>
      <c r="AA1173" s="274"/>
      <c r="AB1173" s="306">
        <f t="shared" si="2086"/>
        <v>0</v>
      </c>
    </row>
    <row r="1174" spans="1:28" s="90" customFormat="1" ht="14.1" hidden="1" customHeight="1" x14ac:dyDescent="0.2">
      <c r="A1174" s="301"/>
      <c r="B1174" s="350" t="s">
        <v>726</v>
      </c>
      <c r="C1174" s="718"/>
      <c r="D1174" s="718"/>
      <c r="E1174" s="718"/>
      <c r="F1174" s="370" t="s">
        <v>387</v>
      </c>
      <c r="G1174" s="149"/>
      <c r="H1174" s="149"/>
      <c r="I1174" s="329">
        <f t="shared" si="2079"/>
        <v>0</v>
      </c>
      <c r="J1174" s="329">
        <f t="shared" si="2080"/>
        <v>0</v>
      </c>
      <c r="K1174" s="274"/>
      <c r="L1174" s="274"/>
      <c r="M1174" s="274"/>
      <c r="N1174" s="275">
        <f t="shared" si="2081"/>
        <v>0</v>
      </c>
      <c r="O1174" s="274"/>
      <c r="P1174" s="274"/>
      <c r="Q1174" s="274"/>
      <c r="R1174" s="274"/>
      <c r="S1174" s="274">
        <f t="shared" si="2082"/>
        <v>0</v>
      </c>
      <c r="T1174" s="274"/>
      <c r="U1174" s="274"/>
      <c r="V1174" s="274"/>
      <c r="W1174" s="274"/>
      <c r="X1174" s="274">
        <f t="shared" si="2083"/>
        <v>0</v>
      </c>
      <c r="Y1174" s="274">
        <f t="shared" si="2084"/>
        <v>0</v>
      </c>
      <c r="Z1174" s="274">
        <f t="shared" si="2085"/>
        <v>0</v>
      </c>
      <c r="AA1174" s="274"/>
      <c r="AB1174" s="306">
        <f t="shared" si="2086"/>
        <v>0</v>
      </c>
    </row>
    <row r="1175" spans="1:28" s="90" customFormat="1" ht="14.1" hidden="1" customHeight="1" x14ac:dyDescent="0.2">
      <c r="A1175" s="301"/>
      <c r="B1175" s="350" t="s">
        <v>388</v>
      </c>
      <c r="C1175" s="101"/>
      <c r="D1175" s="101"/>
      <c r="E1175" s="101"/>
      <c r="F1175" s="370" t="s">
        <v>389</v>
      </c>
      <c r="G1175" s="149"/>
      <c r="H1175" s="149"/>
      <c r="I1175" s="329">
        <f t="shared" si="2079"/>
        <v>0</v>
      </c>
      <c r="J1175" s="329">
        <f t="shared" si="2080"/>
        <v>0</v>
      </c>
      <c r="K1175" s="274"/>
      <c r="L1175" s="274"/>
      <c r="M1175" s="274"/>
      <c r="N1175" s="275">
        <f t="shared" si="2081"/>
        <v>0</v>
      </c>
      <c r="O1175" s="274"/>
      <c r="P1175" s="274"/>
      <c r="Q1175" s="274"/>
      <c r="R1175" s="274"/>
      <c r="S1175" s="274">
        <f t="shared" si="2082"/>
        <v>0</v>
      </c>
      <c r="T1175" s="274"/>
      <c r="U1175" s="274"/>
      <c r="V1175" s="274"/>
      <c r="W1175" s="274"/>
      <c r="X1175" s="274">
        <f t="shared" si="2083"/>
        <v>0</v>
      </c>
      <c r="Y1175" s="274">
        <f t="shared" si="2084"/>
        <v>0</v>
      </c>
      <c r="Z1175" s="274">
        <f t="shared" si="2085"/>
        <v>0</v>
      </c>
      <c r="AA1175" s="274"/>
      <c r="AB1175" s="306">
        <f t="shared" si="2086"/>
        <v>0</v>
      </c>
    </row>
    <row r="1176" spans="1:28" s="90" customFormat="1" ht="14.1" hidden="1" customHeight="1" x14ac:dyDescent="0.2">
      <c r="A1176" s="301"/>
      <c r="B1176" s="350" t="s">
        <v>390</v>
      </c>
      <c r="C1176" s="101"/>
      <c r="D1176" s="101"/>
      <c r="E1176" s="101"/>
      <c r="F1176" s="370" t="s">
        <v>391</v>
      </c>
      <c r="G1176" s="149"/>
      <c r="H1176" s="149"/>
      <c r="I1176" s="329">
        <f t="shared" si="2079"/>
        <v>0</v>
      </c>
      <c r="J1176" s="329">
        <f t="shared" si="2080"/>
        <v>0</v>
      </c>
      <c r="K1176" s="274"/>
      <c r="L1176" s="274"/>
      <c r="M1176" s="274"/>
      <c r="N1176" s="275">
        <f t="shared" si="2081"/>
        <v>0</v>
      </c>
      <c r="O1176" s="274"/>
      <c r="P1176" s="274"/>
      <c r="Q1176" s="274"/>
      <c r="R1176" s="274"/>
      <c r="S1176" s="274">
        <f t="shared" si="2082"/>
        <v>0</v>
      </c>
      <c r="T1176" s="274"/>
      <c r="U1176" s="274"/>
      <c r="V1176" s="274"/>
      <c r="W1176" s="274"/>
      <c r="X1176" s="274">
        <f t="shared" si="2083"/>
        <v>0</v>
      </c>
      <c r="Y1176" s="274">
        <f t="shared" si="2084"/>
        <v>0</v>
      </c>
      <c r="Z1176" s="274">
        <f t="shared" si="2085"/>
        <v>0</v>
      </c>
      <c r="AA1176" s="274"/>
      <c r="AB1176" s="306">
        <f t="shared" si="2086"/>
        <v>0</v>
      </c>
    </row>
    <row r="1177" spans="1:28" s="90" customFormat="1" ht="14.1" hidden="1" customHeight="1" x14ac:dyDescent="0.2">
      <c r="A1177" s="301"/>
      <c r="B1177" s="350" t="s">
        <v>392</v>
      </c>
      <c r="C1177" s="101"/>
      <c r="D1177" s="101"/>
      <c r="E1177" s="101"/>
      <c r="F1177" s="370" t="s">
        <v>393</v>
      </c>
      <c r="G1177" s="149"/>
      <c r="H1177" s="149"/>
      <c r="I1177" s="329">
        <f t="shared" si="2079"/>
        <v>0</v>
      </c>
      <c r="J1177" s="329">
        <f t="shared" si="2080"/>
        <v>0</v>
      </c>
      <c r="K1177" s="274"/>
      <c r="L1177" s="274"/>
      <c r="M1177" s="274"/>
      <c r="N1177" s="275">
        <f t="shared" si="2081"/>
        <v>0</v>
      </c>
      <c r="O1177" s="274"/>
      <c r="P1177" s="274"/>
      <c r="Q1177" s="274"/>
      <c r="R1177" s="274"/>
      <c r="S1177" s="274">
        <f t="shared" si="2082"/>
        <v>0</v>
      </c>
      <c r="T1177" s="274"/>
      <c r="U1177" s="274"/>
      <c r="V1177" s="274"/>
      <c r="W1177" s="274"/>
      <c r="X1177" s="274">
        <f t="shared" si="2083"/>
        <v>0</v>
      </c>
      <c r="Y1177" s="274">
        <f t="shared" si="2084"/>
        <v>0</v>
      </c>
      <c r="Z1177" s="274">
        <f t="shared" si="2085"/>
        <v>0</v>
      </c>
      <c r="AA1177" s="274"/>
      <c r="AB1177" s="306">
        <f t="shared" si="2086"/>
        <v>0</v>
      </c>
    </row>
    <row r="1178" spans="1:28" s="90" customFormat="1" ht="14.1" hidden="1" customHeight="1" x14ac:dyDescent="0.2">
      <c r="A1178" s="301"/>
      <c r="B1178" s="350" t="s">
        <v>394</v>
      </c>
      <c r="C1178" s="101"/>
      <c r="D1178" s="101"/>
      <c r="E1178" s="101"/>
      <c r="F1178" s="370" t="s">
        <v>395</v>
      </c>
      <c r="G1178" s="149"/>
      <c r="H1178" s="149"/>
      <c r="I1178" s="329">
        <f t="shared" si="2079"/>
        <v>0</v>
      </c>
      <c r="J1178" s="329">
        <f t="shared" si="2080"/>
        <v>0</v>
      </c>
      <c r="K1178" s="274"/>
      <c r="L1178" s="274"/>
      <c r="M1178" s="274"/>
      <c r="N1178" s="275">
        <f t="shared" si="2081"/>
        <v>0</v>
      </c>
      <c r="O1178" s="274"/>
      <c r="P1178" s="274"/>
      <c r="Q1178" s="274"/>
      <c r="R1178" s="274"/>
      <c r="S1178" s="274">
        <f t="shared" si="2082"/>
        <v>0</v>
      </c>
      <c r="T1178" s="274"/>
      <c r="U1178" s="274"/>
      <c r="V1178" s="274"/>
      <c r="W1178" s="274"/>
      <c r="X1178" s="274">
        <f t="shared" si="2083"/>
        <v>0</v>
      </c>
      <c r="Y1178" s="274">
        <f t="shared" si="2084"/>
        <v>0</v>
      </c>
      <c r="Z1178" s="274">
        <f t="shared" si="2085"/>
        <v>0</v>
      </c>
      <c r="AA1178" s="274"/>
      <c r="AB1178" s="306">
        <f t="shared" si="2086"/>
        <v>0</v>
      </c>
    </row>
    <row r="1179" spans="1:28" s="90" customFormat="1" ht="14.1" hidden="1" customHeight="1" x14ac:dyDescent="0.2">
      <c r="A1179" s="301"/>
      <c r="B1179" s="350" t="s">
        <v>396</v>
      </c>
      <c r="C1179" s="101"/>
      <c r="D1179" s="101"/>
      <c r="E1179" s="101"/>
      <c r="F1179" s="370" t="s">
        <v>397</v>
      </c>
      <c r="G1179" s="149"/>
      <c r="H1179" s="149"/>
      <c r="I1179" s="329">
        <f t="shared" si="2079"/>
        <v>0</v>
      </c>
      <c r="J1179" s="329">
        <f t="shared" si="2080"/>
        <v>0</v>
      </c>
      <c r="K1179" s="274"/>
      <c r="L1179" s="274"/>
      <c r="M1179" s="274"/>
      <c r="N1179" s="275">
        <f t="shared" si="2081"/>
        <v>0</v>
      </c>
      <c r="O1179" s="274"/>
      <c r="P1179" s="274"/>
      <c r="Q1179" s="274"/>
      <c r="R1179" s="274"/>
      <c r="S1179" s="274">
        <f t="shared" si="2082"/>
        <v>0</v>
      </c>
      <c r="T1179" s="274"/>
      <c r="U1179" s="274"/>
      <c r="V1179" s="274"/>
      <c r="W1179" s="274"/>
      <c r="X1179" s="274">
        <f t="shared" si="2083"/>
        <v>0</v>
      </c>
      <c r="Y1179" s="274">
        <f t="shared" si="2084"/>
        <v>0</v>
      </c>
      <c r="Z1179" s="274">
        <f t="shared" si="2085"/>
        <v>0</v>
      </c>
      <c r="AA1179" s="274"/>
      <c r="AB1179" s="306">
        <f t="shared" si="2086"/>
        <v>0</v>
      </c>
    </row>
    <row r="1180" spans="1:28" s="90" customFormat="1" ht="14.1" hidden="1" customHeight="1" x14ac:dyDescent="0.2">
      <c r="A1180" s="301"/>
      <c r="B1180" s="350" t="s">
        <v>398</v>
      </c>
      <c r="C1180" s="101"/>
      <c r="D1180" s="101"/>
      <c r="E1180" s="101"/>
      <c r="F1180" s="370" t="s">
        <v>399</v>
      </c>
      <c r="G1180" s="149"/>
      <c r="H1180" s="149"/>
      <c r="I1180" s="329">
        <f t="shared" si="2079"/>
        <v>0</v>
      </c>
      <c r="J1180" s="329">
        <f t="shared" si="2080"/>
        <v>0</v>
      </c>
      <c r="K1180" s="274"/>
      <c r="L1180" s="274"/>
      <c r="M1180" s="274"/>
      <c r="N1180" s="275">
        <f t="shared" si="2081"/>
        <v>0</v>
      </c>
      <c r="O1180" s="274"/>
      <c r="P1180" s="274"/>
      <c r="Q1180" s="274"/>
      <c r="R1180" s="274"/>
      <c r="S1180" s="274">
        <f t="shared" si="2082"/>
        <v>0</v>
      </c>
      <c r="T1180" s="274"/>
      <c r="U1180" s="274"/>
      <c r="V1180" s="274"/>
      <c r="W1180" s="274"/>
      <c r="X1180" s="274">
        <f t="shared" si="2083"/>
        <v>0</v>
      </c>
      <c r="Y1180" s="274">
        <f t="shared" si="2084"/>
        <v>0</v>
      </c>
      <c r="Z1180" s="274">
        <f t="shared" si="2085"/>
        <v>0</v>
      </c>
      <c r="AA1180" s="274"/>
      <c r="AB1180" s="306">
        <f t="shared" si="2086"/>
        <v>0</v>
      </c>
    </row>
    <row r="1181" spans="1:28" s="90" customFormat="1" ht="14.1" hidden="1" customHeight="1" x14ac:dyDescent="0.2">
      <c r="A1181" s="301"/>
      <c r="B1181" s="350" t="s">
        <v>400</v>
      </c>
      <c r="C1181" s="101"/>
      <c r="D1181" s="101"/>
      <c r="E1181" s="101"/>
      <c r="F1181" s="370" t="s">
        <v>401</v>
      </c>
      <c r="G1181" s="149"/>
      <c r="H1181" s="149"/>
      <c r="I1181" s="329">
        <f t="shared" si="2079"/>
        <v>0</v>
      </c>
      <c r="J1181" s="329">
        <f t="shared" si="2080"/>
        <v>0</v>
      </c>
      <c r="K1181" s="274"/>
      <c r="L1181" s="274"/>
      <c r="M1181" s="274"/>
      <c r="N1181" s="275">
        <f t="shared" si="2081"/>
        <v>0</v>
      </c>
      <c r="O1181" s="274"/>
      <c r="P1181" s="274"/>
      <c r="Q1181" s="274"/>
      <c r="R1181" s="274"/>
      <c r="S1181" s="274">
        <f t="shared" si="2082"/>
        <v>0</v>
      </c>
      <c r="T1181" s="274"/>
      <c r="U1181" s="274"/>
      <c r="V1181" s="274"/>
      <c r="W1181" s="274"/>
      <c r="X1181" s="274">
        <f t="shared" si="2083"/>
        <v>0</v>
      </c>
      <c r="Y1181" s="274">
        <f t="shared" si="2084"/>
        <v>0</v>
      </c>
      <c r="Z1181" s="274">
        <f t="shared" si="2085"/>
        <v>0</v>
      </c>
      <c r="AA1181" s="274"/>
      <c r="AB1181" s="306">
        <f t="shared" si="2086"/>
        <v>0</v>
      </c>
    </row>
    <row r="1182" spans="1:28" s="90" customFormat="1" ht="14.1" hidden="1" customHeight="1" x14ac:dyDescent="0.2">
      <c r="A1182" s="301"/>
      <c r="B1182" s="350" t="s">
        <v>402</v>
      </c>
      <c r="C1182" s="101"/>
      <c r="D1182" s="101"/>
      <c r="E1182" s="101"/>
      <c r="F1182" s="370" t="s">
        <v>403</v>
      </c>
      <c r="G1182" s="149"/>
      <c r="H1182" s="149"/>
      <c r="I1182" s="329">
        <f t="shared" si="2079"/>
        <v>0</v>
      </c>
      <c r="J1182" s="329">
        <f t="shared" si="2080"/>
        <v>0</v>
      </c>
      <c r="K1182" s="274"/>
      <c r="L1182" s="274"/>
      <c r="M1182" s="274"/>
      <c r="N1182" s="275">
        <f t="shared" si="2081"/>
        <v>0</v>
      </c>
      <c r="O1182" s="274"/>
      <c r="P1182" s="274"/>
      <c r="Q1182" s="274"/>
      <c r="R1182" s="274"/>
      <c r="S1182" s="274">
        <f t="shared" si="2082"/>
        <v>0</v>
      </c>
      <c r="T1182" s="274"/>
      <c r="U1182" s="274"/>
      <c r="V1182" s="274"/>
      <c r="W1182" s="274"/>
      <c r="X1182" s="274">
        <f t="shared" si="2083"/>
        <v>0</v>
      </c>
      <c r="Y1182" s="274">
        <f t="shared" si="2084"/>
        <v>0</v>
      </c>
      <c r="Z1182" s="274">
        <f t="shared" si="2085"/>
        <v>0</v>
      </c>
      <c r="AA1182" s="274"/>
      <c r="AB1182" s="306">
        <f t="shared" si="2086"/>
        <v>0</v>
      </c>
    </row>
    <row r="1183" spans="1:28" s="90" customFormat="1" ht="14.1" hidden="1" customHeight="1" x14ac:dyDescent="0.2">
      <c r="A1183" s="301"/>
      <c r="B1183" s="350" t="s">
        <v>404</v>
      </c>
      <c r="C1183" s="101"/>
      <c r="D1183" s="101"/>
      <c r="E1183" s="101"/>
      <c r="F1183" s="370" t="s">
        <v>405</v>
      </c>
      <c r="G1183" s="149"/>
      <c r="H1183" s="149"/>
      <c r="I1183" s="329">
        <f t="shared" si="2079"/>
        <v>0</v>
      </c>
      <c r="J1183" s="329">
        <f t="shared" si="2080"/>
        <v>0</v>
      </c>
      <c r="K1183" s="274"/>
      <c r="L1183" s="274"/>
      <c r="M1183" s="274"/>
      <c r="N1183" s="275">
        <f t="shared" si="2081"/>
        <v>0</v>
      </c>
      <c r="O1183" s="274"/>
      <c r="P1183" s="274"/>
      <c r="Q1183" s="274"/>
      <c r="R1183" s="274"/>
      <c r="S1183" s="274">
        <f t="shared" si="2082"/>
        <v>0</v>
      </c>
      <c r="T1183" s="274"/>
      <c r="U1183" s="274"/>
      <c r="V1183" s="274"/>
      <c r="W1183" s="274"/>
      <c r="X1183" s="274">
        <f t="shared" si="2083"/>
        <v>0</v>
      </c>
      <c r="Y1183" s="274">
        <f t="shared" si="2084"/>
        <v>0</v>
      </c>
      <c r="Z1183" s="274">
        <f t="shared" si="2085"/>
        <v>0</v>
      </c>
      <c r="AA1183" s="274"/>
      <c r="AB1183" s="306">
        <f t="shared" si="2086"/>
        <v>0</v>
      </c>
    </row>
    <row r="1184" spans="1:28" s="90" customFormat="1" ht="14.1" hidden="1" customHeight="1" x14ac:dyDescent="0.2">
      <c r="A1184" s="301"/>
      <c r="B1184" s="350" t="s">
        <v>727</v>
      </c>
      <c r="C1184" s="718"/>
      <c r="D1184" s="718"/>
      <c r="E1184" s="718"/>
      <c r="F1184" s="370" t="s">
        <v>728</v>
      </c>
      <c r="G1184" s="149"/>
      <c r="H1184" s="149"/>
      <c r="I1184" s="329">
        <f t="shared" ref="I1184" si="2087">G1184+H1184</f>
        <v>0</v>
      </c>
      <c r="J1184" s="329">
        <f t="shared" ref="J1184" si="2088">I1184</f>
        <v>0</v>
      </c>
      <c r="K1184" s="274"/>
      <c r="L1184" s="274"/>
      <c r="M1184" s="274"/>
      <c r="N1184" s="275">
        <f t="shared" si="2081"/>
        <v>0</v>
      </c>
      <c r="O1184" s="274"/>
      <c r="P1184" s="274"/>
      <c r="Q1184" s="274"/>
      <c r="R1184" s="274"/>
      <c r="S1184" s="274">
        <f t="shared" ref="S1184" si="2089">SUM(O1184:R1184)</f>
        <v>0</v>
      </c>
      <c r="T1184" s="274"/>
      <c r="U1184" s="274"/>
      <c r="V1184" s="274"/>
      <c r="W1184" s="274"/>
      <c r="X1184" s="274">
        <f t="shared" ref="X1184" si="2090">SUM(T1184:W1184)</f>
        <v>0</v>
      </c>
      <c r="Y1184" s="274">
        <f t="shared" ref="Y1184" si="2091">I1184-N1184</f>
        <v>0</v>
      </c>
      <c r="Z1184" s="274">
        <f t="shared" ref="Z1184" si="2092">N1184-S1184</f>
        <v>0</v>
      </c>
      <c r="AA1184" s="274"/>
      <c r="AB1184" s="306">
        <f t="shared" ref="AB1184" si="2093">+S1184-X1184-AA1184</f>
        <v>0</v>
      </c>
    </row>
    <row r="1185" spans="1:28" s="90" customFormat="1" ht="14.1" hidden="1" customHeight="1" x14ac:dyDescent="0.2">
      <c r="A1185" s="301"/>
      <c r="B1185" s="350" t="s">
        <v>406</v>
      </c>
      <c r="C1185" s="101"/>
      <c r="D1185" s="101"/>
      <c r="E1185" s="101"/>
      <c r="F1185" s="370" t="s">
        <v>407</v>
      </c>
      <c r="G1185" s="149"/>
      <c r="H1185" s="149"/>
      <c r="I1185" s="329">
        <f t="shared" si="2079"/>
        <v>0</v>
      </c>
      <c r="J1185" s="329">
        <f t="shared" si="2080"/>
        <v>0</v>
      </c>
      <c r="K1185" s="274"/>
      <c r="L1185" s="274"/>
      <c r="M1185" s="274"/>
      <c r="N1185" s="275">
        <f t="shared" si="2081"/>
        <v>0</v>
      </c>
      <c r="O1185" s="274"/>
      <c r="P1185" s="274"/>
      <c r="Q1185" s="274"/>
      <c r="R1185" s="274"/>
      <c r="S1185" s="274">
        <f t="shared" si="2082"/>
        <v>0</v>
      </c>
      <c r="T1185" s="274"/>
      <c r="U1185" s="274"/>
      <c r="V1185" s="274"/>
      <c r="W1185" s="274"/>
      <c r="X1185" s="274">
        <f t="shared" si="2083"/>
        <v>0</v>
      </c>
      <c r="Y1185" s="274">
        <f t="shared" si="2084"/>
        <v>0</v>
      </c>
      <c r="Z1185" s="274">
        <f t="shared" si="2085"/>
        <v>0</v>
      </c>
      <c r="AA1185" s="274"/>
      <c r="AB1185" s="306">
        <f t="shared" si="2086"/>
        <v>0</v>
      </c>
    </row>
    <row r="1186" spans="1:28" s="90" customFormat="1" ht="14.1" customHeight="1" x14ac:dyDescent="0.2">
      <c r="A1186" s="301"/>
      <c r="B1186" s="351" t="s">
        <v>408</v>
      </c>
      <c r="C1186" s="101"/>
      <c r="D1186" s="101"/>
      <c r="E1186" s="101"/>
      <c r="F1186" s="370"/>
      <c r="G1186" s="149"/>
      <c r="H1186" s="149"/>
      <c r="I1186" s="149"/>
      <c r="J1186" s="149"/>
      <c r="K1186" s="159"/>
      <c r="L1186" s="159"/>
      <c r="M1186" s="159"/>
      <c r="N1186" s="159"/>
      <c r="O1186" s="159"/>
      <c r="P1186" s="159"/>
      <c r="Q1186" s="159"/>
      <c r="R1186" s="159"/>
      <c r="S1186" s="159"/>
      <c r="T1186" s="159"/>
      <c r="U1186" s="159"/>
      <c r="V1186" s="159"/>
      <c r="W1186" s="159"/>
      <c r="X1186" s="159"/>
      <c r="Y1186" s="159"/>
      <c r="Z1186" s="159"/>
      <c r="AA1186" s="159"/>
      <c r="AB1186" s="583"/>
    </row>
    <row r="1187" spans="1:28" s="90" customFormat="1" ht="14.1" hidden="1" customHeight="1" x14ac:dyDescent="0.2">
      <c r="A1187" s="301"/>
      <c r="B1187" s="350" t="s">
        <v>409</v>
      </c>
      <c r="C1187" s="101"/>
      <c r="D1187" s="101"/>
      <c r="E1187" s="101"/>
      <c r="F1187" s="370" t="s">
        <v>410</v>
      </c>
      <c r="G1187" s="149"/>
      <c r="H1187" s="149"/>
      <c r="I1187" s="329">
        <f t="shared" ref="I1187:I1189" si="2094">G1187+H1187</f>
        <v>0</v>
      </c>
      <c r="J1187" s="329">
        <f t="shared" ref="J1187:J1189" si="2095">I1187</f>
        <v>0</v>
      </c>
      <c r="K1187" s="274"/>
      <c r="L1187" s="274"/>
      <c r="M1187" s="274"/>
      <c r="N1187" s="275">
        <f t="shared" ref="N1187:N1189" si="2096">J1187+K1187-L1187+M1187</f>
        <v>0</v>
      </c>
      <c r="O1187" s="274"/>
      <c r="P1187" s="274"/>
      <c r="Q1187" s="274"/>
      <c r="R1187" s="274"/>
      <c r="S1187" s="274">
        <f t="shared" ref="S1187:S1189" si="2097">SUM(O1187:R1187)</f>
        <v>0</v>
      </c>
      <c r="T1187" s="274"/>
      <c r="U1187" s="274"/>
      <c r="V1187" s="274"/>
      <c r="W1187" s="274"/>
      <c r="X1187" s="274">
        <f t="shared" ref="X1187:X1189" si="2098">SUM(T1187:W1187)</f>
        <v>0</v>
      </c>
      <c r="Y1187" s="274">
        <f t="shared" ref="Y1187:Y1189" si="2099">I1187-N1187</f>
        <v>0</v>
      </c>
      <c r="Z1187" s="274">
        <f t="shared" ref="Z1187:Z1189" si="2100">N1187-S1187</f>
        <v>0</v>
      </c>
      <c r="AA1187" s="274"/>
      <c r="AB1187" s="306">
        <f t="shared" ref="AB1187:AB1189" si="2101">+S1187-X1187-AA1187</f>
        <v>0</v>
      </c>
    </row>
    <row r="1188" spans="1:28" s="90" customFormat="1" ht="14.1" customHeight="1" x14ac:dyDescent="0.2">
      <c r="A1188" s="301"/>
      <c r="B1188" s="350" t="s">
        <v>411</v>
      </c>
      <c r="C1188" s="101"/>
      <c r="D1188" s="101"/>
      <c r="E1188" s="101"/>
      <c r="F1188" s="370" t="s">
        <v>412</v>
      </c>
      <c r="G1188" s="149">
        <v>15000</v>
      </c>
      <c r="H1188" s="149"/>
      <c r="I1188" s="329">
        <f t="shared" si="2094"/>
        <v>15000</v>
      </c>
      <c r="J1188" s="329">
        <f t="shared" si="2095"/>
        <v>15000</v>
      </c>
      <c r="K1188" s="274"/>
      <c r="L1188" s="274"/>
      <c r="M1188" s="274"/>
      <c r="N1188" s="275">
        <f t="shared" si="2096"/>
        <v>15000</v>
      </c>
      <c r="O1188" s="274"/>
      <c r="P1188" s="274"/>
      <c r="Q1188" s="274"/>
      <c r="R1188" s="274"/>
      <c r="S1188" s="274">
        <f t="shared" si="2097"/>
        <v>0</v>
      </c>
      <c r="T1188" s="274"/>
      <c r="U1188" s="274"/>
      <c r="V1188" s="274"/>
      <c r="W1188" s="274"/>
      <c r="X1188" s="274">
        <f t="shared" si="2098"/>
        <v>0</v>
      </c>
      <c r="Y1188" s="274">
        <f t="shared" si="2099"/>
        <v>0</v>
      </c>
      <c r="Z1188" s="274">
        <f t="shared" si="2100"/>
        <v>15000</v>
      </c>
      <c r="AA1188" s="274"/>
      <c r="AB1188" s="306">
        <f t="shared" si="2101"/>
        <v>0</v>
      </c>
    </row>
    <row r="1189" spans="1:28" s="90" customFormat="1" ht="14.1" customHeight="1" x14ac:dyDescent="0.2">
      <c r="A1189" s="301"/>
      <c r="B1189" s="350" t="s">
        <v>413</v>
      </c>
      <c r="C1189" s="101"/>
      <c r="D1189" s="101"/>
      <c r="E1189" s="101"/>
      <c r="F1189" s="370" t="s">
        <v>414</v>
      </c>
      <c r="G1189" s="149">
        <v>8978.98</v>
      </c>
      <c r="H1189" s="149"/>
      <c r="I1189" s="329">
        <f t="shared" si="2094"/>
        <v>8978.98</v>
      </c>
      <c r="J1189" s="329">
        <f t="shared" si="2095"/>
        <v>8978.98</v>
      </c>
      <c r="K1189" s="274"/>
      <c r="L1189" s="274"/>
      <c r="M1189" s="274"/>
      <c r="N1189" s="275">
        <f t="shared" si="2096"/>
        <v>8978.98</v>
      </c>
      <c r="O1189" s="274"/>
      <c r="P1189" s="274"/>
      <c r="Q1189" s="274">
        <v>8978.98</v>
      </c>
      <c r="R1189" s="274"/>
      <c r="S1189" s="274">
        <f t="shared" si="2097"/>
        <v>8978.98</v>
      </c>
      <c r="T1189" s="274"/>
      <c r="U1189" s="274"/>
      <c r="V1189" s="274">
        <v>8978.98</v>
      </c>
      <c r="W1189" s="274"/>
      <c r="X1189" s="274">
        <f t="shared" si="2098"/>
        <v>8978.98</v>
      </c>
      <c r="Y1189" s="274">
        <f t="shared" si="2099"/>
        <v>0</v>
      </c>
      <c r="Z1189" s="274">
        <f t="shared" si="2100"/>
        <v>0</v>
      </c>
      <c r="AA1189" s="274"/>
      <c r="AB1189" s="306">
        <f t="shared" si="2101"/>
        <v>0</v>
      </c>
    </row>
    <row r="1190" spans="1:28" s="90" customFormat="1" ht="14.1" customHeight="1" x14ac:dyDescent="0.2">
      <c r="A1190" s="301"/>
      <c r="B1190" s="351" t="s">
        <v>415</v>
      </c>
      <c r="C1190" s="101"/>
      <c r="D1190" s="101"/>
      <c r="E1190" s="101"/>
      <c r="F1190" s="370"/>
      <c r="G1190" s="149"/>
      <c r="H1190" s="149"/>
      <c r="I1190" s="149"/>
      <c r="J1190" s="149"/>
      <c r="K1190" s="159"/>
      <c r="L1190" s="159"/>
      <c r="M1190" s="159"/>
      <c r="N1190" s="159"/>
      <c r="O1190" s="159"/>
      <c r="P1190" s="159"/>
      <c r="Q1190" s="159"/>
      <c r="R1190" s="159"/>
      <c r="S1190" s="159"/>
      <c r="T1190" s="159"/>
      <c r="U1190" s="159"/>
      <c r="V1190" s="159"/>
      <c r="W1190" s="159"/>
      <c r="X1190" s="159"/>
      <c r="Y1190" s="159"/>
      <c r="Z1190" s="159"/>
      <c r="AA1190" s="159"/>
      <c r="AB1190" s="583"/>
    </row>
    <row r="1191" spans="1:28" s="90" customFormat="1" ht="14.1" hidden="1" customHeight="1" x14ac:dyDescent="0.2">
      <c r="A1191" s="301"/>
      <c r="B1191" s="350" t="s">
        <v>416</v>
      </c>
      <c r="C1191" s="101"/>
      <c r="D1191" s="101"/>
      <c r="E1191" s="101"/>
      <c r="F1191" s="370" t="s">
        <v>417</v>
      </c>
      <c r="G1191" s="149"/>
      <c r="H1191" s="149"/>
      <c r="I1191" s="329">
        <f t="shared" ref="I1191:I1203" si="2102">G1191+H1191</f>
        <v>0</v>
      </c>
      <c r="J1191" s="329">
        <f t="shared" ref="J1191:J1203" si="2103">I1191</f>
        <v>0</v>
      </c>
      <c r="K1191" s="274"/>
      <c r="L1191" s="274"/>
      <c r="M1191" s="274"/>
      <c r="N1191" s="275">
        <f t="shared" ref="N1191:N1203" si="2104">J1191+K1191-L1191+M1191</f>
        <v>0</v>
      </c>
      <c r="O1191" s="274"/>
      <c r="P1191" s="274"/>
      <c r="Q1191" s="274"/>
      <c r="R1191" s="274"/>
      <c r="S1191" s="274">
        <f t="shared" ref="S1191:S1203" si="2105">SUM(O1191:R1191)</f>
        <v>0</v>
      </c>
      <c r="T1191" s="274"/>
      <c r="U1191" s="274"/>
      <c r="V1191" s="274"/>
      <c r="W1191" s="274"/>
      <c r="X1191" s="274">
        <f t="shared" ref="X1191:X1203" si="2106">SUM(T1191:W1191)</f>
        <v>0</v>
      </c>
      <c r="Y1191" s="274">
        <f t="shared" ref="Y1191:Y1203" si="2107">I1191-N1191</f>
        <v>0</v>
      </c>
      <c r="Z1191" s="274">
        <f t="shared" ref="Z1191:Z1203" si="2108">N1191-S1191</f>
        <v>0</v>
      </c>
      <c r="AA1191" s="274"/>
      <c r="AB1191" s="306">
        <f t="shared" ref="AB1191:AB1203" si="2109">+S1191-X1191-AA1191</f>
        <v>0</v>
      </c>
    </row>
    <row r="1192" spans="1:28" s="90" customFormat="1" ht="14.1" hidden="1" customHeight="1" x14ac:dyDescent="0.2">
      <c r="A1192" s="301"/>
      <c r="B1192" s="350" t="s">
        <v>418</v>
      </c>
      <c r="C1192" s="101"/>
      <c r="D1192" s="101"/>
      <c r="E1192" s="101"/>
      <c r="F1192" s="370" t="s">
        <v>419</v>
      </c>
      <c r="G1192" s="149"/>
      <c r="H1192" s="149"/>
      <c r="I1192" s="329">
        <f t="shared" si="2102"/>
        <v>0</v>
      </c>
      <c r="J1192" s="329">
        <f t="shared" si="2103"/>
        <v>0</v>
      </c>
      <c r="K1192" s="274"/>
      <c r="L1192" s="274"/>
      <c r="M1192" s="274"/>
      <c r="N1192" s="275">
        <f t="shared" si="2104"/>
        <v>0</v>
      </c>
      <c r="O1192" s="274"/>
      <c r="P1192" s="274"/>
      <c r="Q1192" s="274"/>
      <c r="R1192" s="274"/>
      <c r="S1192" s="274">
        <f t="shared" si="2105"/>
        <v>0</v>
      </c>
      <c r="T1192" s="274"/>
      <c r="U1192" s="274"/>
      <c r="V1192" s="274"/>
      <c r="W1192" s="274"/>
      <c r="X1192" s="274">
        <f t="shared" si="2106"/>
        <v>0</v>
      </c>
      <c r="Y1192" s="274">
        <f t="shared" si="2107"/>
        <v>0</v>
      </c>
      <c r="Z1192" s="274">
        <f t="shared" si="2108"/>
        <v>0</v>
      </c>
      <c r="AA1192" s="274"/>
      <c r="AB1192" s="306">
        <f t="shared" si="2109"/>
        <v>0</v>
      </c>
    </row>
    <row r="1193" spans="1:28" s="90" customFormat="1" ht="14.1" hidden="1" customHeight="1" x14ac:dyDescent="0.2">
      <c r="A1193" s="301"/>
      <c r="B1193" s="350" t="s">
        <v>420</v>
      </c>
      <c r="C1193" s="101"/>
      <c r="D1193" s="101"/>
      <c r="E1193" s="101"/>
      <c r="F1193" s="370" t="s">
        <v>421</v>
      </c>
      <c r="G1193" s="149"/>
      <c r="H1193" s="149"/>
      <c r="I1193" s="329">
        <f t="shared" si="2102"/>
        <v>0</v>
      </c>
      <c r="J1193" s="329">
        <f t="shared" si="2103"/>
        <v>0</v>
      </c>
      <c r="K1193" s="274"/>
      <c r="L1193" s="274"/>
      <c r="M1193" s="274"/>
      <c r="N1193" s="275">
        <f t="shared" si="2104"/>
        <v>0</v>
      </c>
      <c r="O1193" s="274"/>
      <c r="P1193" s="274"/>
      <c r="Q1193" s="274"/>
      <c r="R1193" s="274"/>
      <c r="S1193" s="274">
        <f t="shared" si="2105"/>
        <v>0</v>
      </c>
      <c r="T1193" s="274"/>
      <c r="U1193" s="274"/>
      <c r="V1193" s="274"/>
      <c r="W1193" s="274"/>
      <c r="X1193" s="274">
        <f t="shared" si="2106"/>
        <v>0</v>
      </c>
      <c r="Y1193" s="274">
        <f t="shared" si="2107"/>
        <v>0</v>
      </c>
      <c r="Z1193" s="274">
        <f t="shared" si="2108"/>
        <v>0</v>
      </c>
      <c r="AA1193" s="274"/>
      <c r="AB1193" s="306">
        <f t="shared" si="2109"/>
        <v>0</v>
      </c>
    </row>
    <row r="1194" spans="1:28" s="90" customFormat="1" ht="14.1" customHeight="1" x14ac:dyDescent="0.2">
      <c r="A1194" s="301"/>
      <c r="B1194" s="350" t="s">
        <v>422</v>
      </c>
      <c r="C1194" s="101"/>
      <c r="D1194" s="101"/>
      <c r="E1194" s="101"/>
      <c r="F1194" s="370" t="s">
        <v>423</v>
      </c>
      <c r="G1194" s="149">
        <v>7200</v>
      </c>
      <c r="H1194" s="149"/>
      <c r="I1194" s="329">
        <f t="shared" si="2102"/>
        <v>7200</v>
      </c>
      <c r="J1194" s="329">
        <f t="shared" si="2103"/>
        <v>7200</v>
      </c>
      <c r="K1194" s="274"/>
      <c r="L1194" s="274"/>
      <c r="M1194" s="274"/>
      <c r="N1194" s="275">
        <f t="shared" si="2104"/>
        <v>7200</v>
      </c>
      <c r="O1194" s="274"/>
      <c r="P1194" s="274"/>
      <c r="Q1194" s="274">
        <f>2647.5+4552.5</f>
        <v>7200</v>
      </c>
      <c r="R1194" s="274"/>
      <c r="S1194" s="274">
        <f t="shared" si="2105"/>
        <v>7200</v>
      </c>
      <c r="T1194" s="274"/>
      <c r="U1194" s="274"/>
      <c r="V1194" s="274">
        <f>2647.5+4552.5</f>
        <v>7200</v>
      </c>
      <c r="W1194" s="274"/>
      <c r="X1194" s="274">
        <f t="shared" si="2106"/>
        <v>7200</v>
      </c>
      <c r="Y1194" s="274">
        <f t="shared" si="2107"/>
        <v>0</v>
      </c>
      <c r="Z1194" s="274">
        <f t="shared" si="2108"/>
        <v>0</v>
      </c>
      <c r="AA1194" s="274"/>
      <c r="AB1194" s="306">
        <f t="shared" si="2109"/>
        <v>0</v>
      </c>
    </row>
    <row r="1195" spans="1:28" s="90" customFormat="1" ht="14.1" customHeight="1" x14ac:dyDescent="0.2">
      <c r="A1195" s="301"/>
      <c r="B1195" s="350" t="s">
        <v>424</v>
      </c>
      <c r="C1195" s="101"/>
      <c r="D1195" s="101"/>
      <c r="E1195" s="101"/>
      <c r="F1195" s="370" t="s">
        <v>425</v>
      </c>
      <c r="G1195" s="149">
        <v>5871.4</v>
      </c>
      <c r="H1195" s="149"/>
      <c r="I1195" s="329">
        <f t="shared" si="2102"/>
        <v>5871.4</v>
      </c>
      <c r="J1195" s="329">
        <f t="shared" si="2103"/>
        <v>5871.4</v>
      </c>
      <c r="K1195" s="274"/>
      <c r="L1195" s="274"/>
      <c r="M1195" s="274"/>
      <c r="N1195" s="275">
        <f t="shared" si="2104"/>
        <v>5871.4</v>
      </c>
      <c r="O1195" s="274"/>
      <c r="P1195" s="274">
        <f>2872+2218</f>
        <v>5090</v>
      </c>
      <c r="Q1195" s="274">
        <f>585+196.4</f>
        <v>781.4</v>
      </c>
      <c r="R1195" s="274"/>
      <c r="S1195" s="274">
        <f t="shared" si="2105"/>
        <v>5871.4</v>
      </c>
      <c r="T1195" s="274"/>
      <c r="U1195" s="274">
        <f>2872+2218</f>
        <v>5090</v>
      </c>
      <c r="V1195" s="274">
        <f>585+196.4</f>
        <v>781.4</v>
      </c>
      <c r="W1195" s="274"/>
      <c r="X1195" s="274">
        <f t="shared" si="2106"/>
        <v>5871.4</v>
      </c>
      <c r="Y1195" s="274">
        <f t="shared" si="2107"/>
        <v>0</v>
      </c>
      <c r="Z1195" s="274">
        <f t="shared" si="2108"/>
        <v>0</v>
      </c>
      <c r="AA1195" s="274"/>
      <c r="AB1195" s="306">
        <f t="shared" si="2109"/>
        <v>0</v>
      </c>
    </row>
    <row r="1196" spans="1:28" s="90" customFormat="1" ht="14.1" hidden="1" customHeight="1" x14ac:dyDescent="0.2">
      <c r="A1196" s="301"/>
      <c r="B1196" s="350" t="s">
        <v>426</v>
      </c>
      <c r="C1196" s="101"/>
      <c r="D1196" s="101"/>
      <c r="E1196" s="101"/>
      <c r="F1196" s="370" t="s">
        <v>427</v>
      </c>
      <c r="G1196" s="149"/>
      <c r="H1196" s="149"/>
      <c r="I1196" s="329">
        <f t="shared" si="2102"/>
        <v>0</v>
      </c>
      <c r="J1196" s="329">
        <f t="shared" si="2103"/>
        <v>0</v>
      </c>
      <c r="K1196" s="274"/>
      <c r="L1196" s="274"/>
      <c r="M1196" s="274"/>
      <c r="N1196" s="275">
        <f t="shared" si="2104"/>
        <v>0</v>
      </c>
      <c r="O1196" s="274"/>
      <c r="P1196" s="274"/>
      <c r="Q1196" s="274"/>
      <c r="R1196" s="274"/>
      <c r="S1196" s="274">
        <f t="shared" si="2105"/>
        <v>0</v>
      </c>
      <c r="T1196" s="274"/>
      <c r="U1196" s="274"/>
      <c r="V1196" s="274"/>
      <c r="W1196" s="274"/>
      <c r="X1196" s="274">
        <f t="shared" si="2106"/>
        <v>0</v>
      </c>
      <c r="Y1196" s="274">
        <f t="shared" si="2107"/>
        <v>0</v>
      </c>
      <c r="Z1196" s="274">
        <f t="shared" si="2108"/>
        <v>0</v>
      </c>
      <c r="AA1196" s="274"/>
      <c r="AB1196" s="306">
        <f t="shared" si="2109"/>
        <v>0</v>
      </c>
    </row>
    <row r="1197" spans="1:28" s="90" customFormat="1" ht="14.1" hidden="1" customHeight="1" x14ac:dyDescent="0.2">
      <c r="A1197" s="301"/>
      <c r="B1197" s="350" t="s">
        <v>428</v>
      </c>
      <c r="C1197" s="101"/>
      <c r="D1197" s="101"/>
      <c r="E1197" s="101"/>
      <c r="F1197" s="370" t="s">
        <v>429</v>
      </c>
      <c r="G1197" s="149"/>
      <c r="H1197" s="149"/>
      <c r="I1197" s="329">
        <f t="shared" si="2102"/>
        <v>0</v>
      </c>
      <c r="J1197" s="329">
        <f t="shared" si="2103"/>
        <v>0</v>
      </c>
      <c r="K1197" s="274"/>
      <c r="L1197" s="274"/>
      <c r="M1197" s="274"/>
      <c r="N1197" s="275">
        <f t="shared" si="2104"/>
        <v>0</v>
      </c>
      <c r="O1197" s="274"/>
      <c r="P1197" s="274"/>
      <c r="Q1197" s="274"/>
      <c r="R1197" s="274"/>
      <c r="S1197" s="274">
        <f t="shared" si="2105"/>
        <v>0</v>
      </c>
      <c r="T1197" s="274"/>
      <c r="U1197" s="274"/>
      <c r="V1197" s="274"/>
      <c r="W1197" s="274"/>
      <c r="X1197" s="274">
        <f t="shared" si="2106"/>
        <v>0</v>
      </c>
      <c r="Y1197" s="274">
        <f t="shared" si="2107"/>
        <v>0</v>
      </c>
      <c r="Z1197" s="274">
        <f t="shared" si="2108"/>
        <v>0</v>
      </c>
      <c r="AA1197" s="274"/>
      <c r="AB1197" s="306">
        <f t="shared" si="2109"/>
        <v>0</v>
      </c>
    </row>
    <row r="1198" spans="1:28" s="90" customFormat="1" ht="14.1" hidden="1" customHeight="1" x14ac:dyDescent="0.2">
      <c r="A1198" s="301"/>
      <c r="B1198" s="350" t="s">
        <v>718</v>
      </c>
      <c r="C1198" s="615"/>
      <c r="D1198" s="615"/>
      <c r="E1198" s="615"/>
      <c r="F1198" s="370" t="s">
        <v>719</v>
      </c>
      <c r="G1198" s="149"/>
      <c r="H1198" s="149"/>
      <c r="I1198" s="329">
        <f t="shared" si="2102"/>
        <v>0</v>
      </c>
      <c r="J1198" s="329">
        <f t="shared" si="2103"/>
        <v>0</v>
      </c>
      <c r="K1198" s="274"/>
      <c r="L1198" s="274"/>
      <c r="M1198" s="274"/>
      <c r="N1198" s="275">
        <f t="shared" si="2104"/>
        <v>0</v>
      </c>
      <c r="O1198" s="274"/>
      <c r="P1198" s="274"/>
      <c r="Q1198" s="274"/>
      <c r="R1198" s="274"/>
      <c r="S1198" s="274">
        <f t="shared" si="2105"/>
        <v>0</v>
      </c>
      <c r="T1198" s="274"/>
      <c r="U1198" s="274"/>
      <c r="V1198" s="274"/>
      <c r="W1198" s="274"/>
      <c r="X1198" s="274">
        <f t="shared" si="2106"/>
        <v>0</v>
      </c>
      <c r="Y1198" s="274">
        <f t="shared" si="2107"/>
        <v>0</v>
      </c>
      <c r="Z1198" s="274">
        <f t="shared" si="2108"/>
        <v>0</v>
      </c>
      <c r="AA1198" s="274"/>
      <c r="AB1198" s="306">
        <f t="shared" si="2109"/>
        <v>0</v>
      </c>
    </row>
    <row r="1199" spans="1:28" s="90" customFormat="1" ht="14.1" hidden="1" customHeight="1" x14ac:dyDescent="0.2">
      <c r="A1199" s="301"/>
      <c r="B1199" s="350" t="s">
        <v>432</v>
      </c>
      <c r="C1199" s="101"/>
      <c r="D1199" s="101"/>
      <c r="E1199" s="101"/>
      <c r="F1199" s="370" t="s">
        <v>433</v>
      </c>
      <c r="G1199" s="149"/>
      <c r="H1199" s="149"/>
      <c r="I1199" s="329">
        <f t="shared" si="2102"/>
        <v>0</v>
      </c>
      <c r="J1199" s="329">
        <f t="shared" si="2103"/>
        <v>0</v>
      </c>
      <c r="K1199" s="274"/>
      <c r="L1199" s="274"/>
      <c r="M1199" s="274"/>
      <c r="N1199" s="275">
        <f t="shared" si="2104"/>
        <v>0</v>
      </c>
      <c r="O1199" s="274"/>
      <c r="P1199" s="274"/>
      <c r="Q1199" s="274"/>
      <c r="R1199" s="274"/>
      <c r="S1199" s="274">
        <f t="shared" si="2105"/>
        <v>0</v>
      </c>
      <c r="T1199" s="274"/>
      <c r="U1199" s="274"/>
      <c r="V1199" s="274"/>
      <c r="W1199" s="274"/>
      <c r="X1199" s="274">
        <f t="shared" si="2106"/>
        <v>0</v>
      </c>
      <c r="Y1199" s="274">
        <f t="shared" si="2107"/>
        <v>0</v>
      </c>
      <c r="Z1199" s="274">
        <f t="shared" si="2108"/>
        <v>0</v>
      </c>
      <c r="AA1199" s="274"/>
      <c r="AB1199" s="306">
        <f t="shared" si="2109"/>
        <v>0</v>
      </c>
    </row>
    <row r="1200" spans="1:28" s="90" customFormat="1" ht="14.1" hidden="1" customHeight="1" x14ac:dyDescent="0.2">
      <c r="A1200" s="301"/>
      <c r="B1200" s="350" t="s">
        <v>730</v>
      </c>
      <c r="C1200" s="744"/>
      <c r="D1200" s="744"/>
      <c r="E1200" s="744"/>
      <c r="F1200" s="370" t="s">
        <v>733</v>
      </c>
      <c r="G1200" s="149"/>
      <c r="H1200" s="149"/>
      <c r="I1200" s="329">
        <f t="shared" si="2102"/>
        <v>0</v>
      </c>
      <c r="J1200" s="329">
        <f t="shared" si="2103"/>
        <v>0</v>
      </c>
      <c r="K1200" s="274"/>
      <c r="L1200" s="274"/>
      <c r="M1200" s="274"/>
      <c r="N1200" s="275">
        <f t="shared" si="2104"/>
        <v>0</v>
      </c>
      <c r="O1200" s="274"/>
      <c r="P1200" s="274"/>
      <c r="Q1200" s="274"/>
      <c r="R1200" s="274"/>
      <c r="S1200" s="274">
        <f t="shared" si="2105"/>
        <v>0</v>
      </c>
      <c r="T1200" s="274"/>
      <c r="U1200" s="274"/>
      <c r="V1200" s="274"/>
      <c r="W1200" s="274"/>
      <c r="X1200" s="274">
        <f t="shared" si="2106"/>
        <v>0</v>
      </c>
      <c r="Y1200" s="274">
        <f t="shared" si="2107"/>
        <v>0</v>
      </c>
      <c r="Z1200" s="274">
        <f t="shared" si="2108"/>
        <v>0</v>
      </c>
      <c r="AA1200" s="274"/>
      <c r="AB1200" s="306">
        <f t="shared" si="2109"/>
        <v>0</v>
      </c>
    </row>
    <row r="1201" spans="1:28" s="90" customFormat="1" ht="14.1" customHeight="1" x14ac:dyDescent="0.2">
      <c r="A1201" s="301"/>
      <c r="B1201" s="350" t="s">
        <v>737</v>
      </c>
      <c r="C1201" s="744"/>
      <c r="D1201" s="744"/>
      <c r="E1201" s="744"/>
      <c r="F1201" s="370" t="s">
        <v>738</v>
      </c>
      <c r="G1201" s="149">
        <v>3590</v>
      </c>
      <c r="H1201" s="149"/>
      <c r="I1201" s="329">
        <f t="shared" ref="I1201:I1202" si="2110">G1201+H1201</f>
        <v>3590</v>
      </c>
      <c r="J1201" s="329">
        <f t="shared" ref="J1201:J1202" si="2111">I1201</f>
        <v>3590</v>
      </c>
      <c r="K1201" s="274"/>
      <c r="L1201" s="274"/>
      <c r="M1201" s="274"/>
      <c r="N1201" s="275">
        <f t="shared" si="2104"/>
        <v>3590</v>
      </c>
      <c r="O1201" s="274"/>
      <c r="P1201" s="274"/>
      <c r="Q1201" s="274"/>
      <c r="R1201" s="274">
        <f>795+1790+1005</f>
        <v>3590</v>
      </c>
      <c r="S1201" s="274">
        <f t="shared" ref="S1201:S1202" si="2112">SUM(O1201:R1201)</f>
        <v>3590</v>
      </c>
      <c r="T1201" s="274"/>
      <c r="U1201" s="274"/>
      <c r="V1201" s="274"/>
      <c r="W1201" s="274">
        <f>795+1790+1005</f>
        <v>3590</v>
      </c>
      <c r="X1201" s="274">
        <f t="shared" ref="X1201:X1202" si="2113">SUM(T1201:W1201)</f>
        <v>3590</v>
      </c>
      <c r="Y1201" s="274">
        <f t="shared" ref="Y1201:Y1202" si="2114">I1201-N1201</f>
        <v>0</v>
      </c>
      <c r="Z1201" s="274">
        <f t="shared" ref="Z1201:Z1202" si="2115">N1201-S1201</f>
        <v>0</v>
      </c>
      <c r="AA1201" s="274"/>
      <c r="AB1201" s="306">
        <f t="shared" ref="AB1201:AB1202" si="2116">+S1201-X1201-AA1201</f>
        <v>0</v>
      </c>
    </row>
    <row r="1202" spans="1:28" s="90" customFormat="1" ht="14.1" hidden="1" customHeight="1" x14ac:dyDescent="0.2">
      <c r="A1202" s="301"/>
      <c r="B1202" s="350" t="s">
        <v>434</v>
      </c>
      <c r="C1202" s="718"/>
      <c r="D1202" s="718"/>
      <c r="E1202" s="718"/>
      <c r="F1202" s="370" t="s">
        <v>435</v>
      </c>
      <c r="G1202" s="149"/>
      <c r="H1202" s="149"/>
      <c r="I1202" s="329">
        <f t="shared" si="2110"/>
        <v>0</v>
      </c>
      <c r="J1202" s="329">
        <f t="shared" si="2111"/>
        <v>0</v>
      </c>
      <c r="K1202" s="274"/>
      <c r="L1202" s="274"/>
      <c r="M1202" s="274"/>
      <c r="N1202" s="275">
        <f t="shared" si="2104"/>
        <v>0</v>
      </c>
      <c r="O1202" s="274"/>
      <c r="P1202" s="274"/>
      <c r="Q1202" s="274"/>
      <c r="R1202" s="274"/>
      <c r="S1202" s="274">
        <f t="shared" si="2112"/>
        <v>0</v>
      </c>
      <c r="T1202" s="274"/>
      <c r="U1202" s="274"/>
      <c r="V1202" s="274"/>
      <c r="W1202" s="274"/>
      <c r="X1202" s="274">
        <f t="shared" si="2113"/>
        <v>0</v>
      </c>
      <c r="Y1202" s="274">
        <f t="shared" si="2114"/>
        <v>0</v>
      </c>
      <c r="Z1202" s="274">
        <f t="shared" si="2115"/>
        <v>0</v>
      </c>
      <c r="AA1202" s="274"/>
      <c r="AB1202" s="306">
        <f t="shared" si="2116"/>
        <v>0</v>
      </c>
    </row>
    <row r="1203" spans="1:28" s="90" customFormat="1" ht="14.1" hidden="1" customHeight="1" x14ac:dyDescent="0.2">
      <c r="A1203" s="301"/>
      <c r="B1203" s="350" t="s">
        <v>732</v>
      </c>
      <c r="C1203" s="718"/>
      <c r="D1203" s="718"/>
      <c r="E1203" s="718"/>
      <c r="F1203" s="370" t="s">
        <v>731</v>
      </c>
      <c r="G1203" s="149"/>
      <c r="H1203" s="149"/>
      <c r="I1203" s="329">
        <f t="shared" si="2102"/>
        <v>0</v>
      </c>
      <c r="J1203" s="329">
        <f t="shared" si="2103"/>
        <v>0</v>
      </c>
      <c r="K1203" s="274"/>
      <c r="L1203" s="274"/>
      <c r="M1203" s="274"/>
      <c r="N1203" s="275">
        <f t="shared" si="2104"/>
        <v>0</v>
      </c>
      <c r="O1203" s="274"/>
      <c r="P1203" s="274"/>
      <c r="Q1203" s="274"/>
      <c r="R1203" s="274"/>
      <c r="S1203" s="274">
        <f t="shared" si="2105"/>
        <v>0</v>
      </c>
      <c r="T1203" s="274"/>
      <c r="U1203" s="274"/>
      <c r="V1203" s="274"/>
      <c r="W1203" s="274"/>
      <c r="X1203" s="274">
        <f t="shared" si="2106"/>
        <v>0</v>
      </c>
      <c r="Y1203" s="274">
        <f t="shared" si="2107"/>
        <v>0</v>
      </c>
      <c r="Z1203" s="274">
        <f t="shared" si="2108"/>
        <v>0</v>
      </c>
      <c r="AA1203" s="274"/>
      <c r="AB1203" s="306">
        <f t="shared" si="2109"/>
        <v>0</v>
      </c>
    </row>
    <row r="1204" spans="1:28" s="90" customFormat="1" ht="14.1" customHeight="1" x14ac:dyDescent="0.2">
      <c r="A1204" s="301"/>
      <c r="B1204" s="15"/>
      <c r="C1204" s="101"/>
      <c r="D1204" s="101"/>
      <c r="E1204" s="101"/>
      <c r="F1204" s="370"/>
      <c r="G1204" s="321"/>
      <c r="H1204" s="321"/>
      <c r="I1204" s="321"/>
      <c r="J1204" s="321"/>
      <c r="K1204" s="332"/>
      <c r="L1204" s="332"/>
      <c r="M1204" s="332"/>
      <c r="N1204" s="332"/>
      <c r="O1204" s="332"/>
      <c r="P1204" s="332"/>
      <c r="Q1204" s="332"/>
      <c r="R1204" s="332"/>
      <c r="S1204" s="332"/>
      <c r="T1204" s="332"/>
      <c r="U1204" s="332"/>
      <c r="V1204" s="332"/>
      <c r="W1204" s="332"/>
      <c r="X1204" s="332"/>
      <c r="Y1204" s="332"/>
      <c r="Z1204" s="332"/>
      <c r="AA1204" s="332"/>
      <c r="AB1204" s="302"/>
    </row>
    <row r="1205" spans="1:28" s="90" customFormat="1" ht="14.1" customHeight="1" x14ac:dyDescent="0.2">
      <c r="A1205" s="301"/>
      <c r="B1205" s="347" t="s">
        <v>436</v>
      </c>
      <c r="C1205" s="101"/>
      <c r="D1205" s="101"/>
      <c r="E1205" s="101"/>
      <c r="F1205" s="370"/>
      <c r="G1205" s="322">
        <f t="shared" ref="G1205" si="2117">SUM(G1208:G1232)</f>
        <v>0</v>
      </c>
      <c r="H1205" s="322">
        <f t="shared" ref="H1205:AB1205" si="2118">SUM(H1208:H1232)</f>
        <v>0</v>
      </c>
      <c r="I1205" s="322">
        <f t="shared" si="2118"/>
        <v>0</v>
      </c>
      <c r="J1205" s="322">
        <f t="shared" si="2118"/>
        <v>0</v>
      </c>
      <c r="K1205" s="322">
        <f t="shared" si="2118"/>
        <v>0</v>
      </c>
      <c r="L1205" s="322">
        <f t="shared" si="2118"/>
        <v>0</v>
      </c>
      <c r="M1205" s="322">
        <f t="shared" si="2118"/>
        <v>0</v>
      </c>
      <c r="N1205" s="322">
        <f t="shared" si="2118"/>
        <v>0</v>
      </c>
      <c r="O1205" s="322">
        <f t="shared" si="2118"/>
        <v>0</v>
      </c>
      <c r="P1205" s="322">
        <f t="shared" si="2118"/>
        <v>0</v>
      </c>
      <c r="Q1205" s="322">
        <f t="shared" si="2118"/>
        <v>0</v>
      </c>
      <c r="R1205" s="322">
        <f t="shared" si="2118"/>
        <v>0</v>
      </c>
      <c r="S1205" s="322">
        <f t="shared" si="2118"/>
        <v>0</v>
      </c>
      <c r="T1205" s="322">
        <f t="shared" si="2118"/>
        <v>0</v>
      </c>
      <c r="U1205" s="322">
        <f t="shared" si="2118"/>
        <v>0</v>
      </c>
      <c r="V1205" s="322">
        <f t="shared" si="2118"/>
        <v>0</v>
      </c>
      <c r="W1205" s="322">
        <f t="shared" si="2118"/>
        <v>0</v>
      </c>
      <c r="X1205" s="322">
        <f t="shared" si="2118"/>
        <v>0</v>
      </c>
      <c r="Y1205" s="322">
        <f t="shared" si="2118"/>
        <v>0</v>
      </c>
      <c r="Z1205" s="322">
        <f t="shared" si="2118"/>
        <v>0</v>
      </c>
      <c r="AA1205" s="333">
        <f t="shared" ref="AA1205" si="2119">SUM(AA1208:AA1232)</f>
        <v>0</v>
      </c>
      <c r="AB1205" s="305">
        <f t="shared" si="2118"/>
        <v>0</v>
      </c>
    </row>
    <row r="1206" spans="1:28" s="90" customFormat="1" ht="14.1" customHeight="1" x14ac:dyDescent="0.2">
      <c r="A1206" s="301"/>
      <c r="B1206" s="347" t="s">
        <v>437</v>
      </c>
      <c r="C1206" s="101"/>
      <c r="D1206" s="101"/>
      <c r="E1206" s="101"/>
      <c r="F1206" s="370"/>
      <c r="G1206" s="321"/>
      <c r="H1206" s="321"/>
      <c r="I1206" s="321"/>
      <c r="J1206" s="321"/>
      <c r="K1206" s="332"/>
      <c r="L1206" s="332"/>
      <c r="M1206" s="332"/>
      <c r="N1206" s="332"/>
      <c r="O1206" s="332"/>
      <c r="P1206" s="332"/>
      <c r="Q1206" s="332"/>
      <c r="R1206" s="332"/>
      <c r="S1206" s="332"/>
      <c r="T1206" s="332"/>
      <c r="U1206" s="332"/>
      <c r="V1206" s="332"/>
      <c r="W1206" s="332"/>
      <c r="X1206" s="332"/>
      <c r="Y1206" s="332"/>
      <c r="Z1206" s="332"/>
      <c r="AA1206" s="332"/>
      <c r="AB1206" s="302"/>
    </row>
    <row r="1207" spans="1:28" s="90" customFormat="1" ht="14.1" customHeight="1" x14ac:dyDescent="0.2">
      <c r="A1207" s="301"/>
      <c r="B1207" s="348" t="s">
        <v>438</v>
      </c>
      <c r="C1207" s="101"/>
      <c r="D1207" s="101"/>
      <c r="E1207" s="101"/>
      <c r="F1207" s="370"/>
      <c r="G1207" s="321"/>
      <c r="H1207" s="321"/>
      <c r="I1207" s="321"/>
      <c r="J1207" s="321"/>
      <c r="K1207" s="332"/>
      <c r="L1207" s="332"/>
      <c r="M1207" s="332"/>
      <c r="N1207" s="332"/>
      <c r="O1207" s="332"/>
      <c r="P1207" s="332"/>
      <c r="Q1207" s="332"/>
      <c r="R1207" s="332"/>
      <c r="S1207" s="332"/>
      <c r="T1207" s="332"/>
      <c r="U1207" s="332"/>
      <c r="V1207" s="332"/>
      <c r="W1207" s="332"/>
      <c r="X1207" s="332"/>
      <c r="Y1207" s="332"/>
      <c r="Z1207" s="332"/>
      <c r="AA1207" s="332"/>
      <c r="AB1207" s="302"/>
    </row>
    <row r="1208" spans="1:28" s="90" customFormat="1" ht="14.1" hidden="1" customHeight="1" x14ac:dyDescent="0.2">
      <c r="A1208" s="301"/>
      <c r="B1208" s="349" t="s">
        <v>439</v>
      </c>
      <c r="C1208" s="101"/>
      <c r="D1208" s="101"/>
      <c r="E1208" s="101"/>
      <c r="F1208" s="370" t="s">
        <v>440</v>
      </c>
      <c r="G1208" s="149"/>
      <c r="H1208" s="149"/>
      <c r="I1208" s="329">
        <f t="shared" ref="I1208:I1209" si="2120">G1208+H1208</f>
        <v>0</v>
      </c>
      <c r="J1208" s="329">
        <f t="shared" ref="J1208:J1209" si="2121">I1208</f>
        <v>0</v>
      </c>
      <c r="K1208" s="274"/>
      <c r="L1208" s="274"/>
      <c r="M1208" s="274"/>
      <c r="N1208" s="275">
        <f t="shared" ref="N1208:N1209" si="2122">J1208+K1208-L1208+M1208</f>
        <v>0</v>
      </c>
      <c r="O1208" s="274"/>
      <c r="P1208" s="274"/>
      <c r="Q1208" s="274"/>
      <c r="R1208" s="274"/>
      <c r="S1208" s="274">
        <f t="shared" ref="S1208:S1209" si="2123">SUM(O1208:R1208)</f>
        <v>0</v>
      </c>
      <c r="T1208" s="274"/>
      <c r="U1208" s="274"/>
      <c r="V1208" s="274"/>
      <c r="W1208" s="274"/>
      <c r="X1208" s="274">
        <f t="shared" ref="X1208:X1209" si="2124">SUM(T1208:W1208)</f>
        <v>0</v>
      </c>
      <c r="Y1208" s="274">
        <f t="shared" ref="Y1208:Y1209" si="2125">I1208-N1208</f>
        <v>0</v>
      </c>
      <c r="Z1208" s="274">
        <f t="shared" ref="Z1208:Z1209" si="2126">N1208-S1208</f>
        <v>0</v>
      </c>
      <c r="AA1208" s="274"/>
      <c r="AB1208" s="306">
        <f t="shared" ref="AB1208:AB1209" si="2127">+S1208-X1208-AA1208</f>
        <v>0</v>
      </c>
    </row>
    <row r="1209" spans="1:28" s="90" customFormat="1" ht="14.1" hidden="1" customHeight="1" x14ac:dyDescent="0.2">
      <c r="A1209" s="301"/>
      <c r="B1209" s="349" t="s">
        <v>441</v>
      </c>
      <c r="C1209" s="101"/>
      <c r="D1209" s="101"/>
      <c r="E1209" s="101"/>
      <c r="F1209" s="370" t="s">
        <v>442</v>
      </c>
      <c r="G1209" s="149"/>
      <c r="H1209" s="149"/>
      <c r="I1209" s="329">
        <f t="shared" si="2120"/>
        <v>0</v>
      </c>
      <c r="J1209" s="329">
        <f t="shared" si="2121"/>
        <v>0</v>
      </c>
      <c r="K1209" s="274"/>
      <c r="L1209" s="274"/>
      <c r="M1209" s="274"/>
      <c r="N1209" s="275">
        <f t="shared" si="2122"/>
        <v>0</v>
      </c>
      <c r="O1209" s="274"/>
      <c r="P1209" s="274"/>
      <c r="Q1209" s="274"/>
      <c r="R1209" s="274"/>
      <c r="S1209" s="274">
        <f t="shared" si="2123"/>
        <v>0</v>
      </c>
      <c r="T1209" s="274"/>
      <c r="U1209" s="274"/>
      <c r="V1209" s="274"/>
      <c r="W1209" s="274"/>
      <c r="X1209" s="274">
        <f t="shared" si="2124"/>
        <v>0</v>
      </c>
      <c r="Y1209" s="274">
        <f t="shared" si="2125"/>
        <v>0</v>
      </c>
      <c r="Z1209" s="274">
        <f t="shared" si="2126"/>
        <v>0</v>
      </c>
      <c r="AA1209" s="274"/>
      <c r="AB1209" s="306">
        <f t="shared" si="2127"/>
        <v>0</v>
      </c>
    </row>
    <row r="1210" spans="1:28" s="90" customFormat="1" ht="14.1" customHeight="1" x14ac:dyDescent="0.2">
      <c r="A1210" s="301"/>
      <c r="B1210" s="348" t="s">
        <v>443</v>
      </c>
      <c r="C1210" s="101"/>
      <c r="D1210" s="101"/>
      <c r="E1210" s="101"/>
      <c r="F1210" s="370"/>
      <c r="G1210" s="149"/>
      <c r="H1210" s="149"/>
      <c r="I1210" s="149"/>
      <c r="J1210" s="149"/>
      <c r="K1210" s="159"/>
      <c r="L1210" s="159"/>
      <c r="M1210" s="159"/>
      <c r="N1210" s="159"/>
      <c r="O1210" s="159"/>
      <c r="P1210" s="159"/>
      <c r="Q1210" s="159"/>
      <c r="R1210" s="159"/>
      <c r="S1210" s="159"/>
      <c r="T1210" s="159"/>
      <c r="U1210" s="159"/>
      <c r="V1210" s="159"/>
      <c r="W1210" s="159"/>
      <c r="X1210" s="159"/>
      <c r="Y1210" s="159"/>
      <c r="Z1210" s="159"/>
      <c r="AA1210" s="159"/>
      <c r="AB1210" s="583"/>
    </row>
    <row r="1211" spans="1:28" s="90" customFormat="1" ht="14.1" hidden="1" customHeight="1" x14ac:dyDescent="0.2">
      <c r="A1211" s="301"/>
      <c r="B1211" s="349" t="s">
        <v>444</v>
      </c>
      <c r="C1211" s="101"/>
      <c r="D1211" s="101"/>
      <c r="E1211" s="101"/>
      <c r="F1211" s="370" t="s">
        <v>445</v>
      </c>
      <c r="G1211" s="149"/>
      <c r="H1211" s="149"/>
      <c r="I1211" s="329">
        <f t="shared" ref="I1211:I1213" si="2128">G1211+H1211</f>
        <v>0</v>
      </c>
      <c r="J1211" s="329">
        <f t="shared" ref="J1211:J1213" si="2129">I1211</f>
        <v>0</v>
      </c>
      <c r="K1211" s="274"/>
      <c r="L1211" s="274"/>
      <c r="M1211" s="274"/>
      <c r="N1211" s="275">
        <f t="shared" ref="N1211:N1213" si="2130">J1211+K1211-L1211+M1211</f>
        <v>0</v>
      </c>
      <c r="O1211" s="274"/>
      <c r="P1211" s="274"/>
      <c r="Q1211" s="274"/>
      <c r="R1211" s="274"/>
      <c r="S1211" s="274">
        <f t="shared" ref="S1211:S1213" si="2131">SUM(O1211:R1211)</f>
        <v>0</v>
      </c>
      <c r="T1211" s="274"/>
      <c r="U1211" s="274"/>
      <c r="V1211" s="274"/>
      <c r="W1211" s="274"/>
      <c r="X1211" s="274">
        <f t="shared" ref="X1211:X1213" si="2132">SUM(T1211:W1211)</f>
        <v>0</v>
      </c>
      <c r="Y1211" s="274">
        <f t="shared" ref="Y1211:Y1213" si="2133">I1211-N1211</f>
        <v>0</v>
      </c>
      <c r="Z1211" s="274">
        <f t="shared" ref="Z1211:Z1213" si="2134">N1211-S1211</f>
        <v>0</v>
      </c>
      <c r="AA1211" s="274"/>
      <c r="AB1211" s="306">
        <f t="shared" ref="AB1211:AB1213" si="2135">+S1211-X1211-AA1211</f>
        <v>0</v>
      </c>
    </row>
    <row r="1212" spans="1:28" s="90" customFormat="1" ht="14.1" hidden="1" customHeight="1" x14ac:dyDescent="0.2">
      <c r="A1212" s="301"/>
      <c r="B1212" s="349" t="s">
        <v>446</v>
      </c>
      <c r="C1212" s="101"/>
      <c r="D1212" s="101"/>
      <c r="E1212" s="101"/>
      <c r="F1212" s="370" t="s">
        <v>447</v>
      </c>
      <c r="G1212" s="149"/>
      <c r="H1212" s="149"/>
      <c r="I1212" s="329">
        <f t="shared" si="2128"/>
        <v>0</v>
      </c>
      <c r="J1212" s="329">
        <f t="shared" si="2129"/>
        <v>0</v>
      </c>
      <c r="K1212" s="274"/>
      <c r="L1212" s="274"/>
      <c r="M1212" s="274"/>
      <c r="N1212" s="275">
        <f t="shared" si="2130"/>
        <v>0</v>
      </c>
      <c r="O1212" s="274"/>
      <c r="P1212" s="274"/>
      <c r="Q1212" s="274"/>
      <c r="R1212" s="274"/>
      <c r="S1212" s="274">
        <f t="shared" si="2131"/>
        <v>0</v>
      </c>
      <c r="T1212" s="274"/>
      <c r="U1212" s="274"/>
      <c r="V1212" s="274"/>
      <c r="W1212" s="274"/>
      <c r="X1212" s="274">
        <f t="shared" si="2132"/>
        <v>0</v>
      </c>
      <c r="Y1212" s="274">
        <f t="shared" si="2133"/>
        <v>0</v>
      </c>
      <c r="Z1212" s="274">
        <f t="shared" si="2134"/>
        <v>0</v>
      </c>
      <c r="AA1212" s="274"/>
      <c r="AB1212" s="306">
        <f t="shared" si="2135"/>
        <v>0</v>
      </c>
    </row>
    <row r="1213" spans="1:28" s="90" customFormat="1" ht="14.1" hidden="1" customHeight="1" x14ac:dyDescent="0.2">
      <c r="A1213" s="301"/>
      <c r="B1213" s="349" t="s">
        <v>448</v>
      </c>
      <c r="C1213" s="101"/>
      <c r="D1213" s="101"/>
      <c r="E1213" s="101"/>
      <c r="F1213" s="370" t="s">
        <v>449</v>
      </c>
      <c r="G1213" s="149"/>
      <c r="H1213" s="149"/>
      <c r="I1213" s="329">
        <f t="shared" si="2128"/>
        <v>0</v>
      </c>
      <c r="J1213" s="329">
        <f t="shared" si="2129"/>
        <v>0</v>
      </c>
      <c r="K1213" s="274"/>
      <c r="L1213" s="274"/>
      <c r="M1213" s="274"/>
      <c r="N1213" s="275">
        <f t="shared" si="2130"/>
        <v>0</v>
      </c>
      <c r="O1213" s="274"/>
      <c r="P1213" s="274"/>
      <c r="Q1213" s="274"/>
      <c r="R1213" s="274"/>
      <c r="S1213" s="274">
        <f t="shared" si="2131"/>
        <v>0</v>
      </c>
      <c r="T1213" s="274"/>
      <c r="U1213" s="274"/>
      <c r="V1213" s="274"/>
      <c r="W1213" s="274"/>
      <c r="X1213" s="274">
        <f t="shared" si="2132"/>
        <v>0</v>
      </c>
      <c r="Y1213" s="274">
        <f t="shared" si="2133"/>
        <v>0</v>
      </c>
      <c r="Z1213" s="274">
        <f t="shared" si="2134"/>
        <v>0</v>
      </c>
      <c r="AA1213" s="274"/>
      <c r="AB1213" s="306">
        <f t="shared" si="2135"/>
        <v>0</v>
      </c>
    </row>
    <row r="1214" spans="1:28" s="90" customFormat="1" ht="14.1" customHeight="1" x14ac:dyDescent="0.2">
      <c r="A1214" s="301"/>
      <c r="B1214" s="348" t="s">
        <v>450</v>
      </c>
      <c r="C1214" s="101"/>
      <c r="D1214" s="101"/>
      <c r="E1214" s="101"/>
      <c r="F1214" s="370"/>
      <c r="G1214" s="149"/>
      <c r="H1214" s="149"/>
      <c r="I1214" s="149"/>
      <c r="J1214" s="149"/>
      <c r="K1214" s="159"/>
      <c r="L1214" s="159"/>
      <c r="M1214" s="159"/>
      <c r="N1214" s="159"/>
      <c r="O1214" s="159"/>
      <c r="P1214" s="159"/>
      <c r="Q1214" s="159"/>
      <c r="R1214" s="159"/>
      <c r="S1214" s="159"/>
      <c r="T1214" s="159"/>
      <c r="U1214" s="159"/>
      <c r="V1214" s="159"/>
      <c r="W1214" s="159"/>
      <c r="X1214" s="159"/>
      <c r="Y1214" s="159"/>
      <c r="Z1214" s="159"/>
      <c r="AA1214" s="159"/>
      <c r="AB1214" s="583"/>
    </row>
    <row r="1215" spans="1:28" s="90" customFormat="1" ht="14.1" hidden="1" customHeight="1" x14ac:dyDescent="0.2">
      <c r="A1215" s="301"/>
      <c r="B1215" s="349" t="s">
        <v>451</v>
      </c>
      <c r="C1215" s="101"/>
      <c r="D1215" s="101"/>
      <c r="E1215" s="101"/>
      <c r="F1215" s="370" t="s">
        <v>452</v>
      </c>
      <c r="G1215" s="149"/>
      <c r="H1215" s="149"/>
      <c r="I1215" s="329">
        <f t="shared" ref="I1215:I1221" si="2136">G1215+H1215</f>
        <v>0</v>
      </c>
      <c r="J1215" s="329">
        <f t="shared" ref="J1215:J1221" si="2137">I1215</f>
        <v>0</v>
      </c>
      <c r="K1215" s="274"/>
      <c r="L1215" s="274"/>
      <c r="M1215" s="274"/>
      <c r="N1215" s="275">
        <f t="shared" ref="N1215:N1221" si="2138">J1215+K1215-L1215+M1215</f>
        <v>0</v>
      </c>
      <c r="O1215" s="274"/>
      <c r="P1215" s="274"/>
      <c r="Q1215" s="274"/>
      <c r="R1215" s="274"/>
      <c r="S1215" s="274">
        <f t="shared" ref="S1215:S1221" si="2139">SUM(O1215:R1215)</f>
        <v>0</v>
      </c>
      <c r="T1215" s="274"/>
      <c r="U1215" s="274"/>
      <c r="V1215" s="274"/>
      <c r="W1215" s="274"/>
      <c r="X1215" s="274">
        <f t="shared" ref="X1215:X1221" si="2140">SUM(T1215:W1215)</f>
        <v>0</v>
      </c>
      <c r="Y1215" s="274">
        <f t="shared" ref="Y1215:Y1221" si="2141">I1215-N1215</f>
        <v>0</v>
      </c>
      <c r="Z1215" s="274">
        <f t="shared" ref="Z1215:Z1221" si="2142">N1215-S1215</f>
        <v>0</v>
      </c>
      <c r="AA1215" s="274"/>
      <c r="AB1215" s="306">
        <f t="shared" ref="AB1215:AB1221" si="2143">+S1215-X1215-AA1215</f>
        <v>0</v>
      </c>
    </row>
    <row r="1216" spans="1:28" s="90" customFormat="1" ht="14.1" hidden="1" customHeight="1" x14ac:dyDescent="0.2">
      <c r="A1216" s="301"/>
      <c r="B1216" s="349" t="s">
        <v>453</v>
      </c>
      <c r="C1216" s="101"/>
      <c r="D1216" s="101"/>
      <c r="E1216" s="101"/>
      <c r="F1216" s="370" t="s">
        <v>454</v>
      </c>
      <c r="G1216" s="149"/>
      <c r="H1216" s="149"/>
      <c r="I1216" s="329">
        <f t="shared" si="2136"/>
        <v>0</v>
      </c>
      <c r="J1216" s="329">
        <f t="shared" si="2137"/>
        <v>0</v>
      </c>
      <c r="K1216" s="274"/>
      <c r="L1216" s="274"/>
      <c r="M1216" s="274"/>
      <c r="N1216" s="275">
        <f t="shared" si="2138"/>
        <v>0</v>
      </c>
      <c r="O1216" s="274"/>
      <c r="P1216" s="274"/>
      <c r="Q1216" s="274"/>
      <c r="R1216" s="274"/>
      <c r="S1216" s="274">
        <f t="shared" si="2139"/>
        <v>0</v>
      </c>
      <c r="T1216" s="274"/>
      <c r="U1216" s="274"/>
      <c r="V1216" s="274"/>
      <c r="W1216" s="274"/>
      <c r="X1216" s="274">
        <f t="shared" si="2140"/>
        <v>0</v>
      </c>
      <c r="Y1216" s="274">
        <f t="shared" si="2141"/>
        <v>0</v>
      </c>
      <c r="Z1216" s="274">
        <f t="shared" si="2142"/>
        <v>0</v>
      </c>
      <c r="AA1216" s="274"/>
      <c r="AB1216" s="306">
        <f t="shared" si="2143"/>
        <v>0</v>
      </c>
    </row>
    <row r="1217" spans="1:28" s="90" customFormat="1" ht="14.1" hidden="1" customHeight="1" x14ac:dyDescent="0.2">
      <c r="A1217" s="301"/>
      <c r="B1217" s="349" t="s">
        <v>455</v>
      </c>
      <c r="C1217" s="101"/>
      <c r="D1217" s="101"/>
      <c r="E1217" s="101"/>
      <c r="F1217" s="370" t="s">
        <v>456</v>
      </c>
      <c r="G1217" s="149"/>
      <c r="H1217" s="149"/>
      <c r="I1217" s="329">
        <f t="shared" si="2136"/>
        <v>0</v>
      </c>
      <c r="J1217" s="329">
        <f t="shared" si="2137"/>
        <v>0</v>
      </c>
      <c r="K1217" s="274"/>
      <c r="L1217" s="274"/>
      <c r="M1217" s="274"/>
      <c r="N1217" s="275">
        <f t="shared" si="2138"/>
        <v>0</v>
      </c>
      <c r="O1217" s="274"/>
      <c r="P1217" s="274"/>
      <c r="Q1217" s="274"/>
      <c r="R1217" s="274"/>
      <c r="S1217" s="274">
        <f t="shared" si="2139"/>
        <v>0</v>
      </c>
      <c r="T1217" s="274"/>
      <c r="U1217" s="274"/>
      <c r="V1217" s="274"/>
      <c r="W1217" s="274"/>
      <c r="X1217" s="274">
        <f t="shared" si="2140"/>
        <v>0</v>
      </c>
      <c r="Y1217" s="274">
        <f t="shared" si="2141"/>
        <v>0</v>
      </c>
      <c r="Z1217" s="274">
        <f t="shared" si="2142"/>
        <v>0</v>
      </c>
      <c r="AA1217" s="274"/>
      <c r="AB1217" s="306">
        <f t="shared" si="2143"/>
        <v>0</v>
      </c>
    </row>
    <row r="1218" spans="1:28" s="90" customFormat="1" ht="14.1" hidden="1" customHeight="1" x14ac:dyDescent="0.2">
      <c r="A1218" s="301"/>
      <c r="B1218" s="349" t="s">
        <v>457</v>
      </c>
      <c r="C1218" s="101"/>
      <c r="D1218" s="101"/>
      <c r="E1218" s="101"/>
      <c r="F1218" s="370" t="s">
        <v>458</v>
      </c>
      <c r="G1218" s="149"/>
      <c r="H1218" s="149"/>
      <c r="I1218" s="329">
        <f t="shared" si="2136"/>
        <v>0</v>
      </c>
      <c r="J1218" s="329">
        <f t="shared" si="2137"/>
        <v>0</v>
      </c>
      <c r="K1218" s="274"/>
      <c r="L1218" s="274"/>
      <c r="M1218" s="274"/>
      <c r="N1218" s="275">
        <f t="shared" si="2138"/>
        <v>0</v>
      </c>
      <c r="O1218" s="274"/>
      <c r="P1218" s="274"/>
      <c r="Q1218" s="274"/>
      <c r="R1218" s="274"/>
      <c r="S1218" s="274">
        <f t="shared" si="2139"/>
        <v>0</v>
      </c>
      <c r="T1218" s="274"/>
      <c r="U1218" s="274"/>
      <c r="V1218" s="274"/>
      <c r="W1218" s="274"/>
      <c r="X1218" s="274">
        <f t="shared" si="2140"/>
        <v>0</v>
      </c>
      <c r="Y1218" s="274">
        <f t="shared" si="2141"/>
        <v>0</v>
      </c>
      <c r="Z1218" s="274">
        <f t="shared" si="2142"/>
        <v>0</v>
      </c>
      <c r="AA1218" s="274"/>
      <c r="AB1218" s="306">
        <f t="shared" si="2143"/>
        <v>0</v>
      </c>
    </row>
    <row r="1219" spans="1:28" s="90" customFormat="1" ht="14.1" hidden="1" customHeight="1" x14ac:dyDescent="0.2">
      <c r="A1219" s="301"/>
      <c r="B1219" s="349" t="s">
        <v>459</v>
      </c>
      <c r="C1219" s="101"/>
      <c r="D1219" s="101"/>
      <c r="E1219" s="101"/>
      <c r="F1219" s="370" t="s">
        <v>460</v>
      </c>
      <c r="G1219" s="149"/>
      <c r="H1219" s="149"/>
      <c r="I1219" s="329">
        <f t="shared" si="2136"/>
        <v>0</v>
      </c>
      <c r="J1219" s="329">
        <f t="shared" si="2137"/>
        <v>0</v>
      </c>
      <c r="K1219" s="274"/>
      <c r="L1219" s="274"/>
      <c r="M1219" s="274"/>
      <c r="N1219" s="275">
        <f t="shared" si="2138"/>
        <v>0</v>
      </c>
      <c r="O1219" s="274"/>
      <c r="P1219" s="274"/>
      <c r="Q1219" s="274"/>
      <c r="R1219" s="274"/>
      <c r="S1219" s="274">
        <f t="shared" si="2139"/>
        <v>0</v>
      </c>
      <c r="T1219" s="274"/>
      <c r="U1219" s="274"/>
      <c r="V1219" s="274"/>
      <c r="W1219" s="274"/>
      <c r="X1219" s="274">
        <f t="shared" si="2140"/>
        <v>0</v>
      </c>
      <c r="Y1219" s="274">
        <f t="shared" si="2141"/>
        <v>0</v>
      </c>
      <c r="Z1219" s="274">
        <f t="shared" si="2142"/>
        <v>0</v>
      </c>
      <c r="AA1219" s="274"/>
      <c r="AB1219" s="306">
        <f t="shared" si="2143"/>
        <v>0</v>
      </c>
    </row>
    <row r="1220" spans="1:28" s="90" customFormat="1" ht="14.1" hidden="1" customHeight="1" x14ac:dyDescent="0.2">
      <c r="A1220" s="301"/>
      <c r="B1220" s="349" t="s">
        <v>461</v>
      </c>
      <c r="C1220" s="101"/>
      <c r="D1220" s="101"/>
      <c r="E1220" s="101"/>
      <c r="F1220" s="370" t="s">
        <v>462</v>
      </c>
      <c r="G1220" s="149"/>
      <c r="H1220" s="149"/>
      <c r="I1220" s="329">
        <f t="shared" si="2136"/>
        <v>0</v>
      </c>
      <c r="J1220" s="329">
        <f t="shared" si="2137"/>
        <v>0</v>
      </c>
      <c r="K1220" s="274"/>
      <c r="L1220" s="274"/>
      <c r="M1220" s="274"/>
      <c r="N1220" s="275">
        <f t="shared" si="2138"/>
        <v>0</v>
      </c>
      <c r="O1220" s="274"/>
      <c r="P1220" s="274"/>
      <c r="Q1220" s="274"/>
      <c r="R1220" s="274"/>
      <c r="S1220" s="274">
        <f t="shared" si="2139"/>
        <v>0</v>
      </c>
      <c r="T1220" s="274"/>
      <c r="U1220" s="274"/>
      <c r="V1220" s="274"/>
      <c r="W1220" s="274"/>
      <c r="X1220" s="274">
        <f t="shared" si="2140"/>
        <v>0</v>
      </c>
      <c r="Y1220" s="274">
        <f t="shared" si="2141"/>
        <v>0</v>
      </c>
      <c r="Z1220" s="274">
        <f t="shared" si="2142"/>
        <v>0</v>
      </c>
      <c r="AA1220" s="274"/>
      <c r="AB1220" s="306">
        <f t="shared" si="2143"/>
        <v>0</v>
      </c>
    </row>
    <row r="1221" spans="1:28" s="90" customFormat="1" ht="14.1" hidden="1" customHeight="1" x14ac:dyDescent="0.2">
      <c r="A1221" s="301"/>
      <c r="B1221" s="349" t="s">
        <v>463</v>
      </c>
      <c r="C1221" s="101"/>
      <c r="D1221" s="101"/>
      <c r="E1221" s="101"/>
      <c r="F1221" s="370" t="s">
        <v>464</v>
      </c>
      <c r="G1221" s="149"/>
      <c r="H1221" s="149"/>
      <c r="I1221" s="329">
        <f t="shared" si="2136"/>
        <v>0</v>
      </c>
      <c r="J1221" s="329">
        <f t="shared" si="2137"/>
        <v>0</v>
      </c>
      <c r="K1221" s="274"/>
      <c r="L1221" s="274"/>
      <c r="M1221" s="274"/>
      <c r="N1221" s="275">
        <f t="shared" si="2138"/>
        <v>0</v>
      </c>
      <c r="O1221" s="274"/>
      <c r="P1221" s="274"/>
      <c r="Q1221" s="274"/>
      <c r="R1221" s="274"/>
      <c r="S1221" s="274">
        <f t="shared" si="2139"/>
        <v>0</v>
      </c>
      <c r="T1221" s="274"/>
      <c r="U1221" s="274"/>
      <c r="V1221" s="274"/>
      <c r="W1221" s="274"/>
      <c r="X1221" s="274">
        <f t="shared" si="2140"/>
        <v>0</v>
      </c>
      <c r="Y1221" s="274">
        <f t="shared" si="2141"/>
        <v>0</v>
      </c>
      <c r="Z1221" s="274">
        <f t="shared" si="2142"/>
        <v>0</v>
      </c>
      <c r="AA1221" s="274"/>
      <c r="AB1221" s="306">
        <f t="shared" si="2143"/>
        <v>0</v>
      </c>
    </row>
    <row r="1222" spans="1:28" s="90" customFormat="1" ht="14.1" customHeight="1" x14ac:dyDescent="0.2">
      <c r="A1222" s="301"/>
      <c r="B1222" s="348" t="s">
        <v>465</v>
      </c>
      <c r="C1222" s="101"/>
      <c r="D1222" s="101"/>
      <c r="E1222" s="101"/>
      <c r="F1222" s="370"/>
      <c r="G1222" s="149"/>
      <c r="H1222" s="149"/>
      <c r="I1222" s="149"/>
      <c r="J1222" s="149"/>
      <c r="K1222" s="159"/>
      <c r="L1222" s="159"/>
      <c r="M1222" s="159"/>
      <c r="N1222" s="159"/>
      <c r="O1222" s="159"/>
      <c r="P1222" s="159"/>
      <c r="Q1222" s="159"/>
      <c r="R1222" s="159"/>
      <c r="S1222" s="159"/>
      <c r="T1222" s="159"/>
      <c r="U1222" s="159"/>
      <c r="V1222" s="159"/>
      <c r="W1222" s="159"/>
      <c r="X1222" s="159"/>
      <c r="Y1222" s="159"/>
      <c r="Z1222" s="159"/>
      <c r="AA1222" s="159"/>
      <c r="AB1222" s="583"/>
    </row>
    <row r="1223" spans="1:28" s="90" customFormat="1" ht="14.1" hidden="1" customHeight="1" x14ac:dyDescent="0.2">
      <c r="A1223" s="301"/>
      <c r="B1223" s="349" t="s">
        <v>466</v>
      </c>
      <c r="C1223" s="101"/>
      <c r="D1223" s="101"/>
      <c r="E1223" s="101"/>
      <c r="F1223" s="370" t="s">
        <v>467</v>
      </c>
      <c r="G1223" s="149"/>
      <c r="H1223" s="149"/>
      <c r="I1223" s="329">
        <f t="shared" ref="I1223:I1225" si="2144">G1223+H1223</f>
        <v>0</v>
      </c>
      <c r="J1223" s="329">
        <f t="shared" ref="J1223:J1225" si="2145">I1223</f>
        <v>0</v>
      </c>
      <c r="K1223" s="274"/>
      <c r="L1223" s="274"/>
      <c r="M1223" s="274"/>
      <c r="N1223" s="275">
        <f t="shared" ref="N1223:N1225" si="2146">J1223+K1223-L1223+M1223</f>
        <v>0</v>
      </c>
      <c r="O1223" s="274"/>
      <c r="P1223" s="274"/>
      <c r="Q1223" s="274"/>
      <c r="R1223" s="274"/>
      <c r="S1223" s="274">
        <f t="shared" ref="S1223:S1225" si="2147">SUM(O1223:R1223)</f>
        <v>0</v>
      </c>
      <c r="T1223" s="274"/>
      <c r="U1223" s="274"/>
      <c r="V1223" s="274"/>
      <c r="W1223" s="274"/>
      <c r="X1223" s="274">
        <f t="shared" ref="X1223:X1225" si="2148">SUM(T1223:W1223)</f>
        <v>0</v>
      </c>
      <c r="Y1223" s="274">
        <f t="shared" ref="Y1223:Y1225" si="2149">I1223-N1223</f>
        <v>0</v>
      </c>
      <c r="Z1223" s="274">
        <f t="shared" ref="Z1223:Z1225" si="2150">N1223-S1223</f>
        <v>0</v>
      </c>
      <c r="AA1223" s="274"/>
      <c r="AB1223" s="306">
        <f t="shared" ref="AB1223:AB1225" si="2151">+S1223-X1223-AA1223</f>
        <v>0</v>
      </c>
    </row>
    <row r="1224" spans="1:28" s="90" customFormat="1" ht="14.1" hidden="1" customHeight="1" x14ac:dyDescent="0.2">
      <c r="A1224" s="301"/>
      <c r="B1224" s="349" t="s">
        <v>468</v>
      </c>
      <c r="C1224" s="101"/>
      <c r="D1224" s="101"/>
      <c r="E1224" s="101"/>
      <c r="F1224" s="370" t="s">
        <v>469</v>
      </c>
      <c r="G1224" s="149"/>
      <c r="H1224" s="149"/>
      <c r="I1224" s="329">
        <f t="shared" si="2144"/>
        <v>0</v>
      </c>
      <c r="J1224" s="329">
        <f t="shared" si="2145"/>
        <v>0</v>
      </c>
      <c r="K1224" s="274"/>
      <c r="L1224" s="274"/>
      <c r="M1224" s="274"/>
      <c r="N1224" s="275">
        <f t="shared" si="2146"/>
        <v>0</v>
      </c>
      <c r="O1224" s="274"/>
      <c r="P1224" s="274"/>
      <c r="Q1224" s="274"/>
      <c r="R1224" s="274"/>
      <c r="S1224" s="274">
        <f t="shared" si="2147"/>
        <v>0</v>
      </c>
      <c r="T1224" s="274"/>
      <c r="U1224" s="274"/>
      <c r="V1224" s="274"/>
      <c r="W1224" s="274"/>
      <c r="X1224" s="274">
        <f t="shared" si="2148"/>
        <v>0</v>
      </c>
      <c r="Y1224" s="274">
        <f t="shared" si="2149"/>
        <v>0</v>
      </c>
      <c r="Z1224" s="274">
        <f t="shared" si="2150"/>
        <v>0</v>
      </c>
      <c r="AA1224" s="274"/>
      <c r="AB1224" s="306">
        <f t="shared" si="2151"/>
        <v>0</v>
      </c>
    </row>
    <row r="1225" spans="1:28" s="90" customFormat="1" ht="14.1" hidden="1" customHeight="1" x14ac:dyDescent="0.2">
      <c r="A1225" s="301"/>
      <c r="B1225" s="349" t="s">
        <v>470</v>
      </c>
      <c r="C1225" s="101"/>
      <c r="D1225" s="101"/>
      <c r="E1225" s="101"/>
      <c r="F1225" s="370" t="s">
        <v>471</v>
      </c>
      <c r="G1225" s="149"/>
      <c r="H1225" s="149"/>
      <c r="I1225" s="329">
        <f t="shared" si="2144"/>
        <v>0</v>
      </c>
      <c r="J1225" s="329">
        <f t="shared" si="2145"/>
        <v>0</v>
      </c>
      <c r="K1225" s="274"/>
      <c r="L1225" s="274"/>
      <c r="M1225" s="274"/>
      <c r="N1225" s="275">
        <f t="shared" si="2146"/>
        <v>0</v>
      </c>
      <c r="O1225" s="274"/>
      <c r="P1225" s="274"/>
      <c r="Q1225" s="274"/>
      <c r="R1225" s="274"/>
      <c r="S1225" s="274">
        <f t="shared" si="2147"/>
        <v>0</v>
      </c>
      <c r="T1225" s="274"/>
      <c r="U1225" s="274"/>
      <c r="V1225" s="274"/>
      <c r="W1225" s="274"/>
      <c r="X1225" s="274">
        <f t="shared" si="2148"/>
        <v>0</v>
      </c>
      <c r="Y1225" s="274">
        <f t="shared" si="2149"/>
        <v>0</v>
      </c>
      <c r="Z1225" s="274">
        <f t="shared" si="2150"/>
        <v>0</v>
      </c>
      <c r="AA1225" s="274"/>
      <c r="AB1225" s="306">
        <f t="shared" si="2151"/>
        <v>0</v>
      </c>
    </row>
    <row r="1226" spans="1:28" s="90" customFormat="1" ht="14.1" customHeight="1" x14ac:dyDescent="0.2">
      <c r="A1226" s="301"/>
      <c r="B1226" s="348" t="s">
        <v>472</v>
      </c>
      <c r="C1226" s="101"/>
      <c r="D1226" s="101"/>
      <c r="E1226" s="101"/>
      <c r="F1226" s="370"/>
      <c r="G1226" s="149"/>
      <c r="H1226" s="149"/>
      <c r="I1226" s="149"/>
      <c r="J1226" s="149"/>
      <c r="K1226" s="159"/>
      <c r="L1226" s="159"/>
      <c r="M1226" s="159"/>
      <c r="N1226" s="159"/>
      <c r="O1226" s="159"/>
      <c r="P1226" s="159"/>
      <c r="Q1226" s="159"/>
      <c r="R1226" s="159"/>
      <c r="S1226" s="159"/>
      <c r="T1226" s="159"/>
      <c r="U1226" s="159"/>
      <c r="V1226" s="159"/>
      <c r="W1226" s="159"/>
      <c r="X1226" s="159"/>
      <c r="Y1226" s="159"/>
      <c r="Z1226" s="159"/>
      <c r="AA1226" s="159"/>
      <c r="AB1226" s="583"/>
    </row>
    <row r="1227" spans="1:28" s="90" customFormat="1" ht="14.1" hidden="1" customHeight="1" x14ac:dyDescent="0.2">
      <c r="A1227" s="301"/>
      <c r="B1227" s="349" t="s">
        <v>473</v>
      </c>
      <c r="C1227" s="101"/>
      <c r="D1227" s="101"/>
      <c r="E1227" s="101"/>
      <c r="F1227" s="370" t="s">
        <v>474</v>
      </c>
      <c r="G1227" s="149"/>
      <c r="H1227" s="149"/>
      <c r="I1227" s="329">
        <f t="shared" ref="I1227:I1228" si="2152">G1227+H1227</f>
        <v>0</v>
      </c>
      <c r="J1227" s="329">
        <f t="shared" ref="J1227:J1228" si="2153">I1227</f>
        <v>0</v>
      </c>
      <c r="K1227" s="274"/>
      <c r="L1227" s="274"/>
      <c r="M1227" s="274"/>
      <c r="N1227" s="275">
        <f t="shared" ref="N1227:N1228" si="2154">J1227+K1227-L1227+M1227</f>
        <v>0</v>
      </c>
      <c r="O1227" s="274"/>
      <c r="P1227" s="274"/>
      <c r="Q1227" s="274"/>
      <c r="R1227" s="274"/>
      <c r="S1227" s="274">
        <f t="shared" ref="S1227:S1228" si="2155">SUM(O1227:R1227)</f>
        <v>0</v>
      </c>
      <c r="T1227" s="274"/>
      <c r="U1227" s="274"/>
      <c r="V1227" s="274"/>
      <c r="W1227" s="274"/>
      <c r="X1227" s="274">
        <f t="shared" ref="X1227:X1228" si="2156">SUM(T1227:W1227)</f>
        <v>0</v>
      </c>
      <c r="Y1227" s="274">
        <f t="shared" ref="Y1227:Y1228" si="2157">I1227-N1227</f>
        <v>0</v>
      </c>
      <c r="Z1227" s="274">
        <f t="shared" ref="Z1227:Z1228" si="2158">N1227-S1227</f>
        <v>0</v>
      </c>
      <c r="AA1227" s="274"/>
      <c r="AB1227" s="306">
        <f t="shared" ref="AB1227:AB1228" si="2159">+S1227-X1227-AA1227</f>
        <v>0</v>
      </c>
    </row>
    <row r="1228" spans="1:28" s="90" customFormat="1" ht="14.1" hidden="1" customHeight="1" x14ac:dyDescent="0.2">
      <c r="A1228" s="301"/>
      <c r="B1228" s="349" t="s">
        <v>475</v>
      </c>
      <c r="C1228" s="101"/>
      <c r="D1228" s="101"/>
      <c r="E1228" s="101"/>
      <c r="F1228" s="370" t="s">
        <v>476</v>
      </c>
      <c r="G1228" s="149"/>
      <c r="H1228" s="149"/>
      <c r="I1228" s="329">
        <f t="shared" si="2152"/>
        <v>0</v>
      </c>
      <c r="J1228" s="329">
        <f t="shared" si="2153"/>
        <v>0</v>
      </c>
      <c r="K1228" s="274"/>
      <c r="L1228" s="274"/>
      <c r="M1228" s="274"/>
      <c r="N1228" s="275">
        <f t="shared" si="2154"/>
        <v>0</v>
      </c>
      <c r="O1228" s="274"/>
      <c r="P1228" s="274"/>
      <c r="Q1228" s="274"/>
      <c r="R1228" s="274"/>
      <c r="S1228" s="274">
        <f t="shared" si="2155"/>
        <v>0</v>
      </c>
      <c r="T1228" s="274"/>
      <c r="U1228" s="274"/>
      <c r="V1228" s="274"/>
      <c r="W1228" s="274"/>
      <c r="X1228" s="274">
        <f t="shared" si="2156"/>
        <v>0</v>
      </c>
      <c r="Y1228" s="274">
        <f t="shared" si="2157"/>
        <v>0</v>
      </c>
      <c r="Z1228" s="274">
        <f t="shared" si="2158"/>
        <v>0</v>
      </c>
      <c r="AA1228" s="274"/>
      <c r="AB1228" s="306">
        <f t="shared" si="2159"/>
        <v>0</v>
      </c>
    </row>
    <row r="1229" spans="1:28" s="90" customFormat="1" ht="14.1" customHeight="1" x14ac:dyDescent="0.2">
      <c r="A1229" s="301"/>
      <c r="B1229" s="348" t="s">
        <v>477</v>
      </c>
      <c r="C1229" s="101"/>
      <c r="D1229" s="101"/>
      <c r="E1229" s="101"/>
      <c r="F1229" s="370"/>
      <c r="G1229" s="149"/>
      <c r="H1229" s="149"/>
      <c r="I1229" s="149"/>
      <c r="J1229" s="149"/>
      <c r="K1229" s="159"/>
      <c r="L1229" s="159"/>
      <c r="M1229" s="159"/>
      <c r="N1229" s="159"/>
      <c r="O1229" s="159"/>
      <c r="P1229" s="159"/>
      <c r="Q1229" s="159"/>
      <c r="R1229" s="159"/>
      <c r="S1229" s="159"/>
      <c r="T1229" s="159"/>
      <c r="U1229" s="159"/>
      <c r="V1229" s="159"/>
      <c r="W1229" s="159"/>
      <c r="X1229" s="159"/>
      <c r="Y1229" s="159"/>
      <c r="Z1229" s="159"/>
      <c r="AA1229" s="159"/>
      <c r="AB1229" s="583"/>
    </row>
    <row r="1230" spans="1:28" s="90" customFormat="1" ht="14.1" hidden="1" customHeight="1" x14ac:dyDescent="0.2">
      <c r="A1230" s="301"/>
      <c r="B1230" s="349" t="s">
        <v>478</v>
      </c>
      <c r="C1230" s="101"/>
      <c r="D1230" s="101"/>
      <c r="E1230" s="101"/>
      <c r="F1230" s="370" t="s">
        <v>479</v>
      </c>
      <c r="G1230" s="149"/>
      <c r="H1230" s="149"/>
      <c r="I1230" s="329">
        <f t="shared" ref="I1230" si="2160">G1230+H1230</f>
        <v>0</v>
      </c>
      <c r="J1230" s="329">
        <f t="shared" ref="J1230" si="2161">I1230</f>
        <v>0</v>
      </c>
      <c r="K1230" s="274"/>
      <c r="L1230" s="274"/>
      <c r="M1230" s="274"/>
      <c r="N1230" s="275">
        <f t="shared" ref="N1230" si="2162">J1230+K1230-L1230+M1230</f>
        <v>0</v>
      </c>
      <c r="O1230" s="274"/>
      <c r="P1230" s="274"/>
      <c r="Q1230" s="274"/>
      <c r="R1230" s="274"/>
      <c r="S1230" s="274">
        <f t="shared" ref="S1230" si="2163">SUM(O1230:R1230)</f>
        <v>0</v>
      </c>
      <c r="T1230" s="274"/>
      <c r="U1230" s="274"/>
      <c r="V1230" s="274"/>
      <c r="W1230" s="274"/>
      <c r="X1230" s="274">
        <f t="shared" ref="X1230" si="2164">SUM(T1230:W1230)</f>
        <v>0</v>
      </c>
      <c r="Y1230" s="274">
        <f t="shared" ref="Y1230" si="2165">I1230-N1230</f>
        <v>0</v>
      </c>
      <c r="Z1230" s="274">
        <f t="shared" ref="Z1230" si="2166">N1230-S1230</f>
        <v>0</v>
      </c>
      <c r="AA1230" s="274"/>
      <c r="AB1230" s="306">
        <f t="shared" ref="AB1230" si="2167">+S1230-X1230-AA1230</f>
        <v>0</v>
      </c>
    </row>
    <row r="1231" spans="1:28" s="90" customFormat="1" ht="14.1" customHeight="1" x14ac:dyDescent="0.2">
      <c r="A1231" s="301"/>
      <c r="B1231" s="348" t="s">
        <v>480</v>
      </c>
      <c r="C1231" s="101"/>
      <c r="D1231" s="101"/>
      <c r="E1231" s="101"/>
      <c r="F1231" s="370"/>
      <c r="G1231" s="149"/>
      <c r="H1231" s="149"/>
      <c r="I1231" s="149"/>
      <c r="J1231" s="149"/>
      <c r="K1231" s="159"/>
      <c r="L1231" s="159"/>
      <c r="M1231" s="159"/>
      <c r="N1231" s="159"/>
      <c r="O1231" s="159"/>
      <c r="P1231" s="159"/>
      <c r="Q1231" s="159"/>
      <c r="R1231" s="159"/>
      <c r="S1231" s="159"/>
      <c r="T1231" s="159"/>
      <c r="U1231" s="159"/>
      <c r="V1231" s="159"/>
      <c r="W1231" s="159"/>
      <c r="X1231" s="159"/>
      <c r="Y1231" s="159"/>
      <c r="Z1231" s="159"/>
      <c r="AA1231" s="159"/>
      <c r="AB1231" s="583"/>
    </row>
    <row r="1232" spans="1:28" s="90" customFormat="1" ht="14.1" hidden="1" customHeight="1" x14ac:dyDescent="0.2">
      <c r="A1232" s="301"/>
      <c r="B1232" s="349" t="s">
        <v>481</v>
      </c>
      <c r="C1232" s="101"/>
      <c r="D1232" s="101"/>
      <c r="E1232" s="101"/>
      <c r="F1232" s="370" t="s">
        <v>482</v>
      </c>
      <c r="G1232" s="149"/>
      <c r="H1232" s="149"/>
      <c r="I1232" s="329">
        <f t="shared" ref="I1232" si="2168">G1232+H1232</f>
        <v>0</v>
      </c>
      <c r="J1232" s="329">
        <f t="shared" ref="J1232" si="2169">I1232</f>
        <v>0</v>
      </c>
      <c r="K1232" s="274"/>
      <c r="L1232" s="274"/>
      <c r="M1232" s="274"/>
      <c r="N1232" s="275">
        <f t="shared" ref="N1232" si="2170">J1232+K1232-L1232+M1232</f>
        <v>0</v>
      </c>
      <c r="O1232" s="274"/>
      <c r="P1232" s="274"/>
      <c r="Q1232" s="274"/>
      <c r="R1232" s="274"/>
      <c r="S1232" s="274">
        <f t="shared" ref="S1232" si="2171">SUM(O1232:R1232)</f>
        <v>0</v>
      </c>
      <c r="T1232" s="274"/>
      <c r="U1232" s="274"/>
      <c r="V1232" s="274"/>
      <c r="W1232" s="274"/>
      <c r="X1232" s="274">
        <f t="shared" ref="X1232" si="2172">SUM(T1232:W1232)</f>
        <v>0</v>
      </c>
      <c r="Y1232" s="274">
        <f t="shared" ref="Y1232" si="2173">I1232-N1232</f>
        <v>0</v>
      </c>
      <c r="Z1232" s="274">
        <f t="shared" ref="Z1232" si="2174">N1232-S1232</f>
        <v>0</v>
      </c>
      <c r="AA1232" s="274"/>
      <c r="AB1232" s="306">
        <f t="shared" ref="AB1232" si="2175">+S1232-X1232-AA1232</f>
        <v>0</v>
      </c>
    </row>
    <row r="1233" spans="1:28" s="90" customFormat="1" ht="14.1" customHeight="1" x14ac:dyDescent="0.2">
      <c r="A1233" s="301"/>
      <c r="B1233" s="349"/>
      <c r="C1233" s="101"/>
      <c r="D1233" s="101"/>
      <c r="E1233" s="101"/>
      <c r="F1233" s="370"/>
      <c r="G1233" s="321"/>
      <c r="H1233" s="321"/>
      <c r="I1233" s="329"/>
      <c r="J1233" s="329"/>
      <c r="K1233" s="274"/>
      <c r="L1233" s="274"/>
      <c r="M1233" s="274"/>
      <c r="N1233" s="275"/>
      <c r="O1233" s="274"/>
      <c r="P1233" s="274"/>
      <c r="Q1233" s="274"/>
      <c r="R1233" s="274"/>
      <c r="S1233" s="274"/>
      <c r="T1233" s="274"/>
      <c r="U1233" s="274"/>
      <c r="V1233" s="274"/>
      <c r="W1233" s="274"/>
      <c r="X1233" s="274"/>
      <c r="Y1233" s="274"/>
      <c r="Z1233" s="274"/>
      <c r="AA1233" s="274"/>
      <c r="AB1233" s="306"/>
    </row>
    <row r="1234" spans="1:28" s="90" customFormat="1" ht="14.1" customHeight="1" thickBot="1" x14ac:dyDescent="0.25">
      <c r="A1234" s="942" t="s">
        <v>678</v>
      </c>
      <c r="B1234" s="943"/>
      <c r="C1234" s="943"/>
      <c r="D1234" s="943"/>
      <c r="E1234" s="943"/>
      <c r="F1234" s="370"/>
      <c r="G1234" s="381">
        <f t="shared" ref="G1234:AB1234" si="2176">G733+G15</f>
        <v>50574379.780000001</v>
      </c>
      <c r="H1234" s="381">
        <f t="shared" si="2176"/>
        <v>0</v>
      </c>
      <c r="I1234" s="381">
        <f t="shared" si="2176"/>
        <v>50574379.780000001</v>
      </c>
      <c r="J1234" s="381">
        <f t="shared" si="2176"/>
        <v>50574379.780000001</v>
      </c>
      <c r="K1234" s="381">
        <f t="shared" si="2176"/>
        <v>0</v>
      </c>
      <c r="L1234" s="381">
        <f t="shared" si="2176"/>
        <v>0</v>
      </c>
      <c r="M1234" s="381">
        <f t="shared" si="2176"/>
        <v>3389009.06</v>
      </c>
      <c r="N1234" s="381">
        <f t="shared" si="2176"/>
        <v>53963388.840000004</v>
      </c>
      <c r="O1234" s="381">
        <f t="shared" si="2176"/>
        <v>8168057.5600000005</v>
      </c>
      <c r="P1234" s="381">
        <f t="shared" si="2176"/>
        <v>7706211.7200000007</v>
      </c>
      <c r="Q1234" s="381">
        <f t="shared" si="2176"/>
        <v>11369128.800000001</v>
      </c>
      <c r="R1234" s="381">
        <f t="shared" si="2176"/>
        <v>21792582.160000004</v>
      </c>
      <c r="S1234" s="381">
        <f t="shared" si="2176"/>
        <v>49035980.240000002</v>
      </c>
      <c r="T1234" s="381">
        <f t="shared" si="2176"/>
        <v>6588218.96</v>
      </c>
      <c r="U1234" s="381">
        <f t="shared" si="2176"/>
        <v>8357458.2800000003</v>
      </c>
      <c r="V1234" s="381">
        <f t="shared" si="2176"/>
        <v>11286443.32</v>
      </c>
      <c r="W1234" s="381">
        <f t="shared" si="2176"/>
        <v>20246293.23</v>
      </c>
      <c r="X1234" s="381">
        <f t="shared" si="2176"/>
        <v>46478413.789999999</v>
      </c>
      <c r="Y1234" s="381">
        <f t="shared" si="2176"/>
        <v>-3389009.06</v>
      </c>
      <c r="Z1234" s="381">
        <f t="shared" si="2176"/>
        <v>4927408.6000000006</v>
      </c>
      <c r="AA1234" s="743">
        <f t="shared" si="2176"/>
        <v>206</v>
      </c>
      <c r="AB1234" s="738">
        <f t="shared" si="2176"/>
        <v>2557360.4500000025</v>
      </c>
    </row>
    <row r="1235" spans="1:28" s="90" customFormat="1" ht="14.1" customHeight="1" thickTop="1" x14ac:dyDescent="0.2">
      <c r="A1235" s="383"/>
      <c r="B1235" s="384"/>
      <c r="C1235" s="384"/>
      <c r="D1235" s="384"/>
      <c r="E1235" s="384"/>
      <c r="F1235" s="385"/>
      <c r="G1235" s="386"/>
      <c r="H1235" s="386"/>
      <c r="I1235" s="386"/>
      <c r="J1235" s="386"/>
      <c r="K1235" s="386"/>
      <c r="L1235" s="386"/>
      <c r="M1235" s="386"/>
      <c r="N1235" s="386"/>
      <c r="O1235" s="386"/>
      <c r="P1235" s="386"/>
      <c r="Q1235" s="386"/>
      <c r="R1235" s="386"/>
      <c r="S1235" s="386"/>
      <c r="T1235" s="386"/>
      <c r="U1235" s="386"/>
      <c r="V1235" s="386"/>
      <c r="W1235" s="386"/>
      <c r="X1235" s="386"/>
      <c r="Y1235" s="386"/>
      <c r="Z1235" s="386"/>
      <c r="AA1235" s="386"/>
      <c r="AB1235" s="312"/>
    </row>
    <row r="1236" spans="1:28" s="90" customFormat="1" ht="14.1" customHeight="1" x14ac:dyDescent="0.2">
      <c r="A1236" s="311"/>
      <c r="B1236" s="101"/>
      <c r="C1236" s="101"/>
      <c r="D1236" s="101"/>
      <c r="E1236" s="101"/>
      <c r="F1236" s="370"/>
      <c r="G1236" s="382"/>
      <c r="H1236" s="382"/>
      <c r="I1236" s="382"/>
      <c r="J1236" s="382"/>
      <c r="K1236" s="382"/>
      <c r="L1236" s="382"/>
      <c r="M1236" s="382"/>
      <c r="N1236" s="382"/>
      <c r="O1236" s="382"/>
      <c r="P1236" s="382"/>
      <c r="Q1236" s="382"/>
      <c r="R1236" s="382"/>
      <c r="S1236" s="382"/>
      <c r="T1236" s="382"/>
      <c r="U1236" s="382"/>
      <c r="V1236" s="382"/>
      <c r="W1236" s="382"/>
      <c r="X1236" s="382"/>
      <c r="Y1236" s="382"/>
      <c r="Z1236" s="382"/>
      <c r="AA1236" s="382"/>
      <c r="AB1236" s="302"/>
    </row>
    <row r="1237" spans="1:28" s="90" customFormat="1" ht="14.1" customHeight="1" x14ac:dyDescent="0.2">
      <c r="A1237" s="311"/>
      <c r="B1237" s="101"/>
      <c r="C1237" s="101"/>
      <c r="D1237" s="101"/>
      <c r="E1237" s="101"/>
      <c r="F1237" s="387" t="s">
        <v>226</v>
      </c>
      <c r="G1237" s="382"/>
      <c r="H1237" s="382"/>
      <c r="I1237" s="382"/>
      <c r="J1237" s="382"/>
      <c r="K1237" s="382"/>
      <c r="L1237" s="382"/>
      <c r="M1237" s="382"/>
      <c r="N1237" s="382"/>
      <c r="O1237" s="100" t="s">
        <v>227</v>
      </c>
      <c r="P1237" s="382"/>
      <c r="Q1237" s="382"/>
      <c r="R1237" s="382"/>
      <c r="S1237" s="382"/>
      <c r="T1237" s="382"/>
      <c r="U1237" s="382"/>
      <c r="V1237" s="382"/>
      <c r="W1237" s="100" t="s">
        <v>228</v>
      </c>
      <c r="X1237" s="382"/>
      <c r="Y1237" s="382"/>
      <c r="Z1237" s="382"/>
      <c r="AA1237" s="382"/>
      <c r="AB1237" s="302"/>
    </row>
    <row r="1238" spans="1:28" s="90" customFormat="1" ht="14.1" customHeight="1" x14ac:dyDescent="0.2">
      <c r="A1238" s="311"/>
      <c r="B1238" s="101"/>
      <c r="C1238" s="101"/>
      <c r="D1238" s="101"/>
      <c r="E1238" s="101"/>
      <c r="F1238" s="370"/>
      <c r="G1238" s="382"/>
      <c r="H1238" s="382"/>
      <c r="I1238" s="382"/>
      <c r="J1238" s="382"/>
      <c r="K1238" s="382"/>
      <c r="L1238" s="382"/>
      <c r="M1238" s="382"/>
      <c r="N1238" s="382"/>
      <c r="O1238" s="382"/>
      <c r="P1238" s="382"/>
      <c r="Q1238" s="382"/>
      <c r="R1238" s="382"/>
      <c r="S1238" s="382"/>
      <c r="T1238" s="382"/>
      <c r="U1238" s="382"/>
      <c r="V1238" s="382"/>
      <c r="W1238" s="382"/>
      <c r="X1238" s="382"/>
      <c r="Y1238" s="382"/>
      <c r="Z1238" s="382"/>
      <c r="AA1238" s="382"/>
      <c r="AB1238" s="302"/>
    </row>
    <row r="1239" spans="1:28" s="90" customFormat="1" ht="14.1" customHeight="1" x14ac:dyDescent="0.2">
      <c r="A1239" s="311"/>
      <c r="B1239" s="101"/>
      <c r="C1239" s="101"/>
      <c r="D1239" s="963"/>
      <c r="E1239" s="963"/>
      <c r="F1239" s="370"/>
      <c r="G1239" s="964"/>
      <c r="H1239" s="964"/>
      <c r="I1239" s="964"/>
      <c r="J1239" s="964"/>
      <c r="K1239" s="382"/>
      <c r="L1239" s="382"/>
      <c r="M1239" s="382"/>
      <c r="N1239" s="382"/>
      <c r="O1239" s="964"/>
      <c r="P1239" s="964"/>
      <c r="Q1239" s="964"/>
      <c r="R1239" s="964"/>
      <c r="S1239" s="382"/>
      <c r="T1239" s="382"/>
      <c r="U1239" s="382"/>
      <c r="V1239" s="382"/>
      <c r="W1239" s="964"/>
      <c r="X1239" s="964"/>
      <c r="Y1239" s="964"/>
      <c r="Z1239" s="964"/>
      <c r="AA1239" s="382"/>
      <c r="AB1239" s="302"/>
    </row>
    <row r="1240" spans="1:28" ht="14.1" customHeight="1" thickBot="1" x14ac:dyDescent="0.25">
      <c r="A1240" s="142"/>
      <c r="B1240" s="143"/>
      <c r="C1240" s="144"/>
      <c r="D1240" s="958" t="s">
        <v>692</v>
      </c>
      <c r="E1240" s="958"/>
      <c r="F1240" s="374"/>
      <c r="G1240" s="959" t="s">
        <v>691</v>
      </c>
      <c r="H1240" s="959"/>
      <c r="I1240" s="959"/>
      <c r="J1240" s="959"/>
      <c r="K1240" s="146"/>
      <c r="L1240" s="146"/>
      <c r="M1240" s="146"/>
      <c r="N1240" s="146"/>
      <c r="O1240" s="959" t="s">
        <v>693</v>
      </c>
      <c r="P1240" s="959"/>
      <c r="Q1240" s="959"/>
      <c r="R1240" s="959"/>
      <c r="S1240" s="388"/>
      <c r="T1240" s="144"/>
      <c r="U1240" s="144"/>
      <c r="V1240" s="144"/>
      <c r="W1240" s="959" t="s">
        <v>694</v>
      </c>
      <c r="X1240" s="959"/>
      <c r="Y1240" s="959"/>
      <c r="Z1240" s="959"/>
      <c r="AA1240" s="144"/>
      <c r="AB1240" s="319"/>
    </row>
  </sheetData>
  <mergeCells count="43">
    <mergeCell ref="A2:AB2"/>
    <mergeCell ref="A3:AB3"/>
    <mergeCell ref="Y1:Z1"/>
    <mergeCell ref="W1239:Z1239"/>
    <mergeCell ref="W1240:Z1240"/>
    <mergeCell ref="O1239:R1239"/>
    <mergeCell ref="O1240:R1240"/>
    <mergeCell ref="A1234:E1234"/>
    <mergeCell ref="D1240:E1240"/>
    <mergeCell ref="G1240:J1240"/>
    <mergeCell ref="D1239:E1239"/>
    <mergeCell ref="G1239:J1239"/>
    <mergeCell ref="N12:N13"/>
    <mergeCell ref="A11:E13"/>
    <mergeCell ref="F11:F13"/>
    <mergeCell ref="G11:I11"/>
    <mergeCell ref="J11:N11"/>
    <mergeCell ref="O11:S11"/>
    <mergeCell ref="T11:X11"/>
    <mergeCell ref="Y11:AB11"/>
    <mergeCell ref="G12:G13"/>
    <mergeCell ref="H12:H13"/>
    <mergeCell ref="I12:I13"/>
    <mergeCell ref="J12:J13"/>
    <mergeCell ref="K12:K13"/>
    <mergeCell ref="L12:L13"/>
    <mergeCell ref="M12:M13"/>
    <mergeCell ref="AA12:AB12"/>
    <mergeCell ref="X12:X13"/>
    <mergeCell ref="Y12:Y13"/>
    <mergeCell ref="Z12:Z13"/>
    <mergeCell ref="W12:W13"/>
    <mergeCell ref="V12:V13"/>
    <mergeCell ref="T12:T13"/>
    <mergeCell ref="A733:E733"/>
    <mergeCell ref="A14:E14"/>
    <mergeCell ref="A15:E15"/>
    <mergeCell ref="U12:U13"/>
    <mergeCell ref="O12:O13"/>
    <mergeCell ref="P12:P13"/>
    <mergeCell ref="Q12:Q13"/>
    <mergeCell ref="R12:R13"/>
    <mergeCell ref="S12:S13"/>
  </mergeCells>
  <pageMargins left="0.5" right="0.3" top="0.38" bottom="0.71" header="0.12" footer="0.38"/>
  <pageSetup paperSize="5" scale="80" orientation="landscape" r:id="rId1"/>
  <headerFooter alignWithMargins="0">
    <oddFooter>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Check Box 1">
              <controlPr defaultSize="0" autoFill="0" autoLine="0" autoPict="0" altText="">
                <anchor moveWithCells="1">
                  <from>
                    <xdr:col>23</xdr:col>
                    <xdr:colOff>400050</xdr:colOff>
                    <xdr:row>3</xdr:row>
                    <xdr:rowOff>123825</xdr:rowOff>
                  </from>
                  <to>
                    <xdr:col>23</xdr:col>
                    <xdr:colOff>714375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Check Box 2">
              <controlPr defaultSize="0" autoFill="0" autoLine="0" autoPict="0" altText="">
                <anchor moveWithCells="1">
                  <from>
                    <xdr:col>23</xdr:col>
                    <xdr:colOff>400050</xdr:colOff>
                    <xdr:row>4</xdr:row>
                    <xdr:rowOff>123825</xdr:rowOff>
                  </from>
                  <to>
                    <xdr:col>23</xdr:col>
                    <xdr:colOff>714375</xdr:colOff>
                    <xdr:row>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Check Box 3">
              <controlPr defaultSize="0" autoFill="0" autoLine="0" autoPict="0" altText="">
                <anchor moveWithCells="1">
                  <from>
                    <xdr:col>23</xdr:col>
                    <xdr:colOff>409575</xdr:colOff>
                    <xdr:row>5</xdr:row>
                    <xdr:rowOff>123825</xdr:rowOff>
                  </from>
                  <to>
                    <xdr:col>23</xdr:col>
                    <xdr:colOff>723900</xdr:colOff>
                    <xdr:row>7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CM378"/>
  <sheetViews>
    <sheetView workbookViewId="0">
      <selection activeCell="AB372" sqref="AB372"/>
    </sheetView>
  </sheetViews>
  <sheetFormatPr defaultRowHeight="14.1" customHeight="1" x14ac:dyDescent="0.2"/>
  <cols>
    <col min="1" max="1" width="7" style="57" customWidth="1"/>
    <col min="2" max="2" width="3.28515625" style="58" customWidth="1"/>
    <col min="3" max="3" width="5.5703125" style="59" customWidth="1"/>
    <col min="4" max="4" width="6.28515625" style="60" customWidth="1"/>
    <col min="5" max="5" width="42.28515625" style="59" customWidth="1"/>
    <col min="6" max="6" width="13.140625" style="680" customWidth="1"/>
    <col min="7" max="7" width="13.7109375" style="716" customWidth="1"/>
    <col min="8" max="8" width="9.140625" style="716" customWidth="1"/>
    <col min="9" max="9" width="13.28515625" style="716" customWidth="1"/>
    <col min="10" max="10" width="13.140625" style="716" customWidth="1"/>
    <col min="11" max="11" width="12.28515625" style="716" customWidth="1"/>
    <col min="12" max="12" width="9.140625" style="716" customWidth="1"/>
    <col min="13" max="13" width="12.140625" style="716" customWidth="1"/>
    <col min="14" max="14" width="14.5703125" style="717" customWidth="1"/>
    <col min="15" max="15" width="12.85546875" style="716" customWidth="1"/>
    <col min="16" max="16" width="12.42578125" style="716" customWidth="1"/>
    <col min="17" max="17" width="13.42578125" style="716" customWidth="1"/>
    <col min="18" max="18" width="13.140625" style="59" customWidth="1"/>
    <col min="19" max="19" width="13.42578125" style="59" customWidth="1"/>
    <col min="20" max="21" width="12.42578125" style="59" hidden="1" customWidth="1"/>
    <col min="22" max="22" width="13.140625" style="59" hidden="1" customWidth="1"/>
    <col min="23" max="23" width="13.7109375" style="59" customWidth="1"/>
    <col min="24" max="24" width="14.42578125" style="59" customWidth="1"/>
    <col min="25" max="25" width="13.5703125" style="59" customWidth="1"/>
    <col min="26" max="26" width="13.28515625" style="59" customWidth="1"/>
    <col min="27" max="27" width="9.140625" style="59"/>
    <col min="28" max="28" width="12.7109375" style="59" customWidth="1"/>
    <col min="29" max="16384" width="9.140625" style="59"/>
  </cols>
  <sheetData>
    <row r="1" spans="1:28" s="256" customFormat="1" ht="12.75" x14ac:dyDescent="0.2">
      <c r="A1" s="292"/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983" t="s">
        <v>680</v>
      </c>
      <c r="Z1" s="983"/>
      <c r="AA1" s="498"/>
      <c r="AB1" s="499"/>
    </row>
    <row r="2" spans="1:28" s="256" customFormat="1" ht="12.75" x14ac:dyDescent="0.2">
      <c r="A2" s="945" t="s">
        <v>698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  <c r="N2" s="946"/>
      <c r="O2" s="946"/>
      <c r="P2" s="946"/>
      <c r="Q2" s="946"/>
      <c r="R2" s="946"/>
      <c r="S2" s="946"/>
      <c r="T2" s="946"/>
      <c r="U2" s="946"/>
      <c r="V2" s="946"/>
      <c r="W2" s="946"/>
      <c r="X2" s="946"/>
      <c r="Y2" s="946"/>
      <c r="Z2" s="946"/>
      <c r="AA2" s="946"/>
      <c r="AB2" s="947"/>
    </row>
    <row r="3" spans="1:28" s="256" customFormat="1" ht="12.75" x14ac:dyDescent="0.2">
      <c r="A3" s="984" t="str">
        <f>'far 1'!A3:AB3</f>
        <v>As of Quarterly Ending December 31, 2016</v>
      </c>
      <c r="B3" s="983"/>
      <c r="C3" s="983"/>
      <c r="D3" s="983"/>
      <c r="E3" s="983"/>
      <c r="F3" s="983"/>
      <c r="G3" s="983"/>
      <c r="H3" s="983"/>
      <c r="I3" s="983"/>
      <c r="J3" s="983"/>
      <c r="K3" s="983"/>
      <c r="L3" s="983"/>
      <c r="M3" s="983"/>
      <c r="N3" s="983"/>
      <c r="O3" s="983"/>
      <c r="P3" s="983"/>
      <c r="Q3" s="983"/>
      <c r="R3" s="983"/>
      <c r="S3" s="983"/>
      <c r="T3" s="983"/>
      <c r="U3" s="983"/>
      <c r="V3" s="983"/>
      <c r="W3" s="983"/>
      <c r="X3" s="983"/>
      <c r="Y3" s="983"/>
      <c r="Z3" s="983"/>
      <c r="AA3" s="983"/>
      <c r="AB3" s="985"/>
    </row>
    <row r="4" spans="1:28" s="250" customFormat="1" ht="12.75" x14ac:dyDescent="0.2">
      <c r="A4" s="293"/>
      <c r="B4" s="257"/>
      <c r="C4" s="257"/>
      <c r="D4" s="257"/>
      <c r="E4" s="258"/>
      <c r="F4" s="616"/>
      <c r="G4" s="617"/>
      <c r="H4" s="617"/>
      <c r="I4" s="617"/>
      <c r="J4" s="617"/>
      <c r="K4" s="617"/>
      <c r="L4" s="617"/>
      <c r="M4" s="617"/>
      <c r="N4" s="618"/>
      <c r="O4" s="618"/>
      <c r="P4" s="618"/>
      <c r="Q4" s="618"/>
      <c r="R4" s="618"/>
      <c r="S4" s="37">
        <f>S19+S147+S235</f>
        <v>22423123.529999997</v>
      </c>
      <c r="T4" s="618"/>
      <c r="U4" s="618"/>
      <c r="V4" s="618"/>
      <c r="W4" s="618">
        <f>S43+S265</f>
        <v>25080806.870000005</v>
      </c>
      <c r="X4" s="618"/>
      <c r="Y4" s="618"/>
      <c r="Z4" s="618"/>
      <c r="AA4" s="618"/>
      <c r="AB4" s="261"/>
    </row>
    <row r="5" spans="1:28" s="256" customFormat="1" ht="12.75" x14ac:dyDescent="0.2">
      <c r="A5" s="294" t="s">
        <v>69</v>
      </c>
      <c r="B5" s="251"/>
      <c r="C5" s="262" t="s">
        <v>70</v>
      </c>
      <c r="D5" s="575" t="s">
        <v>71</v>
      </c>
      <c r="E5" s="252"/>
      <c r="F5" s="619"/>
      <c r="G5" s="620"/>
      <c r="H5" s="620"/>
      <c r="I5" s="620"/>
      <c r="J5" s="620"/>
      <c r="K5" s="620"/>
      <c r="L5" s="620"/>
      <c r="M5" s="620"/>
      <c r="N5" s="621"/>
      <c r="O5" s="621"/>
      <c r="P5" s="621"/>
      <c r="Q5" s="621"/>
      <c r="R5" s="621"/>
      <c r="S5" s="621"/>
      <c r="T5" s="621"/>
      <c r="U5" s="621"/>
      <c r="V5" s="621"/>
      <c r="W5" s="621"/>
      <c r="X5" s="263"/>
      <c r="Y5" s="621" t="s">
        <v>74</v>
      </c>
      <c r="Z5" s="621"/>
      <c r="AA5" s="621"/>
      <c r="AB5" s="255"/>
    </row>
    <row r="6" spans="1:28" s="256" customFormat="1" ht="12.75" x14ac:dyDescent="0.2">
      <c r="A6" s="294" t="s">
        <v>72</v>
      </c>
      <c r="B6" s="251"/>
      <c r="C6" s="262" t="s">
        <v>70</v>
      </c>
      <c r="D6" s="577" t="s">
        <v>73</v>
      </c>
      <c r="E6" s="252"/>
      <c r="F6" s="619"/>
      <c r="G6" s="620"/>
      <c r="H6" s="620"/>
      <c r="I6" s="620"/>
      <c r="J6" s="620"/>
      <c r="K6" s="620"/>
      <c r="L6" s="620"/>
      <c r="M6" s="620"/>
      <c r="N6" s="621"/>
      <c r="O6" s="621"/>
      <c r="P6" s="622"/>
      <c r="Q6" s="621"/>
      <c r="R6" s="621"/>
      <c r="S6" s="621"/>
      <c r="T6" s="622"/>
      <c r="U6" s="621"/>
      <c r="V6" s="621"/>
      <c r="W6" s="621"/>
      <c r="X6" s="263"/>
      <c r="Y6" s="621" t="s">
        <v>76</v>
      </c>
      <c r="Z6" s="621"/>
      <c r="AA6" s="621"/>
      <c r="AB6" s="255"/>
    </row>
    <row r="7" spans="1:28" s="273" customFormat="1" ht="12.75" x14ac:dyDescent="0.2">
      <c r="A7" s="265" t="s">
        <v>75</v>
      </c>
      <c r="B7" s="266"/>
      <c r="C7" s="267" t="s">
        <v>70</v>
      </c>
      <c r="D7" s="579" t="str">
        <f>'far 1'!D7</f>
        <v>Region VII</v>
      </c>
      <c r="E7" s="268"/>
      <c r="F7" s="623"/>
      <c r="G7" s="624"/>
      <c r="H7" s="624"/>
      <c r="I7" s="624"/>
      <c r="J7" s="624"/>
      <c r="K7" s="624"/>
      <c r="L7" s="624"/>
      <c r="M7" s="624"/>
      <c r="N7" s="625"/>
      <c r="O7" s="625"/>
      <c r="P7" s="625"/>
      <c r="Q7" s="625"/>
      <c r="R7" s="625"/>
      <c r="S7" s="625"/>
      <c r="T7" s="625"/>
      <c r="U7" s="625"/>
      <c r="V7" s="625"/>
      <c r="W7" s="625"/>
      <c r="X7" s="271"/>
      <c r="Y7" s="625" t="s">
        <v>78</v>
      </c>
      <c r="Z7" s="625"/>
      <c r="AA7" s="625"/>
      <c r="AB7" s="272"/>
    </row>
    <row r="8" spans="1:28" s="256" customFormat="1" ht="12.75" x14ac:dyDescent="0.2">
      <c r="A8" s="294" t="s">
        <v>77</v>
      </c>
      <c r="B8" s="251"/>
      <c r="C8" s="262" t="s">
        <v>70</v>
      </c>
      <c r="D8" s="580" t="str">
        <f>'far 1'!D8</f>
        <v>10 003 03 00007</v>
      </c>
      <c r="E8" s="252"/>
      <c r="F8" s="619"/>
      <c r="G8" s="620"/>
      <c r="H8" s="620"/>
      <c r="I8" s="620"/>
      <c r="J8" s="620"/>
      <c r="K8" s="620"/>
      <c r="L8" s="620"/>
      <c r="M8" s="620"/>
      <c r="N8" s="621"/>
      <c r="O8" s="621"/>
      <c r="P8" s="621"/>
      <c r="Q8" s="621"/>
      <c r="R8" s="621"/>
      <c r="S8" s="621"/>
      <c r="T8" s="621"/>
      <c r="U8" s="621"/>
      <c r="V8" s="621"/>
      <c r="W8" s="621"/>
      <c r="X8" s="621"/>
      <c r="Y8" s="621"/>
      <c r="Z8" s="621"/>
      <c r="AA8" s="621"/>
      <c r="AB8" s="255"/>
    </row>
    <row r="9" spans="1:28" s="256" customFormat="1" ht="12.75" x14ac:dyDescent="0.2">
      <c r="A9" s="24" t="s">
        <v>79</v>
      </c>
      <c r="B9" s="25"/>
      <c r="C9" s="281" t="s">
        <v>70</v>
      </c>
      <c r="D9" s="581" t="s">
        <v>2</v>
      </c>
      <c r="E9" s="280"/>
      <c r="F9" s="619"/>
      <c r="G9" s="620"/>
      <c r="H9" s="620"/>
      <c r="I9" s="620"/>
      <c r="J9" s="620"/>
      <c r="K9" s="620"/>
      <c r="L9" s="620"/>
      <c r="M9" s="620"/>
      <c r="N9" s="621"/>
      <c r="O9" s="621"/>
      <c r="P9" s="621"/>
      <c r="Q9" s="621"/>
      <c r="R9" s="621"/>
      <c r="S9" s="621"/>
      <c r="T9" s="621"/>
      <c r="U9" s="621"/>
      <c r="V9" s="621"/>
      <c r="W9" s="621"/>
      <c r="X9" s="621"/>
      <c r="Y9" s="621"/>
      <c r="Z9" s="621"/>
      <c r="AA9" s="621"/>
      <c r="AB9" s="255"/>
    </row>
    <row r="10" spans="1:28" s="32" customFormat="1" ht="12.75" x14ac:dyDescent="0.2">
      <c r="A10" s="295"/>
      <c r="B10" s="25"/>
      <c r="C10" s="25"/>
      <c r="D10" s="25"/>
      <c r="E10" s="25"/>
      <c r="F10" s="626"/>
      <c r="G10" s="627"/>
      <c r="H10" s="627"/>
      <c r="I10" s="627"/>
      <c r="J10" s="627"/>
      <c r="K10" s="627"/>
      <c r="L10" s="627"/>
      <c r="M10" s="627"/>
      <c r="N10" s="628"/>
      <c r="O10" s="627"/>
      <c r="P10" s="627"/>
      <c r="Q10" s="627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6"/>
    </row>
    <row r="11" spans="1:28" s="343" customFormat="1" ht="12.75" customHeight="1" x14ac:dyDescent="0.2">
      <c r="A11" s="965" t="s">
        <v>80</v>
      </c>
      <c r="B11" s="966"/>
      <c r="C11" s="966"/>
      <c r="D11" s="966"/>
      <c r="E11" s="967"/>
      <c r="F11" s="951" t="s">
        <v>81</v>
      </c>
      <c r="G11" s="986" t="s">
        <v>230</v>
      </c>
      <c r="H11" s="986"/>
      <c r="I11" s="986"/>
      <c r="J11" s="986" t="s">
        <v>82</v>
      </c>
      <c r="K11" s="986"/>
      <c r="L11" s="986"/>
      <c r="M11" s="986"/>
      <c r="N11" s="986"/>
      <c r="O11" s="987" t="s">
        <v>231</v>
      </c>
      <c r="P11" s="987"/>
      <c r="Q11" s="987"/>
      <c r="R11" s="987"/>
      <c r="S11" s="987"/>
      <c r="T11" s="987" t="s">
        <v>232</v>
      </c>
      <c r="U11" s="987"/>
      <c r="V11" s="987"/>
      <c r="W11" s="987"/>
      <c r="X11" s="987"/>
      <c r="Y11" s="988" t="s">
        <v>85</v>
      </c>
      <c r="Z11" s="988"/>
      <c r="AA11" s="988"/>
      <c r="AB11" s="989"/>
    </row>
    <row r="12" spans="1:28" s="343" customFormat="1" ht="12.75" customHeight="1" x14ac:dyDescent="0.2">
      <c r="A12" s="968"/>
      <c r="B12" s="969"/>
      <c r="C12" s="969"/>
      <c r="D12" s="969"/>
      <c r="E12" s="970"/>
      <c r="F12" s="952"/>
      <c r="G12" s="992" t="s">
        <v>233</v>
      </c>
      <c r="H12" s="992" t="s">
        <v>234</v>
      </c>
      <c r="I12" s="992" t="s">
        <v>235</v>
      </c>
      <c r="J12" s="992" t="s">
        <v>86</v>
      </c>
      <c r="K12" s="992" t="s">
        <v>87</v>
      </c>
      <c r="L12" s="992" t="s">
        <v>236</v>
      </c>
      <c r="M12" s="992" t="s">
        <v>237</v>
      </c>
      <c r="N12" s="992" t="s">
        <v>90</v>
      </c>
      <c r="O12" s="992" t="s">
        <v>91</v>
      </c>
      <c r="P12" s="992" t="s">
        <v>92</v>
      </c>
      <c r="Q12" s="992" t="s">
        <v>93</v>
      </c>
      <c r="R12" s="992" t="s">
        <v>94</v>
      </c>
      <c r="S12" s="992" t="s">
        <v>95</v>
      </c>
      <c r="T12" s="992" t="s">
        <v>91</v>
      </c>
      <c r="U12" s="992" t="s">
        <v>92</v>
      </c>
      <c r="V12" s="992" t="s">
        <v>93</v>
      </c>
      <c r="W12" s="992" t="s">
        <v>94</v>
      </c>
      <c r="X12" s="992" t="s">
        <v>95</v>
      </c>
      <c r="Y12" s="992" t="s">
        <v>96</v>
      </c>
      <c r="Z12" s="992" t="s">
        <v>97</v>
      </c>
      <c r="AA12" s="990" t="s">
        <v>98</v>
      </c>
      <c r="AB12" s="991"/>
    </row>
    <row r="13" spans="1:28" s="346" customFormat="1" ht="48" customHeight="1" x14ac:dyDescent="0.2">
      <c r="A13" s="971"/>
      <c r="B13" s="972"/>
      <c r="C13" s="972"/>
      <c r="D13" s="972"/>
      <c r="E13" s="973"/>
      <c r="F13" s="953"/>
      <c r="G13" s="993"/>
      <c r="H13" s="993"/>
      <c r="I13" s="993"/>
      <c r="J13" s="993"/>
      <c r="K13" s="993"/>
      <c r="L13" s="993"/>
      <c r="M13" s="993"/>
      <c r="N13" s="993"/>
      <c r="O13" s="993"/>
      <c r="P13" s="993"/>
      <c r="Q13" s="993"/>
      <c r="R13" s="993"/>
      <c r="S13" s="993"/>
      <c r="T13" s="993"/>
      <c r="U13" s="993"/>
      <c r="V13" s="993"/>
      <c r="W13" s="993"/>
      <c r="X13" s="993"/>
      <c r="Y13" s="993"/>
      <c r="Z13" s="993"/>
      <c r="AA13" s="629" t="s">
        <v>99</v>
      </c>
      <c r="AB13" s="630" t="s">
        <v>100</v>
      </c>
    </row>
    <row r="14" spans="1:28" s="56" customFormat="1" ht="25.5" x14ac:dyDescent="0.2">
      <c r="A14" s="960">
        <v>1</v>
      </c>
      <c r="B14" s="961"/>
      <c r="C14" s="961"/>
      <c r="D14" s="961"/>
      <c r="E14" s="962"/>
      <c r="F14" s="282">
        <v>2</v>
      </c>
      <c r="G14" s="631">
        <v>3</v>
      </c>
      <c r="H14" s="631">
        <v>4</v>
      </c>
      <c r="I14" s="632" t="s">
        <v>238</v>
      </c>
      <c r="J14" s="632">
        <v>6</v>
      </c>
      <c r="K14" s="632">
        <v>7</v>
      </c>
      <c r="L14" s="632">
        <v>8</v>
      </c>
      <c r="M14" s="632">
        <v>9</v>
      </c>
      <c r="N14" s="632" t="s">
        <v>239</v>
      </c>
      <c r="O14" s="633">
        <v>11</v>
      </c>
      <c r="P14" s="633">
        <v>12</v>
      </c>
      <c r="Q14" s="633">
        <v>13</v>
      </c>
      <c r="R14" s="633">
        <v>14</v>
      </c>
      <c r="S14" s="633" t="s">
        <v>240</v>
      </c>
      <c r="T14" s="633">
        <v>16</v>
      </c>
      <c r="U14" s="633">
        <v>17</v>
      </c>
      <c r="V14" s="633">
        <v>18</v>
      </c>
      <c r="W14" s="633">
        <v>19</v>
      </c>
      <c r="X14" s="633" t="s">
        <v>241</v>
      </c>
      <c r="Y14" s="633" t="s">
        <v>242</v>
      </c>
      <c r="Z14" s="633" t="s">
        <v>243</v>
      </c>
      <c r="AA14" s="633">
        <v>23</v>
      </c>
      <c r="AB14" s="634">
        <v>24</v>
      </c>
    </row>
    <row r="15" spans="1:28" s="642" customFormat="1" ht="12.75" x14ac:dyDescent="0.2">
      <c r="A15" s="635" t="s">
        <v>281</v>
      </c>
      <c r="B15" s="636"/>
      <c r="C15" s="636"/>
      <c r="D15" s="636"/>
      <c r="E15" s="636"/>
      <c r="F15" s="637"/>
      <c r="G15" s="638"/>
      <c r="H15" s="638"/>
      <c r="I15" s="639"/>
      <c r="J15" s="639"/>
      <c r="K15" s="639"/>
      <c r="L15" s="639"/>
      <c r="M15" s="639"/>
      <c r="N15" s="639"/>
      <c r="O15" s="640"/>
      <c r="P15" s="640"/>
      <c r="Q15" s="640"/>
      <c r="R15" s="640"/>
      <c r="S15" s="640"/>
      <c r="T15" s="640"/>
      <c r="U15" s="640"/>
      <c r="V15" s="640"/>
      <c r="W15" s="640"/>
      <c r="X15" s="640"/>
      <c r="Y15" s="640"/>
      <c r="Z15" s="640"/>
      <c r="AA15" s="640"/>
      <c r="AB15" s="641"/>
    </row>
    <row r="16" spans="1:28" s="56" customFormat="1" ht="25.5" customHeight="1" x14ac:dyDescent="0.2">
      <c r="A16" s="978" t="s">
        <v>675</v>
      </c>
      <c r="B16" s="979"/>
      <c r="C16" s="979"/>
      <c r="D16" s="979"/>
      <c r="E16" s="979"/>
      <c r="F16" s="643"/>
      <c r="G16" s="644">
        <f t="shared" ref="G16:AB16" si="0">G17+G147+G235</f>
        <v>49705300</v>
      </c>
      <c r="H16" s="644">
        <f t="shared" si="0"/>
        <v>0</v>
      </c>
      <c r="I16" s="644">
        <f t="shared" si="0"/>
        <v>49705300</v>
      </c>
      <c r="J16" s="644">
        <f t="shared" si="0"/>
        <v>49705300</v>
      </c>
      <c r="K16" s="644">
        <f t="shared" si="0"/>
        <v>0</v>
      </c>
      <c r="L16" s="644">
        <f t="shared" si="0"/>
        <v>0</v>
      </c>
      <c r="M16" s="644">
        <f t="shared" si="0"/>
        <v>3389009.06</v>
      </c>
      <c r="N16" s="645">
        <f t="shared" si="0"/>
        <v>53094309.060000002</v>
      </c>
      <c r="O16" s="644">
        <f t="shared" si="0"/>
        <v>8155857.5600000005</v>
      </c>
      <c r="P16" s="644">
        <f t="shared" si="0"/>
        <v>7442947.9000000004</v>
      </c>
      <c r="Q16" s="644">
        <f t="shared" si="0"/>
        <v>11041749.25</v>
      </c>
      <c r="R16" s="644">
        <f t="shared" si="0"/>
        <v>21581877.180000003</v>
      </c>
      <c r="S16" s="644">
        <f t="shared" si="0"/>
        <v>48222431.890000001</v>
      </c>
      <c r="T16" s="644">
        <f t="shared" si="0"/>
        <v>6576018.96</v>
      </c>
      <c r="U16" s="644">
        <f t="shared" si="0"/>
        <v>8125154.46</v>
      </c>
      <c r="V16" s="644">
        <f t="shared" si="0"/>
        <v>10928103.77</v>
      </c>
      <c r="W16" s="644">
        <f t="shared" si="0"/>
        <v>20035588.25</v>
      </c>
      <c r="X16" s="644">
        <f t="shared" si="0"/>
        <v>45664865.439999998</v>
      </c>
      <c r="Y16" s="644">
        <f t="shared" si="0"/>
        <v>-3389009.06</v>
      </c>
      <c r="Z16" s="644">
        <f t="shared" si="0"/>
        <v>4871877.1700000009</v>
      </c>
      <c r="AA16" s="644">
        <f t="shared" si="0"/>
        <v>206</v>
      </c>
      <c r="AB16" s="646">
        <f t="shared" si="0"/>
        <v>2557360.4500000025</v>
      </c>
    </row>
    <row r="17" spans="1:28" ht="14.1" customHeight="1" x14ac:dyDescent="0.2">
      <c r="A17" s="279" t="s">
        <v>683</v>
      </c>
      <c r="B17" s="364"/>
      <c r="C17" s="365"/>
      <c r="D17" s="366"/>
      <c r="E17" s="365"/>
      <c r="F17" s="647" t="s">
        <v>244</v>
      </c>
      <c r="G17" s="648">
        <f t="shared" ref="G17:AB17" si="1">G19+G43+G118</f>
        <v>47588000</v>
      </c>
      <c r="H17" s="648">
        <f t="shared" si="1"/>
        <v>0</v>
      </c>
      <c r="I17" s="648">
        <f t="shared" si="1"/>
        <v>47588000</v>
      </c>
      <c r="J17" s="648">
        <f t="shared" si="1"/>
        <v>47588000</v>
      </c>
      <c r="K17" s="648">
        <f t="shared" si="1"/>
        <v>0</v>
      </c>
      <c r="L17" s="648">
        <f t="shared" si="1"/>
        <v>0</v>
      </c>
      <c r="M17" s="648">
        <f t="shared" si="1"/>
        <v>777581.06</v>
      </c>
      <c r="N17" s="649">
        <f t="shared" si="1"/>
        <v>48365581.060000002</v>
      </c>
      <c r="O17" s="648">
        <f t="shared" si="1"/>
        <v>7618499.2400000002</v>
      </c>
      <c r="P17" s="648">
        <f t="shared" si="1"/>
        <v>7038174</v>
      </c>
      <c r="Q17" s="648">
        <f t="shared" si="1"/>
        <v>9593042.2899999991</v>
      </c>
      <c r="R17" s="648">
        <f t="shared" si="1"/>
        <v>19597007.730000004</v>
      </c>
      <c r="S17" s="648">
        <f t="shared" si="1"/>
        <v>43846723.260000005</v>
      </c>
      <c r="T17" s="648">
        <f t="shared" si="1"/>
        <v>6173506.3200000003</v>
      </c>
      <c r="U17" s="648">
        <f t="shared" si="1"/>
        <v>7585715.0999999996</v>
      </c>
      <c r="V17" s="648">
        <f t="shared" si="1"/>
        <v>10249954.449999999</v>
      </c>
      <c r="W17" s="648">
        <f t="shared" si="1"/>
        <v>17279981.940000001</v>
      </c>
      <c r="X17" s="648">
        <f t="shared" si="1"/>
        <v>41289157.810000002</v>
      </c>
      <c r="Y17" s="648">
        <f t="shared" si="1"/>
        <v>-777581.06</v>
      </c>
      <c r="Z17" s="648">
        <f t="shared" si="1"/>
        <v>4518857.8000000007</v>
      </c>
      <c r="AA17" s="648">
        <f t="shared" si="1"/>
        <v>205</v>
      </c>
      <c r="AB17" s="650">
        <f t="shared" si="1"/>
        <v>2557360.4500000025</v>
      </c>
    </row>
    <row r="18" spans="1:28" s="90" customFormat="1" ht="14.1" customHeight="1" x14ac:dyDescent="0.2">
      <c r="A18" s="313"/>
      <c r="B18" s="80"/>
      <c r="D18" s="352"/>
      <c r="F18" s="651"/>
      <c r="G18" s="652"/>
      <c r="H18" s="652"/>
      <c r="I18" s="652"/>
      <c r="J18" s="652"/>
      <c r="K18" s="652"/>
      <c r="L18" s="652"/>
      <c r="M18" s="652"/>
      <c r="N18" s="653"/>
      <c r="O18" s="652"/>
      <c r="P18" s="652"/>
      <c r="Q18" s="652"/>
      <c r="R18" s="354"/>
      <c r="S18" s="354"/>
      <c r="T18" s="354"/>
      <c r="U18" s="354"/>
      <c r="V18" s="354"/>
      <c r="W18" s="354"/>
      <c r="X18" s="354"/>
      <c r="Y18" s="354"/>
      <c r="Z18" s="354"/>
      <c r="AA18" s="341"/>
      <c r="AB18" s="304"/>
    </row>
    <row r="19" spans="1:28" s="360" customFormat="1" ht="14.1" customHeight="1" x14ac:dyDescent="0.2">
      <c r="A19" s="356"/>
      <c r="B19" s="357" t="s">
        <v>283</v>
      </c>
      <c r="C19" s="358"/>
      <c r="D19" s="358"/>
      <c r="E19" s="358"/>
      <c r="F19" s="369"/>
      <c r="G19" s="654">
        <f>SUM(G21:G41)</f>
        <v>16976000</v>
      </c>
      <c r="H19" s="654">
        <f t="shared" ref="H19:AB19" si="2">SUM(H21:H41)</f>
        <v>0</v>
      </c>
      <c r="I19" s="654">
        <f t="shared" si="2"/>
        <v>16976000</v>
      </c>
      <c r="J19" s="654">
        <f t="shared" si="2"/>
        <v>16976000</v>
      </c>
      <c r="K19" s="654">
        <f t="shared" si="2"/>
        <v>975000</v>
      </c>
      <c r="L19" s="654">
        <f t="shared" si="2"/>
        <v>0</v>
      </c>
      <c r="M19" s="654">
        <f t="shared" si="2"/>
        <v>218365.06</v>
      </c>
      <c r="N19" s="654">
        <f t="shared" si="2"/>
        <v>18169365.060000002</v>
      </c>
      <c r="O19" s="654">
        <f t="shared" si="2"/>
        <v>5113836</v>
      </c>
      <c r="P19" s="654">
        <f t="shared" si="2"/>
        <v>4862404.8</v>
      </c>
      <c r="Q19" s="654">
        <f t="shared" si="2"/>
        <v>3447069.15</v>
      </c>
      <c r="R19" s="654">
        <f t="shared" si="2"/>
        <v>4624104.9499999993</v>
      </c>
      <c r="S19" s="654">
        <f t="shared" si="2"/>
        <v>18047414.899999999</v>
      </c>
      <c r="T19" s="654">
        <f t="shared" si="2"/>
        <v>3895747</v>
      </c>
      <c r="U19" s="654">
        <f t="shared" si="2"/>
        <v>5183941.9799999995</v>
      </c>
      <c r="V19" s="654">
        <f t="shared" si="2"/>
        <v>4323056.3099999996</v>
      </c>
      <c r="W19" s="654">
        <f t="shared" si="2"/>
        <v>4644669.6099999994</v>
      </c>
      <c r="X19" s="654">
        <f t="shared" si="2"/>
        <v>18047414.899999999</v>
      </c>
      <c r="Y19" s="654">
        <f t="shared" si="2"/>
        <v>-1193365.06</v>
      </c>
      <c r="Z19" s="654">
        <f t="shared" si="2"/>
        <v>121950.16</v>
      </c>
      <c r="AA19" s="654">
        <f t="shared" si="2"/>
        <v>0</v>
      </c>
      <c r="AB19" s="654">
        <f t="shared" si="2"/>
        <v>0</v>
      </c>
    </row>
    <row r="20" spans="1:28" s="90" customFormat="1" ht="14.1" customHeight="1" x14ac:dyDescent="0.2">
      <c r="A20" s="301"/>
      <c r="B20" s="348" t="s">
        <v>284</v>
      </c>
      <c r="C20" s="608"/>
      <c r="D20" s="608"/>
      <c r="E20" s="608"/>
      <c r="F20" s="370"/>
      <c r="G20" s="656"/>
      <c r="H20" s="656"/>
      <c r="I20" s="656"/>
      <c r="J20" s="656"/>
      <c r="K20" s="657"/>
      <c r="L20" s="657"/>
      <c r="M20" s="657"/>
      <c r="N20" s="658"/>
      <c r="O20" s="657"/>
      <c r="P20" s="657"/>
      <c r="Q20" s="657"/>
      <c r="R20" s="657"/>
      <c r="S20" s="657"/>
      <c r="T20" s="657"/>
      <c r="U20" s="657"/>
      <c r="V20" s="657"/>
      <c r="W20" s="657"/>
      <c r="X20" s="657"/>
      <c r="Y20" s="657"/>
      <c r="Z20" s="657"/>
      <c r="AA20" s="657"/>
      <c r="AB20" s="659"/>
    </row>
    <row r="21" spans="1:28" s="90" customFormat="1" ht="14.1" customHeight="1" x14ac:dyDescent="0.2">
      <c r="A21" s="301"/>
      <c r="B21" s="349" t="s">
        <v>285</v>
      </c>
      <c r="C21" s="608"/>
      <c r="D21" s="608"/>
      <c r="E21" s="608"/>
      <c r="F21" s="370" t="s">
        <v>286</v>
      </c>
      <c r="G21" s="652">
        <f>'far 1 a(for internal use only)'!G20</f>
        <v>13831000</v>
      </c>
      <c r="H21" s="652">
        <f>'far 1 a(for internal use only)'!H20</f>
        <v>0</v>
      </c>
      <c r="I21" s="660">
        <f t="shared" ref="I21" si="3">G21+H21</f>
        <v>13831000</v>
      </c>
      <c r="J21" s="660">
        <f t="shared" ref="J21" si="4">I21</f>
        <v>13831000</v>
      </c>
      <c r="K21" s="652">
        <f>'far 1 a(for internal use only)'!K20</f>
        <v>0</v>
      </c>
      <c r="L21" s="652">
        <f>'far 1 a(for internal use only)'!L20</f>
        <v>0</v>
      </c>
      <c r="M21" s="652">
        <f>'far 1 a(for internal use only)'!M20</f>
        <v>0</v>
      </c>
      <c r="N21" s="661">
        <f>J21+K21-L21+M21</f>
        <v>13831000</v>
      </c>
      <c r="O21" s="652">
        <f>'far 1 a(for internal use only)'!O20</f>
        <v>4477986</v>
      </c>
      <c r="P21" s="652">
        <f>'far 1 a(for internal use only)'!P20</f>
        <v>3373115.8</v>
      </c>
      <c r="Q21" s="652">
        <f>'far 1 a(for internal use only)'!Q20</f>
        <v>3056494.15</v>
      </c>
      <c r="R21" s="652">
        <f>'far 1 a(for internal use only)'!R20</f>
        <v>2923404.05</v>
      </c>
      <c r="S21" s="662">
        <f t="shared" ref="S21" si="5">SUM(O21:R21)</f>
        <v>13831000</v>
      </c>
      <c r="T21" s="652">
        <f>'far 1 a(for internal use only)'!T20</f>
        <v>3353422</v>
      </c>
      <c r="U21" s="652">
        <f>'far 1 a(for internal use only)'!U20</f>
        <v>3626492.6399999997</v>
      </c>
      <c r="V21" s="652">
        <f>'far 1 a(for internal use only)'!V20</f>
        <v>3927681.3099999996</v>
      </c>
      <c r="W21" s="652">
        <f>'far 1 a(for internal use only)'!W20</f>
        <v>2923404.05</v>
      </c>
      <c r="X21" s="662">
        <f t="shared" ref="X21" si="6">SUM(T21:W21)</f>
        <v>13831000</v>
      </c>
      <c r="Y21" s="662">
        <f t="shared" ref="Y21" si="7">I21-N21</f>
        <v>0</v>
      </c>
      <c r="Z21" s="662">
        <f t="shared" ref="Z21" si="8">N21-S21</f>
        <v>0</v>
      </c>
      <c r="AA21" s="684">
        <f>'far 1 a(for internal use only)'!AA20</f>
        <v>0</v>
      </c>
      <c r="AB21" s="663">
        <f t="shared" ref="AB21" si="9">+S21-X21-AA21</f>
        <v>0</v>
      </c>
    </row>
    <row r="22" spans="1:28" s="90" customFormat="1" ht="14.1" customHeight="1" x14ac:dyDescent="0.2">
      <c r="A22" s="301"/>
      <c r="B22" s="348" t="s">
        <v>287</v>
      </c>
      <c r="C22" s="608"/>
      <c r="D22" s="608"/>
      <c r="E22" s="608"/>
      <c r="F22" s="370"/>
      <c r="G22" s="652"/>
      <c r="H22" s="652"/>
      <c r="I22" s="664"/>
      <c r="J22" s="664"/>
      <c r="K22" s="652"/>
      <c r="L22" s="652"/>
      <c r="M22" s="652"/>
      <c r="N22" s="665"/>
      <c r="O22" s="652"/>
      <c r="P22" s="652"/>
      <c r="Q22" s="652"/>
      <c r="R22" s="652"/>
      <c r="S22" s="666"/>
      <c r="T22" s="652"/>
      <c r="U22" s="652"/>
      <c r="V22" s="652"/>
      <c r="W22" s="652"/>
      <c r="X22" s="666"/>
      <c r="Y22" s="666"/>
      <c r="Z22" s="666"/>
      <c r="AA22" s="684"/>
      <c r="AB22" s="667"/>
    </row>
    <row r="23" spans="1:28" s="90" customFormat="1" ht="14.1" customHeight="1" x14ac:dyDescent="0.2">
      <c r="A23" s="301"/>
      <c r="B23" s="349" t="s">
        <v>288</v>
      </c>
      <c r="C23" s="608"/>
      <c r="D23" s="608"/>
      <c r="E23" s="608"/>
      <c r="F23" s="370" t="s">
        <v>289</v>
      </c>
      <c r="G23" s="652">
        <f>'far 1 a(for internal use only)'!G22</f>
        <v>1008000</v>
      </c>
      <c r="H23" s="652">
        <f>'far 1 a(for internal use only)'!H22</f>
        <v>0</v>
      </c>
      <c r="I23" s="660">
        <f t="shared" ref="I23:I32" si="10">G23+H23</f>
        <v>1008000</v>
      </c>
      <c r="J23" s="660">
        <f t="shared" ref="J23:J32" si="11">I23</f>
        <v>1008000</v>
      </c>
      <c r="K23" s="652">
        <f>'far 1 a(for internal use only)'!K22</f>
        <v>0</v>
      </c>
      <c r="L23" s="652">
        <f>'far 1 a(for internal use only)'!L22</f>
        <v>0</v>
      </c>
      <c r="M23" s="652">
        <f>'far 1 a(for internal use only)'!M22</f>
        <v>0</v>
      </c>
      <c r="N23" s="661">
        <f t="shared" ref="N23:N32" si="12">J23+K23-L23+M23</f>
        <v>1008000</v>
      </c>
      <c r="O23" s="652">
        <f>'far 1 a(for internal use only)'!O22</f>
        <v>294000</v>
      </c>
      <c r="P23" s="652">
        <f>'far 1 a(for internal use only)'!P22</f>
        <v>222000</v>
      </c>
      <c r="Q23" s="652">
        <f>'far 1 a(for internal use only)'!Q22</f>
        <v>222000</v>
      </c>
      <c r="R23" s="652">
        <f>'far 1 a(for internal use only)'!R22</f>
        <v>270000</v>
      </c>
      <c r="S23" s="662">
        <f t="shared" ref="S23:S32" si="13">SUM(O23:R23)</f>
        <v>1008000</v>
      </c>
      <c r="T23" s="652">
        <f>'far 1 a(for internal use only)'!T22</f>
        <v>220000</v>
      </c>
      <c r="U23" s="652">
        <f>'far 1 a(for internal use only)'!U22</f>
        <v>290160.33999999997</v>
      </c>
      <c r="V23" s="652">
        <f>'far 1 a(for internal use only)'!V22</f>
        <v>223100</v>
      </c>
      <c r="W23" s="652">
        <f>'far 1 a(for internal use only)'!W22</f>
        <v>274739.66000000003</v>
      </c>
      <c r="X23" s="662">
        <f t="shared" ref="X23:X32" si="14">SUM(T23:W23)</f>
        <v>1008000</v>
      </c>
      <c r="Y23" s="662">
        <f t="shared" ref="Y23:Y32" si="15">I23-N23</f>
        <v>0</v>
      </c>
      <c r="Z23" s="662">
        <f t="shared" ref="Z23:Z32" si="16">N23-S23</f>
        <v>0</v>
      </c>
      <c r="AA23" s="684">
        <f>'far 1 a(for internal use only)'!AA22</f>
        <v>0</v>
      </c>
      <c r="AB23" s="663">
        <f t="shared" ref="AB23:AB32" si="17">+S23-X23-AA23</f>
        <v>0</v>
      </c>
    </row>
    <row r="24" spans="1:28" s="90" customFormat="1" ht="14.1" customHeight="1" x14ac:dyDescent="0.2">
      <c r="A24" s="301"/>
      <c r="B24" s="349" t="s">
        <v>290</v>
      </c>
      <c r="C24" s="608"/>
      <c r="D24" s="608"/>
      <c r="E24" s="608"/>
      <c r="F24" s="370" t="s">
        <v>291</v>
      </c>
      <c r="G24" s="652">
        <f>'far 1 a(for internal use only)'!G23</f>
        <v>0</v>
      </c>
      <c r="H24" s="652">
        <f>'far 1 a(for internal use only)'!H23</f>
        <v>0</v>
      </c>
      <c r="I24" s="660">
        <f t="shared" si="10"/>
        <v>0</v>
      </c>
      <c r="J24" s="660">
        <f t="shared" si="11"/>
        <v>0</v>
      </c>
      <c r="K24" s="652">
        <f>'far 1 a(for internal use only)'!K23</f>
        <v>0</v>
      </c>
      <c r="L24" s="652">
        <f>'far 1 a(for internal use only)'!L23</f>
        <v>0</v>
      </c>
      <c r="M24" s="652">
        <f>'far 1 a(for internal use only)'!M23</f>
        <v>0</v>
      </c>
      <c r="N24" s="661">
        <f t="shared" si="12"/>
        <v>0</v>
      </c>
      <c r="O24" s="652">
        <f>'far 1 a(for internal use only)'!O23</f>
        <v>40000</v>
      </c>
      <c r="P24" s="652">
        <f>'far 1 a(for internal use only)'!P23</f>
        <v>40000</v>
      </c>
      <c r="Q24" s="652">
        <f>'far 1 a(for internal use only)'!Q23</f>
        <v>55000</v>
      </c>
      <c r="R24" s="652">
        <f>'far 1 a(for internal use only)'!R23</f>
        <v>-135000</v>
      </c>
      <c r="S24" s="662">
        <f t="shared" si="13"/>
        <v>0</v>
      </c>
      <c r="T24" s="652">
        <f>'far 1 a(for internal use only)'!T23</f>
        <v>40000</v>
      </c>
      <c r="U24" s="652">
        <f>'far 1 a(for internal use only)'!U23</f>
        <v>40000</v>
      </c>
      <c r="V24" s="652">
        <f>'far 1 a(for internal use only)'!V23</f>
        <v>55000</v>
      </c>
      <c r="W24" s="652">
        <f>'far 1 a(for internal use only)'!W23</f>
        <v>-135000</v>
      </c>
      <c r="X24" s="662">
        <f t="shared" si="14"/>
        <v>0</v>
      </c>
      <c r="Y24" s="662">
        <f t="shared" si="15"/>
        <v>0</v>
      </c>
      <c r="Z24" s="662">
        <f t="shared" si="16"/>
        <v>0</v>
      </c>
      <c r="AA24" s="684">
        <f>'far 1 a(for internal use only)'!AA23</f>
        <v>0</v>
      </c>
      <c r="AB24" s="663">
        <f t="shared" si="17"/>
        <v>0</v>
      </c>
    </row>
    <row r="25" spans="1:28" s="90" customFormat="1" ht="14.1" customHeight="1" x14ac:dyDescent="0.2">
      <c r="A25" s="301"/>
      <c r="B25" s="349" t="s">
        <v>292</v>
      </c>
      <c r="C25" s="608"/>
      <c r="D25" s="608"/>
      <c r="E25" s="608"/>
      <c r="F25" s="370" t="s">
        <v>293</v>
      </c>
      <c r="G25" s="652">
        <f>'far 1 a(for internal use only)'!G24</f>
        <v>0</v>
      </c>
      <c r="H25" s="652">
        <f>'far 1 a(for internal use only)'!H24</f>
        <v>0</v>
      </c>
      <c r="I25" s="660">
        <f t="shared" si="10"/>
        <v>0</v>
      </c>
      <c r="J25" s="660">
        <f t="shared" si="11"/>
        <v>0</v>
      </c>
      <c r="K25" s="652">
        <f>'far 1 a(for internal use only)'!K24</f>
        <v>0</v>
      </c>
      <c r="L25" s="652">
        <f>'far 1 a(for internal use only)'!L24</f>
        <v>0</v>
      </c>
      <c r="M25" s="652">
        <f>'far 1 a(for internal use only)'!M24</f>
        <v>0</v>
      </c>
      <c r="N25" s="661">
        <f t="shared" si="12"/>
        <v>0</v>
      </c>
      <c r="O25" s="652">
        <f>'far 1 a(for internal use only)'!O24</f>
        <v>40000</v>
      </c>
      <c r="P25" s="652">
        <f>'far 1 a(for internal use only)'!P24</f>
        <v>40000</v>
      </c>
      <c r="Q25" s="652">
        <f>'far 1 a(for internal use only)'!Q24</f>
        <v>55000</v>
      </c>
      <c r="R25" s="652">
        <f>'far 1 a(for internal use only)'!R24</f>
        <v>-135000</v>
      </c>
      <c r="S25" s="662">
        <f t="shared" si="13"/>
        <v>0</v>
      </c>
      <c r="T25" s="652">
        <f>'far 1 a(for internal use only)'!T24</f>
        <v>40000</v>
      </c>
      <c r="U25" s="652">
        <f>'far 1 a(for internal use only)'!U24</f>
        <v>40000</v>
      </c>
      <c r="V25" s="652">
        <f>'far 1 a(for internal use only)'!V24</f>
        <v>55000</v>
      </c>
      <c r="W25" s="652">
        <f>'far 1 a(for internal use only)'!W24</f>
        <v>-135000</v>
      </c>
      <c r="X25" s="662">
        <f t="shared" si="14"/>
        <v>0</v>
      </c>
      <c r="Y25" s="662">
        <f t="shared" si="15"/>
        <v>0</v>
      </c>
      <c r="Z25" s="662">
        <f t="shared" si="16"/>
        <v>0</v>
      </c>
      <c r="AA25" s="684">
        <f>'far 1 a(for internal use only)'!AA24</f>
        <v>0</v>
      </c>
      <c r="AB25" s="663">
        <f t="shared" si="17"/>
        <v>0</v>
      </c>
    </row>
    <row r="26" spans="1:28" s="90" customFormat="1" ht="14.1" customHeight="1" x14ac:dyDescent="0.2">
      <c r="A26" s="301"/>
      <c r="B26" s="349" t="s">
        <v>294</v>
      </c>
      <c r="C26" s="608"/>
      <c r="D26" s="608"/>
      <c r="E26" s="608"/>
      <c r="F26" s="370" t="s">
        <v>295</v>
      </c>
      <c r="G26" s="652">
        <f>'far 1 a(for internal use only)'!G25</f>
        <v>210000</v>
      </c>
      <c r="H26" s="652">
        <f>'far 1 a(for internal use only)'!H25</f>
        <v>0</v>
      </c>
      <c r="I26" s="660">
        <f t="shared" si="10"/>
        <v>210000</v>
      </c>
      <c r="J26" s="660">
        <f t="shared" si="11"/>
        <v>210000</v>
      </c>
      <c r="K26" s="652">
        <f>'far 1 a(for internal use only)'!K25</f>
        <v>0</v>
      </c>
      <c r="L26" s="652">
        <f>'far 1 a(for internal use only)'!L25</f>
        <v>0</v>
      </c>
      <c r="M26" s="652">
        <f>'far 1 a(for internal use only)'!M25</f>
        <v>0</v>
      </c>
      <c r="N26" s="661">
        <f t="shared" si="12"/>
        <v>210000</v>
      </c>
      <c r="O26" s="652">
        <f>'far 1 a(for internal use only)'!O25</f>
        <v>185000</v>
      </c>
      <c r="P26" s="652">
        <f>'far 1 a(for internal use only)'!P25</f>
        <v>0</v>
      </c>
      <c r="Q26" s="652">
        <f>'far 1 a(for internal use only)'!Q25</f>
        <v>0</v>
      </c>
      <c r="R26" s="652">
        <f>'far 1 a(for internal use only)'!R25</f>
        <v>25000</v>
      </c>
      <c r="S26" s="662">
        <f t="shared" si="13"/>
        <v>210000</v>
      </c>
      <c r="T26" s="652">
        <f>'far 1 a(for internal use only)'!T25</f>
        <v>185000</v>
      </c>
      <c r="U26" s="652">
        <f>'far 1 a(for internal use only)'!U25</f>
        <v>0</v>
      </c>
      <c r="V26" s="652">
        <f>'far 1 a(for internal use only)'!V25</f>
        <v>0</v>
      </c>
      <c r="W26" s="652">
        <f>'far 1 a(for internal use only)'!W25</f>
        <v>25000</v>
      </c>
      <c r="X26" s="662">
        <f t="shared" si="14"/>
        <v>210000</v>
      </c>
      <c r="Y26" s="662">
        <f t="shared" si="15"/>
        <v>0</v>
      </c>
      <c r="Z26" s="662">
        <f t="shared" si="16"/>
        <v>0</v>
      </c>
      <c r="AA26" s="684">
        <f>'far 1 a(for internal use only)'!AA25</f>
        <v>0</v>
      </c>
      <c r="AB26" s="663">
        <f t="shared" si="17"/>
        <v>0</v>
      </c>
    </row>
    <row r="27" spans="1:28" s="90" customFormat="1" ht="14.1" customHeight="1" x14ac:dyDescent="0.2">
      <c r="A27" s="301"/>
      <c r="B27" s="349" t="s">
        <v>814</v>
      </c>
      <c r="C27" s="864"/>
      <c r="D27" s="864"/>
      <c r="E27" s="864"/>
      <c r="F27" s="370" t="s">
        <v>815</v>
      </c>
      <c r="G27" s="652">
        <f>'far 1 a(for internal use only)'!G26</f>
        <v>0</v>
      </c>
      <c r="H27" s="652">
        <f>'[2]far 1 a(for internal use only)'!H26</f>
        <v>0</v>
      </c>
      <c r="I27" s="660">
        <f t="shared" si="10"/>
        <v>0</v>
      </c>
      <c r="J27" s="660">
        <f t="shared" si="11"/>
        <v>0</v>
      </c>
      <c r="K27" s="652">
        <f>'[2]far 1 a(for internal use only)'!K26</f>
        <v>0</v>
      </c>
      <c r="L27" s="652">
        <f>'[2]far 1 a(for internal use only)'!L26</f>
        <v>0</v>
      </c>
      <c r="M27" s="652">
        <f>+'far 1 a(for internal use only)'!M26</f>
        <v>192161.25</v>
      </c>
      <c r="N27" s="661">
        <f t="shared" si="12"/>
        <v>192161.25</v>
      </c>
      <c r="O27" s="652">
        <f>'[2]far 1 a(for internal use only)'!O26</f>
        <v>0</v>
      </c>
      <c r="P27" s="652">
        <f>'[2]far 1 a(for internal use only)'!P26</f>
        <v>0</v>
      </c>
      <c r="Q27" s="652">
        <f>'[2]far 1 a(for internal use only)'!Q26</f>
        <v>0</v>
      </c>
      <c r="R27" s="652">
        <f>'far 1 a(for internal use only)'!R26</f>
        <v>192161.19</v>
      </c>
      <c r="S27" s="662">
        <f t="shared" si="13"/>
        <v>192161.19</v>
      </c>
      <c r="T27" s="652">
        <f>'[2]far 1 a(for internal use only)'!T26</f>
        <v>0</v>
      </c>
      <c r="U27" s="652">
        <f>'[2]far 1 a(for internal use only)'!U26</f>
        <v>0</v>
      </c>
      <c r="V27" s="652">
        <f>'[2]far 1 a(for internal use only)'!V26</f>
        <v>0</v>
      </c>
      <c r="W27" s="652">
        <f>'far 1 a(for internal use only)'!W26</f>
        <v>192161.19</v>
      </c>
      <c r="X27" s="662">
        <f t="shared" si="14"/>
        <v>192161.19</v>
      </c>
      <c r="Y27" s="662">
        <f t="shared" si="15"/>
        <v>-192161.25</v>
      </c>
      <c r="Z27" s="662">
        <f t="shared" si="16"/>
        <v>5.9999999997671694E-2</v>
      </c>
      <c r="AA27" s="684">
        <f>'[2]far 1 a(for internal use only)'!AA26</f>
        <v>0</v>
      </c>
      <c r="AB27" s="663">
        <f t="shared" si="17"/>
        <v>0</v>
      </c>
    </row>
    <row r="28" spans="1:28" s="90" customFormat="1" ht="14.1" customHeight="1" x14ac:dyDescent="0.2">
      <c r="A28" s="301"/>
      <c r="B28" s="349" t="s">
        <v>816</v>
      </c>
      <c r="C28" s="864"/>
      <c r="D28" s="864"/>
      <c r="E28" s="864"/>
      <c r="F28" s="370" t="s">
        <v>817</v>
      </c>
      <c r="G28" s="652">
        <f>'far 1 a(for internal use only)'!G27</f>
        <v>0</v>
      </c>
      <c r="H28" s="652">
        <f>'[2]far 1 a(for internal use only)'!H27</f>
        <v>0</v>
      </c>
      <c r="I28" s="660">
        <f t="shared" si="10"/>
        <v>0</v>
      </c>
      <c r="J28" s="660">
        <f t="shared" si="11"/>
        <v>0</v>
      </c>
      <c r="K28" s="652">
        <f>'[2]far 1 a(for internal use only)'!K27</f>
        <v>0</v>
      </c>
      <c r="L28" s="652">
        <f>'[2]far 1 a(for internal use only)'!L27</f>
        <v>0</v>
      </c>
      <c r="M28" s="652">
        <f>+'far 1 a(for internal use only)'!M27</f>
        <v>26203.81</v>
      </c>
      <c r="N28" s="661">
        <f t="shared" si="12"/>
        <v>26203.81</v>
      </c>
      <c r="O28" s="652">
        <f>'[2]far 1 a(for internal use only)'!O27</f>
        <v>0</v>
      </c>
      <c r="P28" s="652">
        <f>'[2]far 1 a(for internal use only)'!P27</f>
        <v>0</v>
      </c>
      <c r="Q28" s="652">
        <f>'[2]far 1 a(for internal use only)'!Q27</f>
        <v>0</v>
      </c>
      <c r="R28" s="652">
        <f>'far 1 a(for internal use only)'!R27</f>
        <v>26203.71</v>
      </c>
      <c r="S28" s="662">
        <f t="shared" si="13"/>
        <v>26203.71</v>
      </c>
      <c r="T28" s="652">
        <f>'[2]far 1 a(for internal use only)'!T27</f>
        <v>0</v>
      </c>
      <c r="U28" s="652">
        <f>'[2]far 1 a(for internal use only)'!U27</f>
        <v>0</v>
      </c>
      <c r="V28" s="652">
        <f>'[2]far 1 a(for internal use only)'!V27</f>
        <v>0</v>
      </c>
      <c r="W28" s="652">
        <f>'far 1 a(for internal use only)'!W27</f>
        <v>26203.71</v>
      </c>
      <c r="X28" s="662">
        <f t="shared" si="14"/>
        <v>26203.71</v>
      </c>
      <c r="Y28" s="662">
        <f t="shared" si="15"/>
        <v>-26203.81</v>
      </c>
      <c r="Z28" s="662">
        <f t="shared" si="16"/>
        <v>0.10000000000218279</v>
      </c>
      <c r="AA28" s="684">
        <f>'[2]far 1 a(for internal use only)'!AA27</f>
        <v>0</v>
      </c>
      <c r="AB28" s="663">
        <f t="shared" si="17"/>
        <v>0</v>
      </c>
    </row>
    <row r="29" spans="1:28" s="90" customFormat="1" ht="14.1" customHeight="1" x14ac:dyDescent="0.2">
      <c r="A29" s="301"/>
      <c r="B29" s="349" t="s">
        <v>296</v>
      </c>
      <c r="C29" s="608"/>
      <c r="D29" s="608"/>
      <c r="E29" s="608"/>
      <c r="F29" s="370" t="s">
        <v>297</v>
      </c>
      <c r="G29" s="652">
        <f>'far 1 a(for internal use only)'!G28</f>
        <v>0</v>
      </c>
      <c r="H29" s="652">
        <f>'far 1 a(for internal use only)'!H28</f>
        <v>0</v>
      </c>
      <c r="I29" s="660">
        <f t="shared" si="10"/>
        <v>0</v>
      </c>
      <c r="J29" s="660">
        <f t="shared" si="11"/>
        <v>0</v>
      </c>
      <c r="K29" s="652">
        <f>'far 1 a(for internal use only)'!K28</f>
        <v>0</v>
      </c>
      <c r="L29" s="652">
        <f>'far 1 a(for internal use only)'!L28</f>
        <v>0</v>
      </c>
      <c r="M29" s="652">
        <f>'far 1 a(for internal use only)'!M28</f>
        <v>0</v>
      </c>
      <c r="N29" s="661">
        <f t="shared" si="12"/>
        <v>0</v>
      </c>
      <c r="O29" s="652">
        <f>'far 1 a(for internal use only)'!O28</f>
        <v>0</v>
      </c>
      <c r="P29" s="652">
        <f>'far 1 a(for internal use only)'!P28</f>
        <v>0</v>
      </c>
      <c r="Q29" s="652">
        <f>'far 1 a(for internal use only)'!Q28</f>
        <v>0</v>
      </c>
      <c r="R29" s="652">
        <f>'far 1 a(for internal use only)'!R28</f>
        <v>0</v>
      </c>
      <c r="S29" s="662">
        <f t="shared" si="13"/>
        <v>0</v>
      </c>
      <c r="T29" s="652">
        <f>'far 1 a(for internal use only)'!T28</f>
        <v>0</v>
      </c>
      <c r="U29" s="652">
        <f>'far 1 a(for internal use only)'!U28</f>
        <v>0</v>
      </c>
      <c r="V29" s="652">
        <f>'far 1 a(for internal use only)'!V28</f>
        <v>0</v>
      </c>
      <c r="W29" s="652">
        <f>'far 1 a(for internal use only)'!W28</f>
        <v>0</v>
      </c>
      <c r="X29" s="662">
        <f t="shared" si="14"/>
        <v>0</v>
      </c>
      <c r="Y29" s="662">
        <f t="shared" si="15"/>
        <v>0</v>
      </c>
      <c r="Z29" s="662">
        <f t="shared" si="16"/>
        <v>0</v>
      </c>
      <c r="AA29" s="684">
        <f>'far 1 a(for internal use only)'!AA28</f>
        <v>0</v>
      </c>
      <c r="AB29" s="663">
        <f t="shared" si="17"/>
        <v>0</v>
      </c>
    </row>
    <row r="30" spans="1:28" s="90" customFormat="1" ht="14.1" customHeight="1" x14ac:dyDescent="0.2">
      <c r="A30" s="301"/>
      <c r="B30" s="349" t="s">
        <v>298</v>
      </c>
      <c r="C30" s="608"/>
      <c r="D30" s="608"/>
      <c r="E30" s="608"/>
      <c r="F30" s="370" t="s">
        <v>299</v>
      </c>
      <c r="G30" s="652">
        <f>'far 1 a(for internal use only)'!G29</f>
        <v>0</v>
      </c>
      <c r="H30" s="652">
        <f>'far 1 a(for internal use only)'!H29</f>
        <v>0</v>
      </c>
      <c r="I30" s="660">
        <f t="shared" si="10"/>
        <v>0</v>
      </c>
      <c r="J30" s="660">
        <f t="shared" si="11"/>
        <v>0</v>
      </c>
      <c r="K30" s="652">
        <f>'far 1 a(for internal use only)'!K29</f>
        <v>0</v>
      </c>
      <c r="L30" s="652">
        <f>'far 1 a(for internal use only)'!L29</f>
        <v>0</v>
      </c>
      <c r="M30" s="652">
        <f>'far 1 a(for internal use only)'!M29</f>
        <v>0</v>
      </c>
      <c r="N30" s="661">
        <f t="shared" si="12"/>
        <v>0</v>
      </c>
      <c r="O30" s="652">
        <f>'far 1 a(for internal use only)'!O29</f>
        <v>0</v>
      </c>
      <c r="P30" s="652">
        <f>'far 1 a(for internal use only)'!P29</f>
        <v>5000</v>
      </c>
      <c r="Q30" s="652">
        <f>'far 1 a(for internal use only)'!Q29</f>
        <v>0</v>
      </c>
      <c r="R30" s="652">
        <f>'far 1 a(for internal use only)'!R29</f>
        <v>-5000</v>
      </c>
      <c r="S30" s="662">
        <f t="shared" si="13"/>
        <v>0</v>
      </c>
      <c r="T30" s="652">
        <f>'far 1 a(for internal use only)'!T29</f>
        <v>0</v>
      </c>
      <c r="U30" s="652">
        <f>'far 1 a(for internal use only)'!U29</f>
        <v>5000</v>
      </c>
      <c r="V30" s="652">
        <f>'far 1 a(for internal use only)'!V29</f>
        <v>0</v>
      </c>
      <c r="W30" s="652">
        <f>'far 1 a(for internal use only)'!W29</f>
        <v>-5000</v>
      </c>
      <c r="X30" s="662">
        <f t="shared" si="14"/>
        <v>0</v>
      </c>
      <c r="Y30" s="662">
        <f t="shared" si="15"/>
        <v>0</v>
      </c>
      <c r="Z30" s="662">
        <f t="shared" si="16"/>
        <v>0</v>
      </c>
      <c r="AA30" s="684">
        <f>'far 1 a(for internal use only)'!AA29</f>
        <v>0</v>
      </c>
      <c r="AB30" s="663">
        <f t="shared" si="17"/>
        <v>0</v>
      </c>
    </row>
    <row r="31" spans="1:28" s="90" customFormat="1" ht="14.1" customHeight="1" x14ac:dyDescent="0.2">
      <c r="A31" s="301"/>
      <c r="B31" s="349" t="s">
        <v>300</v>
      </c>
      <c r="C31" s="608"/>
      <c r="D31" s="608"/>
      <c r="E31" s="608"/>
      <c r="F31" s="370" t="s">
        <v>301</v>
      </c>
      <c r="G31" s="652">
        <f>'far 1 a(for internal use only)'!G30</f>
        <v>1152000</v>
      </c>
      <c r="H31" s="652">
        <f>'far 1 a(for internal use only)'!H30</f>
        <v>0</v>
      </c>
      <c r="I31" s="660">
        <f t="shared" si="10"/>
        <v>1152000</v>
      </c>
      <c r="J31" s="660">
        <f t="shared" si="11"/>
        <v>1152000</v>
      </c>
      <c r="K31" s="652">
        <f>'far 1 a(for internal use only)'!K30</f>
        <v>0</v>
      </c>
      <c r="L31" s="652">
        <f>'far 1 a(for internal use only)'!L30</f>
        <v>0</v>
      </c>
      <c r="M31" s="652">
        <f>'far 1 a(for internal use only)'!M30</f>
        <v>0</v>
      </c>
      <c r="N31" s="661">
        <f t="shared" si="12"/>
        <v>1152000</v>
      </c>
      <c r="O31" s="652">
        <f>'far 1 a(for internal use only)'!O30</f>
        <v>0</v>
      </c>
      <c r="P31" s="652">
        <f>'far 1 a(for internal use only)'!P30</f>
        <v>1123714</v>
      </c>
      <c r="Q31" s="652">
        <f>'far 1 a(for internal use only)'!Q30</f>
        <v>0</v>
      </c>
      <c r="R31" s="652">
        <f>'far 1 a(for internal use only)'!R30</f>
        <v>28286</v>
      </c>
      <c r="S31" s="662">
        <f t="shared" si="13"/>
        <v>1152000</v>
      </c>
      <c r="T31" s="652">
        <f>'far 1 a(for internal use only)'!T30</f>
        <v>0</v>
      </c>
      <c r="U31" s="652">
        <f>'far 1 a(for internal use only)'!U30</f>
        <v>1123714</v>
      </c>
      <c r="V31" s="652">
        <f>'far 1 a(for internal use only)'!V30</f>
        <v>0</v>
      </c>
      <c r="W31" s="652">
        <f>'far 1 a(for internal use only)'!W30</f>
        <v>28286</v>
      </c>
      <c r="X31" s="662">
        <f t="shared" si="14"/>
        <v>1152000</v>
      </c>
      <c r="Y31" s="662">
        <f t="shared" si="15"/>
        <v>0</v>
      </c>
      <c r="Z31" s="662">
        <f t="shared" si="16"/>
        <v>0</v>
      </c>
      <c r="AA31" s="684">
        <f>'far 1 a(for internal use only)'!AA30</f>
        <v>0</v>
      </c>
      <c r="AB31" s="663">
        <f t="shared" si="17"/>
        <v>0</v>
      </c>
    </row>
    <row r="32" spans="1:28" s="90" customFormat="1" ht="14.1" customHeight="1" x14ac:dyDescent="0.2">
      <c r="A32" s="301"/>
      <c r="B32" s="349" t="s">
        <v>302</v>
      </c>
      <c r="C32" s="608"/>
      <c r="D32" s="608"/>
      <c r="E32" s="608"/>
      <c r="F32" s="370" t="s">
        <v>303</v>
      </c>
      <c r="G32" s="652">
        <f>'far 1 a(for internal use only)'!G31</f>
        <v>210000</v>
      </c>
      <c r="H32" s="652">
        <f>'far 1 a(for internal use only)'!H31</f>
        <v>0</v>
      </c>
      <c r="I32" s="660">
        <f t="shared" si="10"/>
        <v>210000</v>
      </c>
      <c r="J32" s="660">
        <f t="shared" si="11"/>
        <v>210000</v>
      </c>
      <c r="K32" s="652">
        <f>'far 1 a(for internal use only)'!K31</f>
        <v>0</v>
      </c>
      <c r="L32" s="652">
        <f>'far 1 a(for internal use only)'!L31</f>
        <v>0</v>
      </c>
      <c r="M32" s="652">
        <f>'far 1 a(for internal use only)'!M31</f>
        <v>0</v>
      </c>
      <c r="N32" s="661">
        <f t="shared" si="12"/>
        <v>210000</v>
      </c>
      <c r="O32" s="652">
        <f>'far 1 a(for internal use only)'!O31</f>
        <v>0</v>
      </c>
      <c r="P32" s="652">
        <f>'far 1 a(for internal use only)'!P31</f>
        <v>0</v>
      </c>
      <c r="Q32" s="652">
        <f>'far 1 a(for internal use only)'!Q31</f>
        <v>0</v>
      </c>
      <c r="R32" s="652">
        <f>'far 1 a(for internal use only)'!R31</f>
        <v>210000</v>
      </c>
      <c r="S32" s="662">
        <f t="shared" si="13"/>
        <v>210000</v>
      </c>
      <c r="T32" s="652">
        <f>'far 1 a(for internal use only)'!T31</f>
        <v>0</v>
      </c>
      <c r="U32" s="652">
        <f>'far 1 a(for internal use only)'!U31</f>
        <v>0</v>
      </c>
      <c r="V32" s="652">
        <f>'far 1 a(for internal use only)'!V31</f>
        <v>0</v>
      </c>
      <c r="W32" s="652">
        <f>'far 1 a(for internal use only)'!W31</f>
        <v>210000</v>
      </c>
      <c r="X32" s="662">
        <f t="shared" si="14"/>
        <v>210000</v>
      </c>
      <c r="Y32" s="662">
        <f t="shared" si="15"/>
        <v>0</v>
      </c>
      <c r="Z32" s="662">
        <f t="shared" si="16"/>
        <v>0</v>
      </c>
      <c r="AA32" s="684">
        <f>'far 1 a(for internal use only)'!AA31</f>
        <v>0</v>
      </c>
      <c r="AB32" s="663">
        <f t="shared" si="17"/>
        <v>0</v>
      </c>
    </row>
    <row r="33" spans="1:28" s="90" customFormat="1" ht="14.1" customHeight="1" x14ac:dyDescent="0.2">
      <c r="A33" s="301"/>
      <c r="B33" s="349" t="s">
        <v>304</v>
      </c>
      <c r="C33" s="608"/>
      <c r="D33" s="608"/>
      <c r="E33" s="608"/>
      <c r="F33" s="370" t="s">
        <v>305</v>
      </c>
      <c r="G33" s="652">
        <f>'far 1 a(for internal use only)'!G32</f>
        <v>0</v>
      </c>
      <c r="H33" s="652">
        <f>'far 1 a(for internal use only)'!H32</f>
        <v>0</v>
      </c>
      <c r="I33" s="660">
        <f t="shared" ref="I33:I34" si="18">G33+H33</f>
        <v>0</v>
      </c>
      <c r="J33" s="660">
        <f t="shared" ref="J33:J34" si="19">I33</f>
        <v>0</v>
      </c>
      <c r="K33" s="652">
        <f>'far 1 a(for internal use only)'!K32</f>
        <v>975000</v>
      </c>
      <c r="L33" s="652">
        <f>'far 1 a(for internal use only)'!L32</f>
        <v>0</v>
      </c>
      <c r="M33" s="652">
        <f>'far 1 a(for internal use only)'!M32</f>
        <v>0</v>
      </c>
      <c r="N33" s="661">
        <f t="shared" ref="N33:N34" si="20">J33+K33-L33+M33</f>
        <v>975000</v>
      </c>
      <c r="O33" s="652">
        <f>'far 1 a(for internal use only)'!O32</f>
        <v>0</v>
      </c>
      <c r="P33" s="652">
        <f>'far 1 a(for internal use only)'!P32</f>
        <v>0</v>
      </c>
      <c r="Q33" s="652">
        <f>'far 1 a(for internal use only)'!Q32</f>
        <v>0</v>
      </c>
      <c r="R33" s="652">
        <f>'far 1 a(for internal use only)'!R32</f>
        <v>975000</v>
      </c>
      <c r="S33" s="662">
        <f t="shared" ref="S33:S34" si="21">SUM(O33:R33)</f>
        <v>975000</v>
      </c>
      <c r="T33" s="652">
        <f>'far 1 a(for internal use only)'!T32</f>
        <v>0</v>
      </c>
      <c r="U33" s="652">
        <f>'far 1 a(for internal use only)'!U32</f>
        <v>0</v>
      </c>
      <c r="V33" s="652">
        <f>'far 1 a(for internal use only)'!V32</f>
        <v>0</v>
      </c>
      <c r="W33" s="652">
        <f>'far 1 a(for internal use only)'!W32</f>
        <v>975000</v>
      </c>
      <c r="X33" s="662">
        <f t="shared" ref="X33:X34" si="22">SUM(T33:W33)</f>
        <v>975000</v>
      </c>
      <c r="Y33" s="662">
        <f t="shared" ref="Y33:Y34" si="23">I33-N33</f>
        <v>-975000</v>
      </c>
      <c r="Z33" s="662">
        <f t="shared" ref="Z33:Z34" si="24">N33-S33</f>
        <v>0</v>
      </c>
      <c r="AA33" s="684">
        <f>'far 1 a(for internal use only)'!AA32</f>
        <v>0</v>
      </c>
      <c r="AB33" s="663">
        <f t="shared" ref="AB33:AB34" si="25">+S33-X33-AA33</f>
        <v>0</v>
      </c>
    </row>
    <row r="34" spans="1:28" s="90" customFormat="1" ht="14.1" customHeight="1" x14ac:dyDescent="0.2">
      <c r="A34" s="301"/>
      <c r="B34" s="349" t="s">
        <v>735</v>
      </c>
      <c r="C34" s="744"/>
      <c r="D34" s="744"/>
      <c r="E34" s="744"/>
      <c r="F34" s="370" t="s">
        <v>486</v>
      </c>
      <c r="G34" s="652">
        <f>'far 1 a(for internal use only)'!G33</f>
        <v>210000</v>
      </c>
      <c r="H34" s="652">
        <f>'far 1 a(for internal use only)'!H33</f>
        <v>0</v>
      </c>
      <c r="I34" s="660">
        <f t="shared" si="18"/>
        <v>210000</v>
      </c>
      <c r="J34" s="660">
        <f t="shared" si="19"/>
        <v>210000</v>
      </c>
      <c r="K34" s="652">
        <f>'far 1 a(for internal use only)'!K33</f>
        <v>0</v>
      </c>
      <c r="L34" s="652">
        <f>'far 1 a(for internal use only)'!L33</f>
        <v>0</v>
      </c>
      <c r="M34" s="652">
        <f>'far 1 a(for internal use only)'!M33</f>
        <v>0</v>
      </c>
      <c r="N34" s="661">
        <f t="shared" si="20"/>
        <v>210000</v>
      </c>
      <c r="O34" s="652">
        <f>'far 1 a(for internal use only)'!O33</f>
        <v>0</v>
      </c>
      <c r="P34" s="652">
        <f>'far 1 a(for internal use only)'!P33</f>
        <v>0</v>
      </c>
      <c r="Q34" s="652">
        <f>'far 1 a(for internal use only)'!Q33</f>
        <v>0</v>
      </c>
      <c r="R34" s="652">
        <f>'far 1 a(for internal use only)'!R33</f>
        <v>210000</v>
      </c>
      <c r="S34" s="662">
        <f t="shared" si="21"/>
        <v>210000</v>
      </c>
      <c r="T34" s="652">
        <f>'far 1 a(for internal use only)'!T33</f>
        <v>0</v>
      </c>
      <c r="U34" s="652">
        <f>'far 1 a(for internal use only)'!U33</f>
        <v>0</v>
      </c>
      <c r="V34" s="652">
        <f>'far 1 a(for internal use only)'!V33</f>
        <v>0</v>
      </c>
      <c r="W34" s="652">
        <f>'far 1 a(for internal use only)'!W33</f>
        <v>210000</v>
      </c>
      <c r="X34" s="662">
        <f t="shared" si="22"/>
        <v>210000</v>
      </c>
      <c r="Y34" s="662">
        <f t="shared" si="23"/>
        <v>0</v>
      </c>
      <c r="Z34" s="662">
        <f t="shared" si="24"/>
        <v>0</v>
      </c>
      <c r="AA34" s="684">
        <f>'far 1 a(for internal use only)'!AA33</f>
        <v>0</v>
      </c>
      <c r="AB34" s="663">
        <f t="shared" si="25"/>
        <v>0</v>
      </c>
    </row>
    <row r="35" spans="1:28" s="90" customFormat="1" ht="14.1" customHeight="1" x14ac:dyDescent="0.2">
      <c r="A35" s="301"/>
      <c r="B35" s="348" t="s">
        <v>306</v>
      </c>
      <c r="C35" s="608"/>
      <c r="D35" s="608"/>
      <c r="E35" s="608"/>
      <c r="F35" s="370"/>
      <c r="G35" s="664"/>
      <c r="H35" s="652"/>
      <c r="I35" s="664"/>
      <c r="J35" s="664"/>
      <c r="K35" s="652"/>
      <c r="L35" s="652"/>
      <c r="M35" s="652"/>
      <c r="N35" s="665"/>
      <c r="O35" s="652"/>
      <c r="P35" s="652"/>
      <c r="Q35" s="652"/>
      <c r="R35" s="652"/>
      <c r="S35" s="666"/>
      <c r="T35" s="652"/>
      <c r="U35" s="652"/>
      <c r="V35" s="652"/>
      <c r="W35" s="652"/>
      <c r="X35" s="666"/>
      <c r="Y35" s="666"/>
      <c r="Z35" s="666"/>
      <c r="AA35" s="684"/>
      <c r="AB35" s="667"/>
    </row>
    <row r="36" spans="1:28" s="90" customFormat="1" ht="14.1" customHeight="1" x14ac:dyDescent="0.2">
      <c r="A36" s="301"/>
      <c r="B36" s="349" t="s">
        <v>307</v>
      </c>
      <c r="C36" s="608"/>
      <c r="D36" s="608"/>
      <c r="E36" s="608"/>
      <c r="F36" s="370" t="s">
        <v>308</v>
      </c>
      <c r="G36" s="652">
        <f>'far 1 a(for internal use only)'!G35</f>
        <v>50000</v>
      </c>
      <c r="H36" s="652">
        <f>'far 1 a(for internal use only)'!H35</f>
        <v>0</v>
      </c>
      <c r="I36" s="660">
        <f t="shared" ref="I36:I38" si="26">G36+H36</f>
        <v>50000</v>
      </c>
      <c r="J36" s="660">
        <f t="shared" ref="J36:J38" si="27">I36</f>
        <v>50000</v>
      </c>
      <c r="K36" s="652">
        <f>'far 1 a(for internal use only)'!K35</f>
        <v>0</v>
      </c>
      <c r="L36" s="652">
        <f>'far 1 a(for internal use only)'!L35</f>
        <v>0</v>
      </c>
      <c r="M36" s="652">
        <f>'far 1 a(for internal use only)'!M35</f>
        <v>0</v>
      </c>
      <c r="N36" s="661">
        <f t="shared" ref="N36:N38" si="28">J36+K36-L36+M36</f>
        <v>50000</v>
      </c>
      <c r="O36" s="652">
        <f>'far 1 a(for internal use only)'!O35</f>
        <v>14700</v>
      </c>
      <c r="P36" s="652">
        <f>'far 1 a(for internal use only)'!P35</f>
        <v>11100</v>
      </c>
      <c r="Q36" s="652">
        <f>'far 1 a(for internal use only)'!Q35</f>
        <v>11100</v>
      </c>
      <c r="R36" s="652">
        <f>'far 1 a(for internal use only)'!R35</f>
        <v>13100</v>
      </c>
      <c r="S36" s="662">
        <f t="shared" ref="S36:S38" si="29">SUM(O36:R36)</f>
        <v>50000</v>
      </c>
      <c r="T36" s="652">
        <f>'far 1 a(for internal use only)'!T35</f>
        <v>11000</v>
      </c>
      <c r="U36" s="652">
        <f>'far 1 a(for internal use only)'!U35</f>
        <v>11100</v>
      </c>
      <c r="V36" s="652">
        <f>'far 1 a(for internal use only)'!V35</f>
        <v>11100</v>
      </c>
      <c r="W36" s="652">
        <f>'far 1 a(for internal use only)'!W35</f>
        <v>16800</v>
      </c>
      <c r="X36" s="662">
        <f t="shared" ref="X36:X38" si="30">SUM(T36:W36)</f>
        <v>50000</v>
      </c>
      <c r="Y36" s="662">
        <f t="shared" ref="Y36:Y38" si="31">I36-N36</f>
        <v>0</v>
      </c>
      <c r="Z36" s="662">
        <f t="shared" ref="Z36:Z38" si="32">N36-S36</f>
        <v>0</v>
      </c>
      <c r="AA36" s="684">
        <f>'far 1 a(for internal use only)'!AA35</f>
        <v>0</v>
      </c>
      <c r="AB36" s="663">
        <f t="shared" ref="AB36:AB38" si="33">+S36-X36-AA36</f>
        <v>0</v>
      </c>
    </row>
    <row r="37" spans="1:28" s="90" customFormat="1" ht="14.1" customHeight="1" x14ac:dyDescent="0.2">
      <c r="A37" s="301"/>
      <c r="B37" s="349" t="s">
        <v>309</v>
      </c>
      <c r="C37" s="608"/>
      <c r="D37" s="608"/>
      <c r="E37" s="608"/>
      <c r="F37" s="370" t="s">
        <v>310</v>
      </c>
      <c r="G37" s="652">
        <f>'far 1 a(for internal use only)'!G36</f>
        <v>134000</v>
      </c>
      <c r="H37" s="652">
        <f>'far 1 a(for internal use only)'!H36</f>
        <v>0</v>
      </c>
      <c r="I37" s="660">
        <f t="shared" si="26"/>
        <v>134000</v>
      </c>
      <c r="J37" s="660">
        <f t="shared" si="27"/>
        <v>134000</v>
      </c>
      <c r="K37" s="652">
        <f>'far 1 a(for internal use only)'!K36</f>
        <v>0</v>
      </c>
      <c r="L37" s="652">
        <f>'far 1 a(for internal use only)'!L36</f>
        <v>0</v>
      </c>
      <c r="M37" s="652">
        <f>'far 1 a(for internal use only)'!M36</f>
        <v>0</v>
      </c>
      <c r="N37" s="661">
        <f t="shared" si="28"/>
        <v>134000</v>
      </c>
      <c r="O37" s="652">
        <f>'far 1 a(for internal use only)'!O36</f>
        <v>47450</v>
      </c>
      <c r="P37" s="652">
        <f>'far 1 a(for internal use only)'!P36</f>
        <v>36375</v>
      </c>
      <c r="Q37" s="652">
        <f>'far 1 a(for internal use only)'!Q36</f>
        <v>36375</v>
      </c>
      <c r="R37" s="652">
        <f>'far 1 a(for internal use only)'!R36</f>
        <v>13800</v>
      </c>
      <c r="S37" s="662">
        <f t="shared" si="29"/>
        <v>134000</v>
      </c>
      <c r="T37" s="652">
        <f>'far 1 a(for internal use only)'!T36</f>
        <v>35325</v>
      </c>
      <c r="U37" s="652">
        <f>'far 1 a(for internal use only)'!U36</f>
        <v>36375</v>
      </c>
      <c r="V37" s="652">
        <f>'far 1 a(for internal use only)'!V36</f>
        <v>36375</v>
      </c>
      <c r="W37" s="652">
        <f>'far 1 a(for internal use only)'!W36</f>
        <v>25925</v>
      </c>
      <c r="X37" s="662">
        <f t="shared" si="30"/>
        <v>134000</v>
      </c>
      <c r="Y37" s="662">
        <f t="shared" si="31"/>
        <v>0</v>
      </c>
      <c r="Z37" s="662">
        <f t="shared" si="32"/>
        <v>0</v>
      </c>
      <c r="AA37" s="684">
        <f>'far 1 a(for internal use only)'!AA36</f>
        <v>0</v>
      </c>
      <c r="AB37" s="663">
        <f t="shared" si="33"/>
        <v>0</v>
      </c>
    </row>
    <row r="38" spans="1:28" s="90" customFormat="1" ht="14.1" customHeight="1" x14ac:dyDescent="0.2">
      <c r="A38" s="301"/>
      <c r="B38" s="349" t="s">
        <v>311</v>
      </c>
      <c r="C38" s="608"/>
      <c r="D38" s="608"/>
      <c r="E38" s="608"/>
      <c r="F38" s="370" t="s">
        <v>312</v>
      </c>
      <c r="G38" s="652">
        <f>'far 1 a(for internal use only)'!G37</f>
        <v>50000</v>
      </c>
      <c r="H38" s="652">
        <f>'far 1 a(for internal use only)'!H37</f>
        <v>0</v>
      </c>
      <c r="I38" s="660">
        <f t="shared" si="26"/>
        <v>50000</v>
      </c>
      <c r="J38" s="660">
        <f t="shared" si="27"/>
        <v>50000</v>
      </c>
      <c r="K38" s="652">
        <f>'far 1 a(for internal use only)'!K37</f>
        <v>0</v>
      </c>
      <c r="L38" s="652">
        <f>'far 1 a(for internal use only)'!L37</f>
        <v>0</v>
      </c>
      <c r="M38" s="652">
        <f>'far 1 a(for internal use only)'!M37</f>
        <v>0</v>
      </c>
      <c r="N38" s="661">
        <f t="shared" si="28"/>
        <v>50000</v>
      </c>
      <c r="O38" s="652">
        <f>'far 1 a(for internal use only)'!O37</f>
        <v>14700</v>
      </c>
      <c r="P38" s="652">
        <f>'far 1 a(for internal use only)'!P37</f>
        <v>11100</v>
      </c>
      <c r="Q38" s="652">
        <f>'far 1 a(for internal use only)'!Q37</f>
        <v>11100</v>
      </c>
      <c r="R38" s="652">
        <f>'far 1 a(for internal use only)'!R37</f>
        <v>12150</v>
      </c>
      <c r="S38" s="662">
        <f t="shared" si="29"/>
        <v>49050</v>
      </c>
      <c r="T38" s="652">
        <f>'far 1 a(for internal use only)'!T37</f>
        <v>11000</v>
      </c>
      <c r="U38" s="652">
        <f>'far 1 a(for internal use only)'!U37</f>
        <v>11100</v>
      </c>
      <c r="V38" s="652">
        <f>'far 1 a(for internal use only)'!V37</f>
        <v>14800</v>
      </c>
      <c r="W38" s="652">
        <f>'far 1 a(for internal use only)'!W37</f>
        <v>12150</v>
      </c>
      <c r="X38" s="662">
        <f t="shared" si="30"/>
        <v>49050</v>
      </c>
      <c r="Y38" s="662">
        <f t="shared" si="31"/>
        <v>0</v>
      </c>
      <c r="Z38" s="662">
        <f t="shared" si="32"/>
        <v>950</v>
      </c>
      <c r="AA38" s="684">
        <f>'far 1 a(for internal use only)'!AA37</f>
        <v>0</v>
      </c>
      <c r="AB38" s="663">
        <f t="shared" si="33"/>
        <v>0</v>
      </c>
    </row>
    <row r="39" spans="1:28" s="90" customFormat="1" ht="14.1" customHeight="1" x14ac:dyDescent="0.2">
      <c r="A39" s="301"/>
      <c r="B39" s="348" t="s">
        <v>313</v>
      </c>
      <c r="C39" s="608"/>
      <c r="D39" s="608"/>
      <c r="E39" s="608"/>
      <c r="F39" s="370"/>
      <c r="G39" s="664"/>
      <c r="H39" s="652"/>
      <c r="I39" s="664"/>
      <c r="J39" s="664"/>
      <c r="K39" s="652"/>
      <c r="L39" s="652"/>
      <c r="M39" s="652"/>
      <c r="N39" s="665"/>
      <c r="O39" s="652"/>
      <c r="P39" s="652"/>
      <c r="Q39" s="652"/>
      <c r="R39" s="652"/>
      <c r="S39" s="666"/>
      <c r="T39" s="652"/>
      <c r="U39" s="652"/>
      <c r="V39" s="652"/>
      <c r="W39" s="652"/>
      <c r="X39" s="666"/>
      <c r="Y39" s="666"/>
      <c r="Z39" s="666"/>
      <c r="AA39" s="684"/>
      <c r="AB39" s="667"/>
    </row>
    <row r="40" spans="1:28" s="90" customFormat="1" ht="14.1" customHeight="1" x14ac:dyDescent="0.2">
      <c r="A40" s="301"/>
      <c r="B40" s="349" t="s">
        <v>314</v>
      </c>
      <c r="C40" s="608"/>
      <c r="D40" s="608"/>
      <c r="E40" s="608"/>
      <c r="F40" s="370" t="s">
        <v>315</v>
      </c>
      <c r="G40" s="652">
        <f>'far 1 a(for internal use only)'!G39</f>
        <v>35000</v>
      </c>
      <c r="H40" s="652">
        <f>'far 1 a(for internal use only)'!H39</f>
        <v>0</v>
      </c>
      <c r="I40" s="660">
        <f t="shared" ref="I40" si="34">G40+H40</f>
        <v>35000</v>
      </c>
      <c r="J40" s="660">
        <f t="shared" ref="J40" si="35">I40</f>
        <v>35000</v>
      </c>
      <c r="K40" s="652">
        <f>'far 1 a(for internal use only)'!K39</f>
        <v>0</v>
      </c>
      <c r="L40" s="652">
        <f>'far 1 a(for internal use only)'!L39</f>
        <v>0</v>
      </c>
      <c r="M40" s="652">
        <f>'far 1 a(for internal use only)'!M39</f>
        <v>0</v>
      </c>
      <c r="N40" s="661">
        <f>J40+K40-L40+M40</f>
        <v>35000</v>
      </c>
      <c r="O40" s="652">
        <f>'far 1 a(for internal use only)'!O39</f>
        <v>0</v>
      </c>
      <c r="P40" s="652">
        <f>'far 1 a(for internal use only)'!P39</f>
        <v>0</v>
      </c>
      <c r="Q40" s="652">
        <f>'far 1 a(for internal use only)'!Q39</f>
        <v>0</v>
      </c>
      <c r="R40" s="652">
        <f>'far 1 a(for internal use only)'!R39</f>
        <v>0</v>
      </c>
      <c r="S40" s="662">
        <f t="shared" ref="S40" si="36">SUM(O40:R40)</f>
        <v>0</v>
      </c>
      <c r="T40" s="652">
        <f>'far 1 a(for internal use only)'!T39</f>
        <v>0</v>
      </c>
      <c r="U40" s="652">
        <f>'far 1 a(for internal use only)'!U39</f>
        <v>0</v>
      </c>
      <c r="V40" s="652">
        <f>'far 1 a(for internal use only)'!V39</f>
        <v>0</v>
      </c>
      <c r="W40" s="652">
        <f>'far 1 a(for internal use only)'!W39</f>
        <v>0</v>
      </c>
      <c r="X40" s="662">
        <f t="shared" ref="X40" si="37">SUM(T40:W40)</f>
        <v>0</v>
      </c>
      <c r="Y40" s="662">
        <f t="shared" ref="Y40" si="38">I40-N40</f>
        <v>0</v>
      </c>
      <c r="Z40" s="662">
        <f t="shared" ref="Z40" si="39">N40-S40</f>
        <v>35000</v>
      </c>
      <c r="AA40" s="684">
        <f>'far 1 a(for internal use only)'!AA39</f>
        <v>0</v>
      </c>
      <c r="AB40" s="663">
        <f t="shared" ref="AB40" si="40">+S40-X40-AA40</f>
        <v>0</v>
      </c>
    </row>
    <row r="41" spans="1:28" s="90" customFormat="1" ht="14.1" customHeight="1" x14ac:dyDescent="0.2">
      <c r="A41" s="301"/>
      <c r="B41" s="349" t="s">
        <v>716</v>
      </c>
      <c r="C41" s="615"/>
      <c r="D41" s="615"/>
      <c r="E41" s="615"/>
      <c r="F41" s="370" t="s">
        <v>488</v>
      </c>
      <c r="G41" s="652">
        <f>'far 1 a(for internal use only)'!G40</f>
        <v>86000</v>
      </c>
      <c r="H41" s="652">
        <f>'far 1 a(for internal use only)'!H40</f>
        <v>0</v>
      </c>
      <c r="I41" s="660">
        <f t="shared" ref="I41" si="41">G41+H41</f>
        <v>86000</v>
      </c>
      <c r="J41" s="660">
        <f t="shared" ref="J41" si="42">I41</f>
        <v>86000</v>
      </c>
      <c r="K41" s="652">
        <f>'far 1 a(for internal use only)'!K40</f>
        <v>0</v>
      </c>
      <c r="L41" s="652">
        <f>'far 1 a(for internal use only)'!L40</f>
        <v>0</v>
      </c>
      <c r="M41" s="652">
        <f>'far 1 a(for internal use only)'!M40</f>
        <v>0</v>
      </c>
      <c r="N41" s="661">
        <f>J41+K41-L41+M41</f>
        <v>86000</v>
      </c>
      <c r="O41" s="652">
        <f>'far 1 a(for internal use only)'!O40</f>
        <v>0</v>
      </c>
      <c r="P41" s="652">
        <f>'far 1 a(for internal use only)'!P40</f>
        <v>0</v>
      </c>
      <c r="Q41" s="652">
        <f>'far 1 a(for internal use only)'!Q40</f>
        <v>0</v>
      </c>
      <c r="R41" s="652">
        <f>'far 1 a(for internal use only)'!R40</f>
        <v>0</v>
      </c>
      <c r="S41" s="662">
        <f t="shared" ref="S41" si="43">SUM(O41:R41)</f>
        <v>0</v>
      </c>
      <c r="T41" s="652">
        <f>'far 1 a(for internal use only)'!T40</f>
        <v>0</v>
      </c>
      <c r="U41" s="652">
        <f>'far 1 a(for internal use only)'!U40</f>
        <v>0</v>
      </c>
      <c r="V41" s="652">
        <f>'far 1 a(for internal use only)'!V40</f>
        <v>0</v>
      </c>
      <c r="W41" s="652">
        <f>'far 1 a(for internal use only)'!W40</f>
        <v>0</v>
      </c>
      <c r="X41" s="662">
        <f t="shared" ref="X41" si="44">SUM(T41:W41)</f>
        <v>0</v>
      </c>
      <c r="Y41" s="662">
        <f t="shared" ref="Y41" si="45">I41-N41</f>
        <v>0</v>
      </c>
      <c r="Z41" s="662">
        <f t="shared" ref="Z41" si="46">N41-S41</f>
        <v>86000</v>
      </c>
      <c r="AA41" s="684">
        <f>'far 1 a(for internal use only)'!AA40</f>
        <v>0</v>
      </c>
      <c r="AB41" s="663">
        <f t="shared" ref="AB41" si="47">+S41-X41-AA41</f>
        <v>0</v>
      </c>
    </row>
    <row r="42" spans="1:28" s="90" customFormat="1" ht="14.1" customHeight="1" x14ac:dyDescent="0.2">
      <c r="A42" s="301"/>
      <c r="B42" s="615"/>
      <c r="C42" s="615"/>
      <c r="D42" s="615"/>
      <c r="E42" s="615"/>
      <c r="F42" s="370"/>
      <c r="G42" s="664"/>
      <c r="H42" s="664"/>
      <c r="I42" s="664"/>
      <c r="J42" s="664"/>
      <c r="K42" s="664"/>
      <c r="L42" s="664"/>
      <c r="M42" s="664"/>
      <c r="N42" s="731"/>
      <c r="O42" s="664"/>
      <c r="P42" s="664"/>
      <c r="Q42" s="664"/>
      <c r="R42" s="664"/>
      <c r="S42" s="664"/>
      <c r="T42" s="664"/>
      <c r="U42" s="664"/>
      <c r="V42" s="664"/>
      <c r="W42" s="664"/>
      <c r="X42" s="664"/>
      <c r="Y42" s="664"/>
      <c r="Z42" s="664"/>
      <c r="AA42" s="666"/>
      <c r="AB42" s="667"/>
    </row>
    <row r="43" spans="1:28" s="669" customFormat="1" ht="14.1" customHeight="1" x14ac:dyDescent="0.2">
      <c r="A43" s="356"/>
      <c r="B43" s="357" t="s">
        <v>316</v>
      </c>
      <c r="C43" s="358"/>
      <c r="D43" s="358"/>
      <c r="E43" s="358"/>
      <c r="F43" s="668"/>
      <c r="G43" s="654">
        <f>SUM(G45:G116)</f>
        <v>29212000</v>
      </c>
      <c r="H43" s="656">
        <f t="shared" ref="H43:AB43" si="48">SUM(H45:H116)</f>
        <v>0</v>
      </c>
      <c r="I43" s="654">
        <f t="shared" si="48"/>
        <v>29212000</v>
      </c>
      <c r="J43" s="654">
        <f t="shared" si="48"/>
        <v>29212000</v>
      </c>
      <c r="K43" s="656">
        <f t="shared" si="48"/>
        <v>-975000</v>
      </c>
      <c r="L43" s="656">
        <f t="shared" si="48"/>
        <v>0</v>
      </c>
      <c r="M43" s="656">
        <f t="shared" si="48"/>
        <v>369216</v>
      </c>
      <c r="N43" s="655">
        <f t="shared" si="48"/>
        <v>28606216</v>
      </c>
      <c r="O43" s="656">
        <f t="shared" si="48"/>
        <v>2504663.2399999998</v>
      </c>
      <c r="P43" s="656">
        <f t="shared" si="48"/>
        <v>2175769.2000000002</v>
      </c>
      <c r="Q43" s="656">
        <f t="shared" si="48"/>
        <v>4613923.2999999989</v>
      </c>
      <c r="R43" s="656">
        <f t="shared" si="48"/>
        <v>14972902.780000003</v>
      </c>
      <c r="S43" s="654">
        <f t="shared" si="48"/>
        <v>24267258.520000003</v>
      </c>
      <c r="T43" s="656">
        <f t="shared" si="48"/>
        <v>2277759.3199999998</v>
      </c>
      <c r="U43" s="656">
        <f t="shared" si="48"/>
        <v>2401773.12</v>
      </c>
      <c r="V43" s="656">
        <f t="shared" si="48"/>
        <v>4394848.2999999989</v>
      </c>
      <c r="W43" s="656">
        <f t="shared" si="48"/>
        <v>12635312.330000002</v>
      </c>
      <c r="X43" s="654">
        <f t="shared" si="48"/>
        <v>21709693.07</v>
      </c>
      <c r="Y43" s="654">
        <f t="shared" si="48"/>
        <v>605784</v>
      </c>
      <c r="Z43" s="654">
        <f t="shared" si="48"/>
        <v>4338957.4800000004</v>
      </c>
      <c r="AA43" s="657">
        <f t="shared" ref="AA43" si="49">SUM(AA45:AA116)</f>
        <v>205</v>
      </c>
      <c r="AB43" s="719">
        <f t="shared" si="48"/>
        <v>2557360.4500000025</v>
      </c>
    </row>
    <row r="44" spans="1:28" s="90" customFormat="1" ht="14.1" customHeight="1" x14ac:dyDescent="0.2">
      <c r="A44" s="301"/>
      <c r="B44" s="348" t="s">
        <v>317</v>
      </c>
      <c r="C44" s="608"/>
      <c r="D44" s="608"/>
      <c r="E44" s="608"/>
      <c r="F44" s="370"/>
      <c r="G44" s="664"/>
      <c r="H44" s="664"/>
      <c r="I44" s="664"/>
      <c r="J44" s="664"/>
      <c r="K44" s="664"/>
      <c r="L44" s="664"/>
      <c r="M44" s="664"/>
      <c r="N44" s="665"/>
      <c r="O44" s="664"/>
      <c r="P44" s="664"/>
      <c r="Q44" s="664"/>
      <c r="R44" s="664"/>
      <c r="S44" s="666"/>
      <c r="T44" s="664"/>
      <c r="U44" s="664"/>
      <c r="V44" s="664"/>
      <c r="W44" s="664"/>
      <c r="X44" s="666"/>
      <c r="Y44" s="666"/>
      <c r="Z44" s="666"/>
      <c r="AA44" s="666"/>
      <c r="AB44" s="667"/>
    </row>
    <row r="45" spans="1:28" s="90" customFormat="1" ht="14.1" customHeight="1" x14ac:dyDescent="0.2">
      <c r="A45" s="301"/>
      <c r="B45" s="350" t="s">
        <v>318</v>
      </c>
      <c r="C45" s="608"/>
      <c r="D45" s="608"/>
      <c r="E45" s="608"/>
      <c r="F45" s="370" t="s">
        <v>319</v>
      </c>
      <c r="G45" s="652">
        <f>'far 1 a(for internal use only)'!G44</f>
        <v>9861000</v>
      </c>
      <c r="H45" s="652">
        <f>'far 1 a(for internal use only)'!H44</f>
        <v>0</v>
      </c>
      <c r="I45" s="660">
        <f t="shared" ref="I45:I46" si="50">G45+H45</f>
        <v>9861000</v>
      </c>
      <c r="J45" s="660">
        <f t="shared" ref="J45:J46" si="51">I45</f>
        <v>9861000</v>
      </c>
      <c r="K45" s="652">
        <f>'far 1 a(for internal use only)'!K44</f>
        <v>-975000</v>
      </c>
      <c r="L45" s="652">
        <f>'far 1 a(for internal use only)'!L44</f>
        <v>0</v>
      </c>
      <c r="M45" s="652">
        <f>'far 1 a(for internal use only)'!M44</f>
        <v>0</v>
      </c>
      <c r="N45" s="661">
        <f t="shared" ref="N45:N46" si="52">J45+K45-L45+M45</f>
        <v>8886000</v>
      </c>
      <c r="O45" s="652">
        <f>'far 1 a(for internal use only)'!O44</f>
        <v>505500.62</v>
      </c>
      <c r="P45" s="652">
        <f>'far 1 a(for internal use only)'!P44</f>
        <v>590765.72</v>
      </c>
      <c r="Q45" s="652">
        <f>'far 1 a(for internal use only)'!Q44</f>
        <v>889930.18</v>
      </c>
      <c r="R45" s="652">
        <f>'far 1 a(for internal use only)'!R44</f>
        <v>6899803.4800000014</v>
      </c>
      <c r="S45" s="662">
        <f t="shared" ref="S45:S46" si="53">SUM(O45:R45)</f>
        <v>8886000.0000000019</v>
      </c>
      <c r="T45" s="652">
        <f>'far 1 a(for internal use only)'!T44</f>
        <v>505500.62</v>
      </c>
      <c r="U45" s="652">
        <f>'far 1 a(for internal use only)'!U44</f>
        <v>590765.72</v>
      </c>
      <c r="V45" s="652">
        <f>'far 1 a(for internal use only)'!V44</f>
        <v>889930.17999999993</v>
      </c>
      <c r="W45" s="652">
        <f>'far 1 a(for internal use only)'!W44</f>
        <v>5256548.59</v>
      </c>
      <c r="X45" s="662">
        <f t="shared" ref="X45:X46" si="54">SUM(T45:W45)</f>
        <v>7242745.1099999994</v>
      </c>
      <c r="Y45" s="662">
        <f t="shared" ref="Y45:Y46" si="55">I45-N45</f>
        <v>975000</v>
      </c>
      <c r="Z45" s="662">
        <f t="shared" ref="Z45:Z46" si="56">N45-S45</f>
        <v>0</v>
      </c>
      <c r="AA45" s="684">
        <f>'far 1 a(for internal use only)'!AA44</f>
        <v>0</v>
      </c>
      <c r="AB45" s="663">
        <f t="shared" ref="AB45:AB46" si="57">+S45-X45-AA45</f>
        <v>1643254.8900000025</v>
      </c>
    </row>
    <row r="46" spans="1:28" s="90" customFormat="1" ht="14.1" customHeight="1" x14ac:dyDescent="0.2">
      <c r="A46" s="301"/>
      <c r="B46" s="350" t="s">
        <v>320</v>
      </c>
      <c r="C46" s="608"/>
      <c r="D46" s="608"/>
      <c r="E46" s="608"/>
      <c r="F46" s="370" t="s">
        <v>321</v>
      </c>
      <c r="G46" s="652">
        <f>'far 1 a(for internal use only)'!G45</f>
        <v>0</v>
      </c>
      <c r="H46" s="652">
        <f>'far 1 a(for internal use only)'!H45</f>
        <v>0</v>
      </c>
      <c r="I46" s="660">
        <f t="shared" si="50"/>
        <v>0</v>
      </c>
      <c r="J46" s="660">
        <f t="shared" si="51"/>
        <v>0</v>
      </c>
      <c r="K46" s="652">
        <f>'far 1 a(for internal use only)'!K45</f>
        <v>0</v>
      </c>
      <c r="L46" s="652">
        <f>'far 1 a(for internal use only)'!L45</f>
        <v>0</v>
      </c>
      <c r="M46" s="652">
        <f>'far 1 a(for internal use only)'!M45</f>
        <v>0</v>
      </c>
      <c r="N46" s="661">
        <f t="shared" si="52"/>
        <v>0</v>
      </c>
      <c r="O46" s="652">
        <f>'far 1 a(for internal use only)'!O45</f>
        <v>0</v>
      </c>
      <c r="P46" s="652">
        <f>'far 1 a(for internal use only)'!P45</f>
        <v>0</v>
      </c>
      <c r="Q46" s="652">
        <f>'far 1 a(for internal use only)'!Q45</f>
        <v>0</v>
      </c>
      <c r="R46" s="652">
        <f>'far 1 a(for internal use only)'!R45</f>
        <v>0</v>
      </c>
      <c r="S46" s="662">
        <f t="shared" si="53"/>
        <v>0</v>
      </c>
      <c r="T46" s="652">
        <f>'far 1 a(for internal use only)'!T45</f>
        <v>0</v>
      </c>
      <c r="U46" s="652">
        <f>'far 1 a(for internal use only)'!U45</f>
        <v>0</v>
      </c>
      <c r="V46" s="652">
        <f>'far 1 a(for internal use only)'!V45</f>
        <v>0</v>
      </c>
      <c r="W46" s="652">
        <f>'far 1 a(for internal use only)'!W45</f>
        <v>0</v>
      </c>
      <c r="X46" s="662">
        <f t="shared" si="54"/>
        <v>0</v>
      </c>
      <c r="Y46" s="662">
        <f t="shared" si="55"/>
        <v>0</v>
      </c>
      <c r="Z46" s="662">
        <f t="shared" si="56"/>
        <v>0</v>
      </c>
      <c r="AA46" s="684">
        <f>'far 1 a(for internal use only)'!AA45</f>
        <v>0</v>
      </c>
      <c r="AB46" s="663">
        <f t="shared" si="57"/>
        <v>0</v>
      </c>
    </row>
    <row r="47" spans="1:28" s="90" customFormat="1" ht="14.1" customHeight="1" x14ac:dyDescent="0.2">
      <c r="A47" s="301"/>
      <c r="B47" s="351" t="s">
        <v>322</v>
      </c>
      <c r="C47" s="608"/>
      <c r="D47" s="608"/>
      <c r="E47" s="608"/>
      <c r="F47" s="370"/>
      <c r="G47" s="664"/>
      <c r="H47" s="652"/>
      <c r="I47" s="664"/>
      <c r="J47" s="664"/>
      <c r="K47" s="652"/>
      <c r="L47" s="652"/>
      <c r="M47" s="652"/>
      <c r="N47" s="665"/>
      <c r="O47" s="652"/>
      <c r="P47" s="652"/>
      <c r="Q47" s="652"/>
      <c r="R47" s="652"/>
      <c r="S47" s="666"/>
      <c r="T47" s="652"/>
      <c r="U47" s="652"/>
      <c r="V47" s="652"/>
      <c r="W47" s="652"/>
      <c r="X47" s="666"/>
      <c r="Y47" s="666"/>
      <c r="Z47" s="666"/>
      <c r="AA47" s="684"/>
      <c r="AB47" s="667"/>
    </row>
    <row r="48" spans="1:28" s="90" customFormat="1" ht="14.1" customHeight="1" x14ac:dyDescent="0.2">
      <c r="A48" s="301"/>
      <c r="B48" s="350" t="s">
        <v>323</v>
      </c>
      <c r="C48" s="608"/>
      <c r="D48" s="608"/>
      <c r="E48" s="608"/>
      <c r="F48" s="370" t="s">
        <v>324</v>
      </c>
      <c r="G48" s="652">
        <f>'far 1 a(for internal use only)'!G47</f>
        <v>361000</v>
      </c>
      <c r="H48" s="652">
        <f>'far 1 a(for internal use only)'!H47</f>
        <v>0</v>
      </c>
      <c r="I48" s="660">
        <f t="shared" ref="I48:I50" si="58">G48+H48</f>
        <v>361000</v>
      </c>
      <c r="J48" s="660">
        <f t="shared" ref="J48:J50" si="59">I48</f>
        <v>361000</v>
      </c>
      <c r="K48" s="652">
        <f>'far 1 a(for internal use only)'!K47</f>
        <v>0</v>
      </c>
      <c r="L48" s="652">
        <f>'far 1 a(for internal use only)'!L47</f>
        <v>0</v>
      </c>
      <c r="M48" s="652">
        <f>'far 1 a(for internal use only)'!M47</f>
        <v>0</v>
      </c>
      <c r="N48" s="661">
        <f t="shared" ref="N48:N50" si="60">J48+K48-L48+M48</f>
        <v>361000</v>
      </c>
      <c r="O48" s="652">
        <f>'far 1 a(for internal use only)'!O47</f>
        <v>24249.3</v>
      </c>
      <c r="P48" s="652">
        <f>'far 1 a(for internal use only)'!P47</f>
        <v>0</v>
      </c>
      <c r="Q48" s="652">
        <f>'far 1 a(for internal use only)'!Q47</f>
        <v>0</v>
      </c>
      <c r="R48" s="652">
        <f>'far 1 a(for internal use only)'!R47</f>
        <v>28001.84</v>
      </c>
      <c r="S48" s="662">
        <f t="shared" ref="S48:S50" si="61">SUM(O48:R48)</f>
        <v>52251.14</v>
      </c>
      <c r="T48" s="652">
        <f>'far 1 a(for internal use only)'!T47</f>
        <v>24249.3</v>
      </c>
      <c r="U48" s="652">
        <f>'far 1 a(for internal use only)'!U47</f>
        <v>0</v>
      </c>
      <c r="V48" s="652">
        <f>'far 1 a(for internal use only)'!V47</f>
        <v>0</v>
      </c>
      <c r="W48" s="652">
        <f>'far 1 a(for internal use only)'!W47</f>
        <v>28001.84</v>
      </c>
      <c r="X48" s="662">
        <f t="shared" ref="X48:X50" si="62">SUM(T48:W48)</f>
        <v>52251.14</v>
      </c>
      <c r="Y48" s="662">
        <f t="shared" ref="Y48:Y50" si="63">I48-N48</f>
        <v>0</v>
      </c>
      <c r="Z48" s="662">
        <f t="shared" ref="Z48:Z50" si="64">N48-S48</f>
        <v>308748.86</v>
      </c>
      <c r="AA48" s="684">
        <f>'far 1 a(for internal use only)'!AA47</f>
        <v>0</v>
      </c>
      <c r="AB48" s="663">
        <f t="shared" ref="AB48:AB50" si="65">+S48-X48-AA48</f>
        <v>0</v>
      </c>
    </row>
    <row r="49" spans="1:28" s="90" customFormat="1" ht="14.1" customHeight="1" x14ac:dyDescent="0.2">
      <c r="A49" s="301"/>
      <c r="B49" s="350" t="s">
        <v>720</v>
      </c>
      <c r="C49" s="718"/>
      <c r="D49" s="718"/>
      <c r="E49" s="718"/>
      <c r="F49" s="370" t="s">
        <v>721</v>
      </c>
      <c r="G49" s="652">
        <f>'far 1 a(for internal use only)'!G48</f>
        <v>0</v>
      </c>
      <c r="H49" s="652">
        <f>'far 1 a(for internal use only)'!H48</f>
        <v>0</v>
      </c>
      <c r="I49" s="660">
        <f t="shared" ref="I49" si="66">G49+H49</f>
        <v>0</v>
      </c>
      <c r="J49" s="660">
        <f t="shared" ref="J49" si="67">I49</f>
        <v>0</v>
      </c>
      <c r="K49" s="652">
        <f>'far 1 a(for internal use only)'!K48</f>
        <v>0</v>
      </c>
      <c r="L49" s="652">
        <f>'far 1 a(for internal use only)'!L48</f>
        <v>0</v>
      </c>
      <c r="M49" s="652">
        <f>'far 1 a(for internal use only)'!M48</f>
        <v>0</v>
      </c>
      <c r="N49" s="661">
        <f t="shared" ref="N49" si="68">J49+K49-L49+M49</f>
        <v>0</v>
      </c>
      <c r="O49" s="652">
        <f>'far 1 a(for internal use only)'!O48</f>
        <v>0</v>
      </c>
      <c r="P49" s="652">
        <f>'far 1 a(for internal use only)'!P48</f>
        <v>0</v>
      </c>
      <c r="Q49" s="652">
        <f>'far 1 a(for internal use only)'!Q48</f>
        <v>0</v>
      </c>
      <c r="R49" s="652">
        <f>'far 1 a(for internal use only)'!R48</f>
        <v>0</v>
      </c>
      <c r="S49" s="662">
        <f t="shared" ref="S49" si="69">SUM(O49:R49)</f>
        <v>0</v>
      </c>
      <c r="T49" s="652">
        <f>'far 1 a(for internal use only)'!T48</f>
        <v>0</v>
      </c>
      <c r="U49" s="652">
        <f>'far 1 a(for internal use only)'!U48</f>
        <v>0</v>
      </c>
      <c r="V49" s="652">
        <f>'far 1 a(for internal use only)'!V48</f>
        <v>0</v>
      </c>
      <c r="W49" s="652">
        <f>'far 1 a(for internal use only)'!W48</f>
        <v>0</v>
      </c>
      <c r="X49" s="662">
        <f t="shared" ref="X49" si="70">SUM(T49:W49)</f>
        <v>0</v>
      </c>
      <c r="Y49" s="662">
        <f t="shared" ref="Y49" si="71">I49-N49</f>
        <v>0</v>
      </c>
      <c r="Z49" s="662">
        <f t="shared" ref="Z49" si="72">N49-S49</f>
        <v>0</v>
      </c>
      <c r="AA49" s="684">
        <f>'far 1 a(for internal use only)'!AA48</f>
        <v>0</v>
      </c>
      <c r="AB49" s="663">
        <f t="shared" ref="AB49" si="73">+S49-X49-AA49</f>
        <v>0</v>
      </c>
    </row>
    <row r="50" spans="1:28" s="90" customFormat="1" ht="14.1" customHeight="1" x14ac:dyDescent="0.2">
      <c r="A50" s="301"/>
      <c r="B50" s="350" t="s">
        <v>325</v>
      </c>
      <c r="C50" s="608"/>
      <c r="D50" s="608"/>
      <c r="E50" s="608"/>
      <c r="F50" s="370" t="s">
        <v>326</v>
      </c>
      <c r="G50" s="652">
        <f>'far 1 a(for internal use only)'!G49</f>
        <v>0</v>
      </c>
      <c r="H50" s="652">
        <f>'far 1 a(for internal use only)'!H49</f>
        <v>0</v>
      </c>
      <c r="I50" s="660">
        <f t="shared" si="58"/>
        <v>0</v>
      </c>
      <c r="J50" s="660">
        <f t="shared" si="59"/>
        <v>0</v>
      </c>
      <c r="K50" s="652">
        <f>'far 1 a(for internal use only)'!K49</f>
        <v>0</v>
      </c>
      <c r="L50" s="652">
        <f>'far 1 a(for internal use only)'!L49</f>
        <v>0</v>
      </c>
      <c r="M50" s="652">
        <f>'far 1 a(for internal use only)'!M49</f>
        <v>105616</v>
      </c>
      <c r="N50" s="661">
        <f t="shared" si="60"/>
        <v>105616</v>
      </c>
      <c r="O50" s="652">
        <f>'far 1 a(for internal use only)'!O49</f>
        <v>0</v>
      </c>
      <c r="P50" s="652">
        <f>'far 1 a(for internal use only)'!P49</f>
        <v>23304.68</v>
      </c>
      <c r="Q50" s="652">
        <f>'far 1 a(for internal use only)'!Q49</f>
        <v>9000</v>
      </c>
      <c r="R50" s="652">
        <f>'far 1 a(for internal use only)'!R49</f>
        <v>43627.18</v>
      </c>
      <c r="S50" s="662">
        <f t="shared" si="61"/>
        <v>75931.86</v>
      </c>
      <c r="T50" s="652">
        <f>'far 1 a(for internal use only)'!T49</f>
        <v>0</v>
      </c>
      <c r="U50" s="652">
        <f>'far 1 a(for internal use only)'!U49</f>
        <v>23304.68</v>
      </c>
      <c r="V50" s="652">
        <f>'far 1 a(for internal use only)'!V49</f>
        <v>9000</v>
      </c>
      <c r="W50" s="652">
        <f>'far 1 a(for internal use only)'!W49</f>
        <v>43627.18</v>
      </c>
      <c r="X50" s="662">
        <f t="shared" si="62"/>
        <v>75931.86</v>
      </c>
      <c r="Y50" s="662">
        <f t="shared" si="63"/>
        <v>-105616</v>
      </c>
      <c r="Z50" s="662">
        <f t="shared" si="64"/>
        <v>29684.14</v>
      </c>
      <c r="AA50" s="684">
        <f>'far 1 a(for internal use only)'!AA49</f>
        <v>0</v>
      </c>
      <c r="AB50" s="663">
        <f t="shared" si="65"/>
        <v>0</v>
      </c>
    </row>
    <row r="51" spans="1:28" s="90" customFormat="1" ht="14.1" customHeight="1" x14ac:dyDescent="0.2">
      <c r="A51" s="301"/>
      <c r="B51" s="351" t="s">
        <v>327</v>
      </c>
      <c r="C51" s="608"/>
      <c r="D51" s="608"/>
      <c r="E51" s="608"/>
      <c r="F51" s="370"/>
      <c r="G51" s="664"/>
      <c r="H51" s="652"/>
      <c r="I51" s="664"/>
      <c r="J51" s="664"/>
      <c r="K51" s="652"/>
      <c r="L51" s="652"/>
      <c r="M51" s="652"/>
      <c r="N51" s="665"/>
      <c r="O51" s="652"/>
      <c r="P51" s="652"/>
      <c r="Q51" s="652"/>
      <c r="R51" s="652"/>
      <c r="S51" s="666"/>
      <c r="T51" s="652"/>
      <c r="U51" s="652"/>
      <c r="V51" s="652"/>
      <c r="W51" s="652"/>
      <c r="X51" s="666"/>
      <c r="Y51" s="666"/>
      <c r="Z51" s="666"/>
      <c r="AA51" s="684"/>
      <c r="AB51" s="667"/>
    </row>
    <row r="52" spans="1:28" s="90" customFormat="1" ht="14.1" customHeight="1" x14ac:dyDescent="0.2">
      <c r="A52" s="301"/>
      <c r="B52" s="350" t="s">
        <v>328</v>
      </c>
      <c r="C52" s="608"/>
      <c r="D52" s="608"/>
      <c r="E52" s="608"/>
      <c r="F52" s="370" t="s">
        <v>743</v>
      </c>
      <c r="G52" s="652">
        <f>'far 1 a(for internal use only)'!G51</f>
        <v>2023000</v>
      </c>
      <c r="H52" s="652">
        <f>'far 1 a(for internal use only)'!H51</f>
        <v>0</v>
      </c>
      <c r="I52" s="660">
        <f t="shared" ref="I52:I57" si="74">G52+H52</f>
        <v>2023000</v>
      </c>
      <c r="J52" s="660">
        <f t="shared" ref="J52:J57" si="75">I52</f>
        <v>2023000</v>
      </c>
      <c r="K52" s="652">
        <f>'far 1 a(for internal use only)'!K51</f>
        <v>0</v>
      </c>
      <c r="L52" s="652">
        <f>'far 1 a(for internal use only)'!L51</f>
        <v>0</v>
      </c>
      <c r="M52" s="652">
        <f>'far 1 a(for internal use only)'!M51</f>
        <v>0</v>
      </c>
      <c r="N52" s="661">
        <f t="shared" ref="N52:N57" si="76">J52+K52-L52+M52</f>
        <v>2023000</v>
      </c>
      <c r="O52" s="652">
        <f>'far 1 a(for internal use only)'!O51</f>
        <v>72386.25</v>
      </c>
      <c r="P52" s="652">
        <f>'far 1 a(for internal use only)'!P51</f>
        <v>24434.75</v>
      </c>
      <c r="Q52" s="652">
        <f>'far 1 a(for internal use only)'!Q51</f>
        <v>642283.75</v>
      </c>
      <c r="R52" s="652">
        <f>'far 1 a(for internal use only)'!R51</f>
        <v>1275895.25</v>
      </c>
      <c r="S52" s="662">
        <f t="shared" ref="S52:S57" si="77">SUM(O52:R52)</f>
        <v>2015000</v>
      </c>
      <c r="T52" s="652">
        <f>'far 1 a(for internal use only)'!T51</f>
        <v>58049.25</v>
      </c>
      <c r="U52" s="652">
        <f>'far 1 a(for internal use only)'!U51</f>
        <v>38771.75</v>
      </c>
      <c r="V52" s="652">
        <f>'far 1 a(for internal use only)'!V51</f>
        <v>642283.75</v>
      </c>
      <c r="W52" s="652">
        <f>'far 1 a(for internal use only)'!W51</f>
        <v>960798.13</v>
      </c>
      <c r="X52" s="662">
        <f t="shared" ref="X52:X57" si="78">SUM(T52:W52)</f>
        <v>1699902.88</v>
      </c>
      <c r="Y52" s="662">
        <f t="shared" ref="Y52:Y57" si="79">I52-N52</f>
        <v>0</v>
      </c>
      <c r="Z52" s="662">
        <f t="shared" ref="Z52:Z57" si="80">N52-S52</f>
        <v>8000</v>
      </c>
      <c r="AA52" s="684">
        <f>'far 1 a(for internal use only)'!AA51</f>
        <v>0</v>
      </c>
      <c r="AB52" s="663">
        <f t="shared" ref="AB52:AB57" si="81">+S52-X52-AA52</f>
        <v>315097.12000000011</v>
      </c>
    </row>
    <row r="53" spans="1:28" s="90" customFormat="1" ht="14.1" customHeight="1" x14ac:dyDescent="0.2">
      <c r="A53" s="301"/>
      <c r="B53" s="350" t="s">
        <v>330</v>
      </c>
      <c r="C53" s="608"/>
      <c r="D53" s="608"/>
      <c r="E53" s="608"/>
      <c r="F53" s="370" t="s">
        <v>331</v>
      </c>
      <c r="G53" s="652">
        <f>'far 1 a(for internal use only)'!G52</f>
        <v>154000</v>
      </c>
      <c r="H53" s="652">
        <f>'far 1 a(for internal use only)'!H52</f>
        <v>0</v>
      </c>
      <c r="I53" s="660">
        <f t="shared" si="74"/>
        <v>154000</v>
      </c>
      <c r="J53" s="660">
        <f t="shared" si="75"/>
        <v>154000</v>
      </c>
      <c r="K53" s="652">
        <f>'far 1 a(for internal use only)'!K52</f>
        <v>0</v>
      </c>
      <c r="L53" s="652">
        <f>'far 1 a(for internal use only)'!L52</f>
        <v>0</v>
      </c>
      <c r="M53" s="652">
        <f>'far 1 a(for internal use only)'!M52</f>
        <v>0</v>
      </c>
      <c r="N53" s="661">
        <f t="shared" si="76"/>
        <v>154000</v>
      </c>
      <c r="O53" s="652">
        <f>'far 1 a(for internal use only)'!O52</f>
        <v>80832</v>
      </c>
      <c r="P53" s="652">
        <f>'far 1 a(for internal use only)'!P52</f>
        <v>0</v>
      </c>
      <c r="Q53" s="652">
        <f>'far 1 a(for internal use only)'!Q52</f>
        <v>27825</v>
      </c>
      <c r="R53" s="652">
        <f>'far 1 a(for internal use only)'!R52</f>
        <v>45343</v>
      </c>
      <c r="S53" s="662">
        <f t="shared" si="77"/>
        <v>154000</v>
      </c>
      <c r="T53" s="652">
        <f>'far 1 a(for internal use only)'!T52</f>
        <v>33475</v>
      </c>
      <c r="U53" s="652">
        <f>'far 1 a(for internal use only)'!U52</f>
        <v>47357</v>
      </c>
      <c r="V53" s="652">
        <f>'far 1 a(for internal use only)'!V52</f>
        <v>27825</v>
      </c>
      <c r="W53" s="652">
        <f>'far 1 a(for internal use only)'!W52</f>
        <v>45343</v>
      </c>
      <c r="X53" s="662">
        <f t="shared" si="78"/>
        <v>154000</v>
      </c>
      <c r="Y53" s="662">
        <f t="shared" si="79"/>
        <v>0</v>
      </c>
      <c r="Z53" s="662">
        <f t="shared" si="80"/>
        <v>0</v>
      </c>
      <c r="AA53" s="684">
        <f>'far 1 a(for internal use only)'!AA52</f>
        <v>0</v>
      </c>
      <c r="AB53" s="663">
        <f t="shared" si="81"/>
        <v>0</v>
      </c>
    </row>
    <row r="54" spans="1:28" s="90" customFormat="1" ht="14.1" customHeight="1" x14ac:dyDescent="0.2">
      <c r="A54" s="301"/>
      <c r="B54" s="350" t="s">
        <v>332</v>
      </c>
      <c r="C54" s="608"/>
      <c r="D54" s="608"/>
      <c r="E54" s="608"/>
      <c r="F54" s="370" t="s">
        <v>333</v>
      </c>
      <c r="G54" s="652">
        <f>'far 1 a(for internal use only)'!G53</f>
        <v>123000</v>
      </c>
      <c r="H54" s="652">
        <f>'far 1 a(for internal use only)'!H53</f>
        <v>0</v>
      </c>
      <c r="I54" s="660">
        <f t="shared" si="74"/>
        <v>123000</v>
      </c>
      <c r="J54" s="660">
        <f t="shared" si="75"/>
        <v>123000</v>
      </c>
      <c r="K54" s="652">
        <f>'far 1 a(for internal use only)'!K53</f>
        <v>0</v>
      </c>
      <c r="L54" s="652">
        <f>'far 1 a(for internal use only)'!L53</f>
        <v>0</v>
      </c>
      <c r="M54" s="652">
        <f>'far 1 a(for internal use only)'!M53</f>
        <v>0</v>
      </c>
      <c r="N54" s="661">
        <f t="shared" si="76"/>
        <v>123000</v>
      </c>
      <c r="O54" s="652">
        <f>'far 1 a(for internal use only)'!O53</f>
        <v>0</v>
      </c>
      <c r="P54" s="652">
        <f>'far 1 a(for internal use only)'!P53</f>
        <v>0</v>
      </c>
      <c r="Q54" s="652">
        <f>'far 1 a(for internal use only)'!Q53</f>
        <v>0</v>
      </c>
      <c r="R54" s="652">
        <f>'far 1 a(for internal use only)'!R53</f>
        <v>123000</v>
      </c>
      <c r="S54" s="662">
        <f t="shared" si="77"/>
        <v>123000</v>
      </c>
      <c r="T54" s="652">
        <f>'far 1 a(for internal use only)'!T53</f>
        <v>0</v>
      </c>
      <c r="U54" s="652">
        <f>'far 1 a(for internal use only)'!U53</f>
        <v>0</v>
      </c>
      <c r="V54" s="652">
        <f>'far 1 a(for internal use only)'!V53</f>
        <v>0</v>
      </c>
      <c r="W54" s="652">
        <f>'far 1 a(for internal use only)'!W53</f>
        <v>123000</v>
      </c>
      <c r="X54" s="662">
        <f t="shared" si="78"/>
        <v>123000</v>
      </c>
      <c r="Y54" s="662">
        <f t="shared" si="79"/>
        <v>0</v>
      </c>
      <c r="Z54" s="662">
        <f t="shared" si="80"/>
        <v>0</v>
      </c>
      <c r="AA54" s="684">
        <f>'far 1 a(for internal use only)'!AA53</f>
        <v>0</v>
      </c>
      <c r="AB54" s="663">
        <f t="shared" si="81"/>
        <v>0</v>
      </c>
    </row>
    <row r="55" spans="1:28" s="90" customFormat="1" ht="14.1" customHeight="1" x14ac:dyDescent="0.2">
      <c r="A55" s="301"/>
      <c r="B55" s="350" t="s">
        <v>334</v>
      </c>
      <c r="C55" s="608"/>
      <c r="D55" s="608"/>
      <c r="E55" s="608"/>
      <c r="F55" s="370" t="s">
        <v>335</v>
      </c>
      <c r="G55" s="652">
        <f>'far 1 a(for internal use only)'!G54</f>
        <v>300000</v>
      </c>
      <c r="H55" s="652">
        <f>'far 1 a(for internal use only)'!H54</f>
        <v>0</v>
      </c>
      <c r="I55" s="660">
        <f t="shared" si="74"/>
        <v>300000</v>
      </c>
      <c r="J55" s="660">
        <f t="shared" si="75"/>
        <v>300000</v>
      </c>
      <c r="K55" s="652">
        <f>'far 1 a(for internal use only)'!K54</f>
        <v>0</v>
      </c>
      <c r="L55" s="652">
        <f>'far 1 a(for internal use only)'!L54</f>
        <v>0</v>
      </c>
      <c r="M55" s="652">
        <f>'far 1 a(for internal use only)'!M54</f>
        <v>0</v>
      </c>
      <c r="N55" s="661">
        <f t="shared" si="76"/>
        <v>300000</v>
      </c>
      <c r="O55" s="652">
        <f>'far 1 a(for internal use only)'!O54</f>
        <v>6900</v>
      </c>
      <c r="P55" s="652">
        <f>'far 1 a(for internal use only)'!P54</f>
        <v>16197</v>
      </c>
      <c r="Q55" s="652">
        <f>'far 1 a(for internal use only)'!Q54</f>
        <v>29533</v>
      </c>
      <c r="R55" s="652">
        <f>'far 1 a(for internal use only)'!R54</f>
        <v>247370</v>
      </c>
      <c r="S55" s="662">
        <f t="shared" si="77"/>
        <v>300000</v>
      </c>
      <c r="T55" s="652">
        <f>'far 1 a(for internal use only)'!T54</f>
        <v>6900</v>
      </c>
      <c r="U55" s="652">
        <f>'far 1 a(for internal use only)'!U54</f>
        <v>16197</v>
      </c>
      <c r="V55" s="652">
        <f>'far 1 a(for internal use only)'!V54</f>
        <v>29533</v>
      </c>
      <c r="W55" s="652">
        <f>'far 1 a(for internal use only)'!W54</f>
        <v>50054</v>
      </c>
      <c r="X55" s="662">
        <f t="shared" si="78"/>
        <v>102684</v>
      </c>
      <c r="Y55" s="662">
        <f t="shared" si="79"/>
        <v>0</v>
      </c>
      <c r="Z55" s="662">
        <f t="shared" si="80"/>
        <v>0</v>
      </c>
      <c r="AA55" s="684">
        <f>'far 1 a(for internal use only)'!AA54</f>
        <v>0</v>
      </c>
      <c r="AB55" s="663">
        <f t="shared" si="81"/>
        <v>197316</v>
      </c>
    </row>
    <row r="56" spans="1:28" s="90" customFormat="1" ht="14.1" customHeight="1" x14ac:dyDescent="0.2">
      <c r="A56" s="301"/>
      <c r="B56" s="350" t="s">
        <v>336</v>
      </c>
      <c r="C56" s="608"/>
      <c r="D56" s="608"/>
      <c r="E56" s="608"/>
      <c r="F56" s="370" t="s">
        <v>337</v>
      </c>
      <c r="G56" s="652">
        <f>'far 1 a(for internal use only)'!G55</f>
        <v>1443000</v>
      </c>
      <c r="H56" s="652">
        <f>'far 1 a(for internal use only)'!H55</f>
        <v>0</v>
      </c>
      <c r="I56" s="660">
        <f t="shared" si="74"/>
        <v>1443000</v>
      </c>
      <c r="J56" s="660">
        <f t="shared" si="75"/>
        <v>1443000</v>
      </c>
      <c r="K56" s="652">
        <f>'far 1 a(for internal use only)'!K55</f>
        <v>0</v>
      </c>
      <c r="L56" s="652">
        <f>'far 1 a(for internal use only)'!L55</f>
        <v>0</v>
      </c>
      <c r="M56" s="652">
        <f>'far 1 a(for internal use only)'!M55</f>
        <v>0</v>
      </c>
      <c r="N56" s="661">
        <f t="shared" si="76"/>
        <v>1443000</v>
      </c>
      <c r="O56" s="652">
        <f>'far 1 a(for internal use only)'!O55</f>
        <v>41000</v>
      </c>
      <c r="P56" s="652">
        <f>'far 1 a(for internal use only)'!P55</f>
        <v>29900.69</v>
      </c>
      <c r="Q56" s="652">
        <f>'far 1 a(for internal use only)'!Q55</f>
        <v>46084.32</v>
      </c>
      <c r="R56" s="652">
        <f>'far 1 a(for internal use only)'!R55</f>
        <v>57738</v>
      </c>
      <c r="S56" s="662">
        <f t="shared" si="77"/>
        <v>174723.01</v>
      </c>
      <c r="T56" s="652">
        <f>'far 1 a(for internal use only)'!T55</f>
        <v>41000</v>
      </c>
      <c r="U56" s="652">
        <f>'far 1 a(for internal use only)'!U55</f>
        <v>29900.69</v>
      </c>
      <c r="V56" s="652">
        <f>'far 1 a(for internal use only)'!V55</f>
        <v>46084.32</v>
      </c>
      <c r="W56" s="652">
        <f>'far 1 a(for internal use only)'!W55</f>
        <v>57738</v>
      </c>
      <c r="X56" s="662">
        <f t="shared" si="78"/>
        <v>174723.01</v>
      </c>
      <c r="Y56" s="662">
        <f t="shared" si="79"/>
        <v>0</v>
      </c>
      <c r="Z56" s="662">
        <f t="shared" si="80"/>
        <v>1268276.99</v>
      </c>
      <c r="AA56" s="684">
        <f>'far 1 a(for internal use only)'!AA55</f>
        <v>0</v>
      </c>
      <c r="AB56" s="663">
        <f t="shared" si="81"/>
        <v>0</v>
      </c>
    </row>
    <row r="57" spans="1:28" s="90" customFormat="1" ht="14.1" customHeight="1" x14ac:dyDescent="0.2">
      <c r="A57" s="301"/>
      <c r="B57" s="350" t="s">
        <v>338</v>
      </c>
      <c r="C57" s="608"/>
      <c r="D57" s="608"/>
      <c r="E57" s="608"/>
      <c r="F57" s="370" t="s">
        <v>339</v>
      </c>
      <c r="G57" s="652">
        <f>'far 1 a(for internal use only)'!G56</f>
        <v>320000</v>
      </c>
      <c r="H57" s="652">
        <f>'far 1 a(for internal use only)'!H56</f>
        <v>0</v>
      </c>
      <c r="I57" s="660">
        <f t="shared" si="74"/>
        <v>320000</v>
      </c>
      <c r="J57" s="660">
        <f t="shared" si="75"/>
        <v>320000</v>
      </c>
      <c r="K57" s="652">
        <f>'far 1 a(for internal use only)'!K56</f>
        <v>0</v>
      </c>
      <c r="L57" s="652">
        <f>'far 1 a(for internal use only)'!L56</f>
        <v>0</v>
      </c>
      <c r="M57" s="652">
        <f>'far 1 a(for internal use only)'!M56</f>
        <v>0</v>
      </c>
      <c r="N57" s="661">
        <f t="shared" si="76"/>
        <v>320000</v>
      </c>
      <c r="O57" s="652">
        <f>'far 1 a(for internal use only)'!O56</f>
        <v>1900</v>
      </c>
      <c r="P57" s="652">
        <f>'far 1 a(for internal use only)'!P56</f>
        <v>10000</v>
      </c>
      <c r="Q57" s="652">
        <f>'far 1 a(for internal use only)'!Q56</f>
        <v>211816.5</v>
      </c>
      <c r="R57" s="652">
        <f>'far 1 a(for internal use only)'!R56</f>
        <v>96283.5</v>
      </c>
      <c r="S57" s="662">
        <f t="shared" si="77"/>
        <v>320000</v>
      </c>
      <c r="T57" s="652">
        <f>'far 1 a(for internal use only)'!T56</f>
        <v>1900</v>
      </c>
      <c r="U57" s="652">
        <f>'far 1 a(for internal use only)'!U56</f>
        <v>10000</v>
      </c>
      <c r="V57" s="652">
        <f>'far 1 a(for internal use only)'!V56</f>
        <v>211816.5</v>
      </c>
      <c r="W57" s="652">
        <f>'far 1 a(for internal use only)'!W56</f>
        <v>0</v>
      </c>
      <c r="X57" s="662">
        <f t="shared" si="78"/>
        <v>223716.5</v>
      </c>
      <c r="Y57" s="662">
        <f t="shared" si="79"/>
        <v>0</v>
      </c>
      <c r="Z57" s="662">
        <f t="shared" si="80"/>
        <v>0</v>
      </c>
      <c r="AA57" s="684">
        <f>'far 1 a(for internal use only)'!AA56</f>
        <v>0</v>
      </c>
      <c r="AB57" s="663">
        <f t="shared" si="81"/>
        <v>96283.5</v>
      </c>
    </row>
    <row r="58" spans="1:28" s="90" customFormat="1" ht="14.1" customHeight="1" x14ac:dyDescent="0.2">
      <c r="A58" s="301"/>
      <c r="B58" s="351" t="s">
        <v>340</v>
      </c>
      <c r="C58" s="608"/>
      <c r="D58" s="608"/>
      <c r="E58" s="608"/>
      <c r="F58" s="370"/>
      <c r="G58" s="664"/>
      <c r="H58" s="652"/>
      <c r="I58" s="664"/>
      <c r="J58" s="664"/>
      <c r="K58" s="652"/>
      <c r="L58" s="652"/>
      <c r="M58" s="652"/>
      <c r="N58" s="665"/>
      <c r="O58" s="652"/>
      <c r="P58" s="652"/>
      <c r="Q58" s="652"/>
      <c r="R58" s="652"/>
      <c r="S58" s="666"/>
      <c r="T58" s="652"/>
      <c r="U58" s="652"/>
      <c r="V58" s="652"/>
      <c r="W58" s="652"/>
      <c r="X58" s="666"/>
      <c r="Y58" s="666"/>
      <c r="Z58" s="666"/>
      <c r="AA58" s="684"/>
      <c r="AB58" s="667"/>
    </row>
    <row r="59" spans="1:28" s="90" customFormat="1" ht="14.1" customHeight="1" x14ac:dyDescent="0.2">
      <c r="A59" s="301"/>
      <c r="B59" s="350" t="s">
        <v>341</v>
      </c>
      <c r="C59" s="608"/>
      <c r="D59" s="608"/>
      <c r="E59" s="608"/>
      <c r="F59" s="370" t="s">
        <v>342</v>
      </c>
      <c r="G59" s="652">
        <f>'far 1 a(for internal use only)'!G58</f>
        <v>188000</v>
      </c>
      <c r="H59" s="652">
        <f>'far 1 a(for internal use only)'!H58</f>
        <v>0</v>
      </c>
      <c r="I59" s="660">
        <f t="shared" ref="I59:I60" si="82">G59+H59</f>
        <v>188000</v>
      </c>
      <c r="J59" s="660">
        <f t="shared" ref="J59:J60" si="83">I59</f>
        <v>188000</v>
      </c>
      <c r="K59" s="652">
        <f>'far 1 a(for internal use only)'!K58</f>
        <v>0</v>
      </c>
      <c r="L59" s="652">
        <f>'far 1 a(for internal use only)'!L58</f>
        <v>0</v>
      </c>
      <c r="M59" s="652">
        <f>'far 1 a(for internal use only)'!M58</f>
        <v>0</v>
      </c>
      <c r="N59" s="661">
        <f t="shared" ref="N59:N60" si="84">J59+K59-L59+M59</f>
        <v>188000</v>
      </c>
      <c r="O59" s="652">
        <f>'far 1 a(for internal use only)'!O58</f>
        <v>31867.24</v>
      </c>
      <c r="P59" s="652">
        <f>'far 1 a(for internal use only)'!P58</f>
        <v>17088.900000000001</v>
      </c>
      <c r="Q59" s="652">
        <f>'far 1 a(for internal use only)'!Q58</f>
        <v>20062.27</v>
      </c>
      <c r="R59" s="652">
        <f>'far 1 a(for internal use only)'!R58</f>
        <v>118981.59</v>
      </c>
      <c r="S59" s="662">
        <f t="shared" ref="S59:S60" si="85">SUM(O59:R59)</f>
        <v>188000</v>
      </c>
      <c r="T59" s="652">
        <f>'far 1 a(for internal use only)'!T58</f>
        <v>31867.24</v>
      </c>
      <c r="U59" s="652">
        <f>'far 1 a(for internal use only)'!U58</f>
        <v>17088.900000000001</v>
      </c>
      <c r="V59" s="652">
        <f>'far 1 a(for internal use only)'!V58</f>
        <v>20062.27</v>
      </c>
      <c r="W59" s="652">
        <f>'far 1 a(for internal use only)'!W58</f>
        <v>16783.73</v>
      </c>
      <c r="X59" s="662">
        <f t="shared" ref="X59:X60" si="86">SUM(T59:W59)</f>
        <v>85802.14</v>
      </c>
      <c r="Y59" s="662">
        <f t="shared" ref="Y59:Y60" si="87">I59-N59</f>
        <v>0</v>
      </c>
      <c r="Z59" s="662">
        <f t="shared" ref="Z59:Z60" si="88">N59-S59</f>
        <v>0</v>
      </c>
      <c r="AA59" s="684">
        <f>'far 1 a(for internal use only)'!AA58</f>
        <v>0</v>
      </c>
      <c r="AB59" s="663">
        <f t="shared" ref="AB59:AB60" si="89">+S59-X59-AA59</f>
        <v>102197.86</v>
      </c>
    </row>
    <row r="60" spans="1:28" s="90" customFormat="1" ht="14.1" customHeight="1" x14ac:dyDescent="0.2">
      <c r="A60" s="301"/>
      <c r="B60" s="350" t="s">
        <v>343</v>
      </c>
      <c r="C60" s="608"/>
      <c r="D60" s="608"/>
      <c r="E60" s="608"/>
      <c r="F60" s="370" t="s">
        <v>344</v>
      </c>
      <c r="G60" s="652">
        <f>'far 1 a(for internal use only)'!G59</f>
        <v>2402000</v>
      </c>
      <c r="H60" s="652">
        <f>'far 1 a(for internal use only)'!H59</f>
        <v>0</v>
      </c>
      <c r="I60" s="660">
        <f t="shared" si="82"/>
        <v>2402000</v>
      </c>
      <c r="J60" s="660">
        <f t="shared" si="83"/>
        <v>2402000</v>
      </c>
      <c r="K60" s="652">
        <f>'far 1 a(for internal use only)'!K59</f>
        <v>0</v>
      </c>
      <c r="L60" s="652">
        <f>'far 1 a(for internal use only)'!L59</f>
        <v>0</v>
      </c>
      <c r="M60" s="652">
        <f>'far 1 a(for internal use only)'!M59</f>
        <v>0</v>
      </c>
      <c r="N60" s="661">
        <f t="shared" si="84"/>
        <v>2402000</v>
      </c>
      <c r="O60" s="652">
        <f>'far 1 a(for internal use only)'!O59</f>
        <v>734718.51</v>
      </c>
      <c r="P60" s="652">
        <f>'far 1 a(for internal use only)'!P59</f>
        <v>382920.67</v>
      </c>
      <c r="Q60" s="652">
        <f>'far 1 a(for internal use only)'!Q59</f>
        <v>573206.14999999991</v>
      </c>
      <c r="R60" s="652">
        <f>'far 1 a(for internal use only)'!R59</f>
        <v>711154.66999999993</v>
      </c>
      <c r="S60" s="662">
        <f t="shared" si="85"/>
        <v>2402000</v>
      </c>
      <c r="T60" s="652">
        <f>'far 1 a(for internal use only)'!T59</f>
        <v>569508.59</v>
      </c>
      <c r="U60" s="652">
        <f>'far 1 a(for internal use only)'!U59</f>
        <v>548130.59</v>
      </c>
      <c r="V60" s="652">
        <f>'far 1 a(for internal use only)'!V59</f>
        <v>573206.14999999991</v>
      </c>
      <c r="W60" s="652">
        <f>'far 1 a(for internal use only)'!W59</f>
        <v>509603.58999999997</v>
      </c>
      <c r="X60" s="662">
        <f t="shared" si="86"/>
        <v>2200448.92</v>
      </c>
      <c r="Y60" s="662">
        <f t="shared" si="87"/>
        <v>0</v>
      </c>
      <c r="Z60" s="662">
        <f t="shared" si="88"/>
        <v>0</v>
      </c>
      <c r="AA60" s="684">
        <f>'far 1 a(for internal use only)'!AA59</f>
        <v>0</v>
      </c>
      <c r="AB60" s="663">
        <f t="shared" si="89"/>
        <v>201551.08000000007</v>
      </c>
    </row>
    <row r="61" spans="1:28" s="90" customFormat="1" ht="14.1" customHeight="1" x14ac:dyDescent="0.2">
      <c r="A61" s="301"/>
      <c r="B61" s="351" t="s">
        <v>345</v>
      </c>
      <c r="C61" s="608"/>
      <c r="D61" s="608"/>
      <c r="E61" s="608"/>
      <c r="F61" s="370"/>
      <c r="G61" s="664"/>
      <c r="H61" s="652"/>
      <c r="I61" s="664"/>
      <c r="J61" s="664"/>
      <c r="K61" s="652"/>
      <c r="L61" s="652"/>
      <c r="M61" s="652"/>
      <c r="N61" s="665"/>
      <c r="O61" s="652"/>
      <c r="P61" s="652"/>
      <c r="Q61" s="652"/>
      <c r="R61" s="652"/>
      <c r="S61" s="666"/>
      <c r="T61" s="652"/>
      <c r="U61" s="652"/>
      <c r="V61" s="652"/>
      <c r="W61" s="652"/>
      <c r="X61" s="666"/>
      <c r="Y61" s="666"/>
      <c r="Z61" s="666"/>
      <c r="AA61" s="684"/>
      <c r="AB61" s="667"/>
    </row>
    <row r="62" spans="1:28" s="90" customFormat="1" ht="14.1" customHeight="1" x14ac:dyDescent="0.2">
      <c r="A62" s="301"/>
      <c r="B62" s="350" t="s">
        <v>346</v>
      </c>
      <c r="C62" s="608"/>
      <c r="D62" s="608"/>
      <c r="E62" s="608"/>
      <c r="F62" s="370" t="s">
        <v>347</v>
      </c>
      <c r="G62" s="652">
        <f>'far 1 a(for internal use only)'!G61</f>
        <v>63000</v>
      </c>
      <c r="H62" s="652">
        <f>'far 1 a(for internal use only)'!H61</f>
        <v>0</v>
      </c>
      <c r="I62" s="660">
        <f t="shared" ref="I62:I66" si="90">G62+H62</f>
        <v>63000</v>
      </c>
      <c r="J62" s="660">
        <f t="shared" ref="J62:J66" si="91">I62</f>
        <v>63000</v>
      </c>
      <c r="K62" s="652">
        <f>'far 1 a(for internal use only)'!K61</f>
        <v>0</v>
      </c>
      <c r="L62" s="652">
        <f>'far 1 a(for internal use only)'!L61</f>
        <v>0</v>
      </c>
      <c r="M62" s="652">
        <f>'far 1 a(for internal use only)'!M61</f>
        <v>0</v>
      </c>
      <c r="N62" s="661">
        <f t="shared" ref="N62:N66" si="92">J62+K62-L62+M62</f>
        <v>63000</v>
      </c>
      <c r="O62" s="652">
        <f>'far 1 a(for internal use only)'!O61</f>
        <v>10688.2</v>
      </c>
      <c r="P62" s="652">
        <f>'far 1 a(for internal use only)'!P61</f>
        <v>7780</v>
      </c>
      <c r="Q62" s="652">
        <f>'far 1 a(for internal use only)'!Q61</f>
        <v>13606.8</v>
      </c>
      <c r="R62" s="652">
        <f>'far 1 a(for internal use only)'!R61</f>
        <v>30925</v>
      </c>
      <c r="S62" s="662">
        <f t="shared" ref="S62:S66" si="93">SUM(O62:R62)</f>
        <v>63000</v>
      </c>
      <c r="T62" s="652">
        <f>'far 1 a(for internal use only)'!T61</f>
        <v>10688.2</v>
      </c>
      <c r="U62" s="652">
        <f>'far 1 a(for internal use only)'!U61</f>
        <v>7780</v>
      </c>
      <c r="V62" s="652">
        <f>'far 1 a(for internal use only)'!V61</f>
        <v>13606.8</v>
      </c>
      <c r="W62" s="652">
        <f>'far 1 a(for internal use only)'!W61</f>
        <v>30925</v>
      </c>
      <c r="X62" s="662">
        <f t="shared" ref="X62:X66" si="94">SUM(T62:W62)</f>
        <v>63000</v>
      </c>
      <c r="Y62" s="662">
        <f t="shared" ref="Y62:Y66" si="95">I62-N62</f>
        <v>0</v>
      </c>
      <c r="Z62" s="662">
        <f t="shared" ref="Z62:Z66" si="96">N62-S62</f>
        <v>0</v>
      </c>
      <c r="AA62" s="684">
        <f>'far 1 a(for internal use only)'!AA61</f>
        <v>0</v>
      </c>
      <c r="AB62" s="663">
        <f t="shared" ref="AB62:AB66" si="97">+S62-X62-AA62</f>
        <v>0</v>
      </c>
    </row>
    <row r="63" spans="1:28" s="90" customFormat="1" ht="14.1" customHeight="1" x14ac:dyDescent="0.2">
      <c r="A63" s="301"/>
      <c r="B63" s="350" t="s">
        <v>348</v>
      </c>
      <c r="C63" s="608"/>
      <c r="D63" s="608"/>
      <c r="E63" s="608"/>
      <c r="F63" s="370" t="s">
        <v>349</v>
      </c>
      <c r="G63" s="652">
        <f>'far 1 a(for internal use only)'!G62</f>
        <v>480000</v>
      </c>
      <c r="H63" s="652">
        <f>'far 1 a(for internal use only)'!H62</f>
        <v>0</v>
      </c>
      <c r="I63" s="660">
        <f t="shared" si="90"/>
        <v>480000</v>
      </c>
      <c r="J63" s="660">
        <f t="shared" si="91"/>
        <v>480000</v>
      </c>
      <c r="K63" s="652">
        <f>'far 1 a(for internal use only)'!K62</f>
        <v>0</v>
      </c>
      <c r="L63" s="652">
        <f>'far 1 a(for internal use only)'!L62</f>
        <v>0</v>
      </c>
      <c r="M63" s="652">
        <f>'far 1 a(for internal use only)'!M62</f>
        <v>0</v>
      </c>
      <c r="N63" s="661">
        <f t="shared" si="92"/>
        <v>480000</v>
      </c>
      <c r="O63" s="652">
        <f>'far 1 a(for internal use only)'!O62</f>
        <v>22800</v>
      </c>
      <c r="P63" s="652">
        <f>'far 1 a(for internal use only)'!P62</f>
        <v>20100</v>
      </c>
      <c r="Q63" s="652">
        <f>'far 1 a(for internal use only)'!Q62</f>
        <v>26299</v>
      </c>
      <c r="R63" s="652">
        <f>'far 1 a(for internal use only)'!R62</f>
        <v>25198.5</v>
      </c>
      <c r="S63" s="662">
        <f t="shared" si="93"/>
        <v>94397.5</v>
      </c>
      <c r="T63" s="652">
        <f>'far 1 a(for internal use only)'!T62</f>
        <v>22800</v>
      </c>
      <c r="U63" s="652">
        <f>'far 1 a(for internal use only)'!U62</f>
        <v>20100</v>
      </c>
      <c r="V63" s="652">
        <f>'far 1 a(for internal use only)'!V62</f>
        <v>26299</v>
      </c>
      <c r="W63" s="652">
        <f>'far 1 a(for internal use only)'!W62</f>
        <v>25198.5</v>
      </c>
      <c r="X63" s="662">
        <f t="shared" si="94"/>
        <v>94397.5</v>
      </c>
      <c r="Y63" s="662">
        <f t="shared" si="95"/>
        <v>0</v>
      </c>
      <c r="Z63" s="662">
        <f t="shared" si="96"/>
        <v>385602.5</v>
      </c>
      <c r="AA63" s="684">
        <f>'far 1 a(for internal use only)'!AA62</f>
        <v>0</v>
      </c>
      <c r="AB63" s="663">
        <f t="shared" si="97"/>
        <v>0</v>
      </c>
    </row>
    <row r="64" spans="1:28" s="90" customFormat="1" ht="14.1" customHeight="1" x14ac:dyDescent="0.2">
      <c r="A64" s="301"/>
      <c r="B64" s="350" t="s">
        <v>350</v>
      </c>
      <c r="C64" s="608"/>
      <c r="D64" s="608"/>
      <c r="E64" s="608"/>
      <c r="F64" s="370" t="s">
        <v>351</v>
      </c>
      <c r="G64" s="652">
        <f>'far 1 a(for internal use only)'!G63</f>
        <v>261000</v>
      </c>
      <c r="H64" s="652">
        <f>'far 1 a(for internal use only)'!H63</f>
        <v>0</v>
      </c>
      <c r="I64" s="660">
        <f t="shared" si="90"/>
        <v>261000</v>
      </c>
      <c r="J64" s="660">
        <f t="shared" si="91"/>
        <v>261000</v>
      </c>
      <c r="K64" s="652">
        <f>'far 1 a(for internal use only)'!K63</f>
        <v>0</v>
      </c>
      <c r="L64" s="652">
        <f>'far 1 a(for internal use only)'!L63</f>
        <v>0</v>
      </c>
      <c r="M64" s="652">
        <f>'far 1 a(for internal use only)'!M63</f>
        <v>0</v>
      </c>
      <c r="N64" s="661">
        <f t="shared" si="92"/>
        <v>261000</v>
      </c>
      <c r="O64" s="652">
        <f>'far 1 a(for internal use only)'!O63</f>
        <v>33770.07</v>
      </c>
      <c r="P64" s="652">
        <f>'far 1 a(for internal use only)'!P63</f>
        <v>27597.839999999997</v>
      </c>
      <c r="Q64" s="652">
        <f>'far 1 a(for internal use only)'!Q63</f>
        <v>45202.27</v>
      </c>
      <c r="R64" s="652">
        <f>'far 1 a(for internal use only)'!R63</f>
        <v>60657.649999999994</v>
      </c>
      <c r="S64" s="662">
        <f t="shared" si="93"/>
        <v>167227.82999999999</v>
      </c>
      <c r="T64" s="652">
        <f>'far 1 a(for internal use only)'!T63</f>
        <v>33770.07</v>
      </c>
      <c r="U64" s="652">
        <f>'far 1 a(for internal use only)'!U63</f>
        <v>27597.839999999997</v>
      </c>
      <c r="V64" s="652">
        <f>'far 1 a(for internal use only)'!V63</f>
        <v>45202.27</v>
      </c>
      <c r="W64" s="652">
        <f>'far 1 a(for internal use only)'!W63</f>
        <v>60657.649999999994</v>
      </c>
      <c r="X64" s="662">
        <f t="shared" si="94"/>
        <v>167227.82999999999</v>
      </c>
      <c r="Y64" s="662">
        <f t="shared" si="95"/>
        <v>0</v>
      </c>
      <c r="Z64" s="662">
        <f t="shared" si="96"/>
        <v>93772.170000000013</v>
      </c>
      <c r="AA64" s="684">
        <f>'far 1 a(for internal use only)'!AA63</f>
        <v>0</v>
      </c>
      <c r="AB64" s="663">
        <f t="shared" si="97"/>
        <v>0</v>
      </c>
    </row>
    <row r="65" spans="1:28" s="90" customFormat="1" ht="14.1" customHeight="1" x14ac:dyDescent="0.2">
      <c r="A65" s="301"/>
      <c r="B65" s="350" t="s">
        <v>352</v>
      </c>
      <c r="C65" s="608"/>
      <c r="D65" s="608"/>
      <c r="E65" s="608"/>
      <c r="F65" s="370" t="s">
        <v>353</v>
      </c>
      <c r="G65" s="652">
        <f>'far 1 a(for internal use only)'!G64</f>
        <v>101000</v>
      </c>
      <c r="H65" s="652">
        <f>'far 1 a(for internal use only)'!H64</f>
        <v>0</v>
      </c>
      <c r="I65" s="660">
        <f t="shared" si="90"/>
        <v>101000</v>
      </c>
      <c r="J65" s="660">
        <f t="shared" si="91"/>
        <v>101000</v>
      </c>
      <c r="K65" s="652">
        <f>'far 1 a(for internal use only)'!K64</f>
        <v>0</v>
      </c>
      <c r="L65" s="652">
        <f>'far 1 a(for internal use only)'!L64</f>
        <v>0</v>
      </c>
      <c r="M65" s="652">
        <f>'far 1 a(for internal use only)'!M64</f>
        <v>0</v>
      </c>
      <c r="N65" s="661">
        <f t="shared" si="92"/>
        <v>101000</v>
      </c>
      <c r="O65" s="652">
        <f>'far 1 a(for internal use only)'!O64</f>
        <v>29120</v>
      </c>
      <c r="P65" s="652">
        <f>'far 1 a(for internal use only)'!P64</f>
        <v>27440</v>
      </c>
      <c r="Q65" s="652">
        <f>'far 1 a(for internal use only)'!Q64</f>
        <v>30300</v>
      </c>
      <c r="R65" s="652">
        <f>'far 1 a(for internal use only)'!R64</f>
        <v>14140</v>
      </c>
      <c r="S65" s="662">
        <f t="shared" si="93"/>
        <v>101000</v>
      </c>
      <c r="T65" s="652">
        <f>'far 1 a(for internal use only)'!T64</f>
        <v>29120</v>
      </c>
      <c r="U65" s="652">
        <f>'far 1 a(for internal use only)'!U64</f>
        <v>27440</v>
      </c>
      <c r="V65" s="652">
        <f>'far 1 a(for internal use only)'!V64</f>
        <v>30300</v>
      </c>
      <c r="W65" s="652">
        <f>'far 1 a(for internal use only)'!W64</f>
        <v>14140</v>
      </c>
      <c r="X65" s="662">
        <f t="shared" si="94"/>
        <v>101000</v>
      </c>
      <c r="Y65" s="662">
        <f t="shared" si="95"/>
        <v>0</v>
      </c>
      <c r="Z65" s="662">
        <f t="shared" si="96"/>
        <v>0</v>
      </c>
      <c r="AA65" s="684">
        <f>'far 1 a(for internal use only)'!AA64</f>
        <v>0</v>
      </c>
      <c r="AB65" s="663">
        <f t="shared" si="97"/>
        <v>0</v>
      </c>
    </row>
    <row r="66" spans="1:28" s="90" customFormat="1" ht="14.1" customHeight="1" x14ac:dyDescent="0.2">
      <c r="A66" s="301"/>
      <c r="B66" s="350" t="s">
        <v>354</v>
      </c>
      <c r="C66" s="608"/>
      <c r="D66" s="608"/>
      <c r="E66" s="608"/>
      <c r="F66" s="370" t="s">
        <v>355</v>
      </c>
      <c r="G66" s="652">
        <f>'far 1 a(for internal use only)'!G65</f>
        <v>16000</v>
      </c>
      <c r="H66" s="652">
        <f>'far 1 a(for internal use only)'!H65</f>
        <v>0</v>
      </c>
      <c r="I66" s="660">
        <f t="shared" si="90"/>
        <v>16000</v>
      </c>
      <c r="J66" s="660">
        <f t="shared" si="91"/>
        <v>16000</v>
      </c>
      <c r="K66" s="652">
        <f>'far 1 a(for internal use only)'!K65</f>
        <v>0</v>
      </c>
      <c r="L66" s="652">
        <f>'far 1 a(for internal use only)'!L65</f>
        <v>0</v>
      </c>
      <c r="M66" s="652">
        <f>'far 1 a(for internal use only)'!M65</f>
        <v>0</v>
      </c>
      <c r="N66" s="661">
        <f t="shared" si="92"/>
        <v>16000</v>
      </c>
      <c r="O66" s="652">
        <f>'far 1 a(for internal use only)'!O65</f>
        <v>2929.19</v>
      </c>
      <c r="P66" s="652">
        <f>'far 1 a(for internal use only)'!P65</f>
        <v>4395.4799999999996</v>
      </c>
      <c r="Q66" s="652">
        <f>'far 1 a(for internal use only)'!Q65</f>
        <v>3240</v>
      </c>
      <c r="R66" s="652">
        <f>'far 1 a(for internal use only)'!R65</f>
        <v>3240</v>
      </c>
      <c r="S66" s="662">
        <f t="shared" si="93"/>
        <v>13804.67</v>
      </c>
      <c r="T66" s="652">
        <f>'far 1 a(for internal use only)'!T65</f>
        <v>2929.19</v>
      </c>
      <c r="U66" s="652">
        <f>'far 1 a(for internal use only)'!U65</f>
        <v>4395.4799999999996</v>
      </c>
      <c r="V66" s="652">
        <f>'far 1 a(for internal use only)'!V65</f>
        <v>3240</v>
      </c>
      <c r="W66" s="652">
        <f>'far 1 a(for internal use only)'!W65</f>
        <v>3240</v>
      </c>
      <c r="X66" s="662">
        <f t="shared" si="94"/>
        <v>13804.67</v>
      </c>
      <c r="Y66" s="662">
        <f t="shared" si="95"/>
        <v>0</v>
      </c>
      <c r="Z66" s="662">
        <f t="shared" si="96"/>
        <v>2195.33</v>
      </c>
      <c r="AA66" s="684">
        <f>'far 1 a(for internal use only)'!AA65</f>
        <v>0</v>
      </c>
      <c r="AB66" s="663">
        <f t="shared" si="97"/>
        <v>0</v>
      </c>
    </row>
    <row r="67" spans="1:28" s="90" customFormat="1" ht="14.1" customHeight="1" x14ac:dyDescent="0.2">
      <c r="A67" s="301"/>
      <c r="B67" s="351" t="s">
        <v>356</v>
      </c>
      <c r="C67" s="608"/>
      <c r="D67" s="608"/>
      <c r="E67" s="608"/>
      <c r="F67" s="370"/>
      <c r="G67" s="664"/>
      <c r="H67" s="652"/>
      <c r="I67" s="664"/>
      <c r="J67" s="664"/>
      <c r="K67" s="652"/>
      <c r="L67" s="652"/>
      <c r="M67" s="652"/>
      <c r="N67" s="665"/>
      <c r="O67" s="652"/>
      <c r="P67" s="652"/>
      <c r="Q67" s="652"/>
      <c r="R67" s="652"/>
      <c r="S67" s="666"/>
      <c r="T67" s="652"/>
      <c r="U67" s="652"/>
      <c r="V67" s="652"/>
      <c r="W67" s="652"/>
      <c r="X67" s="666"/>
      <c r="Y67" s="666"/>
      <c r="Z67" s="666"/>
      <c r="AA67" s="684"/>
      <c r="AB67" s="667"/>
    </row>
    <row r="68" spans="1:28" s="90" customFormat="1" ht="14.1" customHeight="1" x14ac:dyDescent="0.2">
      <c r="A68" s="301"/>
      <c r="B68" s="350" t="s">
        <v>357</v>
      </c>
      <c r="C68" s="608"/>
      <c r="D68" s="608"/>
      <c r="E68" s="608"/>
      <c r="F68" s="370" t="s">
        <v>358</v>
      </c>
      <c r="G68" s="652">
        <f>'far 1 a(for internal use only)'!G67</f>
        <v>98000</v>
      </c>
      <c r="H68" s="652">
        <f>'far 1 a(for internal use only)'!H67</f>
        <v>0</v>
      </c>
      <c r="I68" s="660">
        <f t="shared" ref="I68" si="98">G68+H68</f>
        <v>98000</v>
      </c>
      <c r="J68" s="660">
        <f t="shared" ref="J68" si="99">I68</f>
        <v>98000</v>
      </c>
      <c r="K68" s="652">
        <f>'far 1 a(for internal use only)'!K67</f>
        <v>0</v>
      </c>
      <c r="L68" s="652">
        <f>'far 1 a(for internal use only)'!L67</f>
        <v>0</v>
      </c>
      <c r="M68" s="652">
        <f>'far 1 a(for internal use only)'!M67</f>
        <v>16000</v>
      </c>
      <c r="N68" s="661">
        <f>J68+K68-L68+M68</f>
        <v>114000</v>
      </c>
      <c r="O68" s="652">
        <f>'far 1 a(for internal use only)'!O67</f>
        <v>40600</v>
      </c>
      <c r="P68" s="652">
        <f>'far 1 a(for internal use only)'!P67</f>
        <v>24600</v>
      </c>
      <c r="Q68" s="652">
        <f>'far 1 a(for internal use only)'!Q67</f>
        <v>24600</v>
      </c>
      <c r="R68" s="652">
        <f>'far 1 a(for internal use only)'!R67</f>
        <v>24200</v>
      </c>
      <c r="S68" s="662">
        <f t="shared" ref="S68" si="100">SUM(O68:R68)</f>
        <v>114000</v>
      </c>
      <c r="T68" s="652">
        <f>'far 1 a(for internal use only)'!T67</f>
        <v>40600</v>
      </c>
      <c r="U68" s="652">
        <f>'far 1 a(for internal use only)'!U67</f>
        <v>24600</v>
      </c>
      <c r="V68" s="652">
        <f>'far 1 a(for internal use only)'!V67</f>
        <v>24600</v>
      </c>
      <c r="W68" s="652">
        <f>'far 1 a(for internal use only)'!W67</f>
        <v>24200</v>
      </c>
      <c r="X68" s="662">
        <f t="shared" ref="X68" si="101">SUM(T68:W68)</f>
        <v>114000</v>
      </c>
      <c r="Y68" s="662">
        <f t="shared" ref="Y68" si="102">I68-N68</f>
        <v>-16000</v>
      </c>
      <c r="Z68" s="662">
        <f t="shared" ref="Z68" si="103">N68-S68</f>
        <v>0</v>
      </c>
      <c r="AA68" s="684">
        <f>'far 1 a(for internal use only)'!AA67</f>
        <v>0</v>
      </c>
      <c r="AB68" s="663">
        <f t="shared" ref="AB68" si="104">+S68-X68-AA68</f>
        <v>0</v>
      </c>
    </row>
    <row r="69" spans="1:28" s="90" customFormat="1" ht="14.1" customHeight="1" x14ac:dyDescent="0.2">
      <c r="A69" s="301"/>
      <c r="B69" s="351" t="s">
        <v>359</v>
      </c>
      <c r="C69" s="608"/>
      <c r="D69" s="608"/>
      <c r="E69" s="608"/>
      <c r="F69" s="370"/>
      <c r="G69" s="664"/>
      <c r="H69" s="652"/>
      <c r="I69" s="664"/>
      <c r="J69" s="664"/>
      <c r="K69" s="652"/>
      <c r="L69" s="652"/>
      <c r="M69" s="652"/>
      <c r="N69" s="665"/>
      <c r="O69" s="652"/>
      <c r="P69" s="652"/>
      <c r="Q69" s="652"/>
      <c r="R69" s="652"/>
      <c r="S69" s="666"/>
      <c r="T69" s="652"/>
      <c r="U69" s="652"/>
      <c r="V69" s="652"/>
      <c r="W69" s="652"/>
      <c r="X69" s="666"/>
      <c r="Y69" s="666"/>
      <c r="Z69" s="666"/>
      <c r="AA69" s="684"/>
      <c r="AB69" s="667"/>
    </row>
    <row r="70" spans="1:28" s="90" customFormat="1" ht="14.1" hidden="1" customHeight="1" x14ac:dyDescent="0.2">
      <c r="A70" s="301"/>
      <c r="B70" s="350" t="s">
        <v>360</v>
      </c>
      <c r="C70" s="608"/>
      <c r="D70" s="608"/>
      <c r="E70" s="608"/>
      <c r="F70" s="370" t="s">
        <v>361</v>
      </c>
      <c r="G70" s="652">
        <f>'far 1 a(for internal use only)'!G69</f>
        <v>0</v>
      </c>
      <c r="H70" s="652">
        <f>'far 1 a(for internal use only)'!H69</f>
        <v>0</v>
      </c>
      <c r="I70" s="660">
        <f t="shared" ref="I70:I73" si="105">G70+H70</f>
        <v>0</v>
      </c>
      <c r="J70" s="660">
        <f t="shared" ref="J70:J73" si="106">I70</f>
        <v>0</v>
      </c>
      <c r="K70" s="652">
        <f>'far 1 a(for internal use only)'!K69</f>
        <v>0</v>
      </c>
      <c r="L70" s="652">
        <f>'far 1 a(for internal use only)'!L69</f>
        <v>0</v>
      </c>
      <c r="M70" s="652">
        <f>'far 1 a(for internal use only)'!M69</f>
        <v>0</v>
      </c>
      <c r="N70" s="661">
        <f t="shared" ref="N70:N73" si="107">J70+K70-L70+M70</f>
        <v>0</v>
      </c>
      <c r="O70" s="652">
        <f>'far 1 a(for internal use only)'!O69</f>
        <v>0</v>
      </c>
      <c r="P70" s="652">
        <f>'far 1 a(for internal use only)'!P69</f>
        <v>0</v>
      </c>
      <c r="Q70" s="652">
        <f>'far 1 a(for internal use only)'!Q69</f>
        <v>0</v>
      </c>
      <c r="R70" s="652">
        <f>'far 1 a(for internal use only)'!R69</f>
        <v>0</v>
      </c>
      <c r="S70" s="662">
        <f t="shared" ref="S70:S73" si="108">SUM(O70:R70)</f>
        <v>0</v>
      </c>
      <c r="T70" s="652">
        <f>'far 1 a(for internal use only)'!T69</f>
        <v>0</v>
      </c>
      <c r="U70" s="652">
        <f>'far 1 a(for internal use only)'!U69</f>
        <v>0</v>
      </c>
      <c r="V70" s="652">
        <f>'far 1 a(for internal use only)'!V69</f>
        <v>0</v>
      </c>
      <c r="W70" s="652">
        <f>'far 1 a(for internal use only)'!W69</f>
        <v>0</v>
      </c>
      <c r="X70" s="662">
        <f t="shared" ref="X70:X73" si="109">SUM(T70:W70)</f>
        <v>0</v>
      </c>
      <c r="Y70" s="662">
        <f t="shared" ref="Y70:Y73" si="110">I70-N70</f>
        <v>0</v>
      </c>
      <c r="Z70" s="662">
        <f t="shared" ref="Z70:Z73" si="111">N70-S70</f>
        <v>0</v>
      </c>
      <c r="AA70" s="684">
        <f>'far 1 a(for internal use only)'!AA69</f>
        <v>0</v>
      </c>
      <c r="AB70" s="663">
        <f t="shared" ref="AB70:AB73" si="112">+S70-X70-AA70</f>
        <v>0</v>
      </c>
    </row>
    <row r="71" spans="1:28" s="90" customFormat="1" ht="14.1" hidden="1" customHeight="1" x14ac:dyDescent="0.2">
      <c r="A71" s="301"/>
      <c r="B71" s="350" t="s">
        <v>362</v>
      </c>
      <c r="C71" s="608"/>
      <c r="D71" s="608"/>
      <c r="E71" s="608"/>
      <c r="F71" s="370" t="s">
        <v>363</v>
      </c>
      <c r="G71" s="652">
        <f>'far 1 a(for internal use only)'!G70</f>
        <v>0</v>
      </c>
      <c r="H71" s="652">
        <f>'far 1 a(for internal use only)'!H70</f>
        <v>0</v>
      </c>
      <c r="I71" s="660">
        <f t="shared" si="105"/>
        <v>0</v>
      </c>
      <c r="J71" s="660">
        <f t="shared" si="106"/>
        <v>0</v>
      </c>
      <c r="K71" s="652">
        <f>'far 1 a(for internal use only)'!K70</f>
        <v>0</v>
      </c>
      <c r="L71" s="652">
        <f>'far 1 a(for internal use only)'!L70</f>
        <v>0</v>
      </c>
      <c r="M71" s="652">
        <f>'far 1 a(for internal use only)'!M70</f>
        <v>0</v>
      </c>
      <c r="N71" s="661">
        <f t="shared" si="107"/>
        <v>0</v>
      </c>
      <c r="O71" s="652">
        <f>'far 1 a(for internal use only)'!O70</f>
        <v>0</v>
      </c>
      <c r="P71" s="652">
        <f>'far 1 a(for internal use only)'!P70</f>
        <v>0</v>
      </c>
      <c r="Q71" s="652">
        <f>'far 1 a(for internal use only)'!Q70</f>
        <v>0</v>
      </c>
      <c r="R71" s="652">
        <f>'far 1 a(for internal use only)'!R70</f>
        <v>0</v>
      </c>
      <c r="S71" s="662">
        <f t="shared" si="108"/>
        <v>0</v>
      </c>
      <c r="T71" s="652">
        <f>'far 1 a(for internal use only)'!T70</f>
        <v>0</v>
      </c>
      <c r="U71" s="652">
        <f>'far 1 a(for internal use only)'!U70</f>
        <v>0</v>
      </c>
      <c r="V71" s="652">
        <f>'far 1 a(for internal use only)'!V70</f>
        <v>0</v>
      </c>
      <c r="W71" s="652">
        <f>'far 1 a(for internal use only)'!W70</f>
        <v>0</v>
      </c>
      <c r="X71" s="662">
        <f t="shared" si="109"/>
        <v>0</v>
      </c>
      <c r="Y71" s="662">
        <f t="shared" si="110"/>
        <v>0</v>
      </c>
      <c r="Z71" s="662">
        <f t="shared" si="111"/>
        <v>0</v>
      </c>
      <c r="AA71" s="684">
        <f>'far 1 a(for internal use only)'!AA70</f>
        <v>0</v>
      </c>
      <c r="AB71" s="663">
        <f t="shared" si="112"/>
        <v>0</v>
      </c>
    </row>
    <row r="72" spans="1:28" s="90" customFormat="1" ht="14.1" hidden="1" customHeight="1" x14ac:dyDescent="0.2">
      <c r="A72" s="301"/>
      <c r="B72" s="350" t="s">
        <v>722</v>
      </c>
      <c r="C72" s="718"/>
      <c r="D72" s="718"/>
      <c r="E72" s="718"/>
      <c r="F72" s="370" t="s">
        <v>723</v>
      </c>
      <c r="G72" s="652">
        <f>'far 1 a(for internal use only)'!G71</f>
        <v>0</v>
      </c>
      <c r="H72" s="652">
        <f>'far 1 a(for internal use only)'!H71</f>
        <v>0</v>
      </c>
      <c r="I72" s="660">
        <f t="shared" si="105"/>
        <v>0</v>
      </c>
      <c r="J72" s="660">
        <f t="shared" si="106"/>
        <v>0</v>
      </c>
      <c r="K72" s="652">
        <f>'far 1 a(for internal use only)'!K71</f>
        <v>0</v>
      </c>
      <c r="L72" s="652">
        <f>'far 1 a(for internal use only)'!L71</f>
        <v>0</v>
      </c>
      <c r="M72" s="652">
        <f>'far 1 a(for internal use only)'!M71</f>
        <v>0</v>
      </c>
      <c r="N72" s="661">
        <f t="shared" si="107"/>
        <v>0</v>
      </c>
      <c r="O72" s="652">
        <f>'far 1 a(for internal use only)'!O71</f>
        <v>0</v>
      </c>
      <c r="P72" s="652">
        <f>'far 1 a(for internal use only)'!P71</f>
        <v>0</v>
      </c>
      <c r="Q72" s="652">
        <f>'far 1 a(for internal use only)'!Q71</f>
        <v>0</v>
      </c>
      <c r="R72" s="652">
        <f>'far 1 a(for internal use only)'!R71</f>
        <v>0</v>
      </c>
      <c r="S72" s="662">
        <f t="shared" si="108"/>
        <v>0</v>
      </c>
      <c r="T72" s="652">
        <f>'far 1 a(for internal use only)'!T71</f>
        <v>0</v>
      </c>
      <c r="U72" s="652">
        <f>'far 1 a(for internal use only)'!U71</f>
        <v>0</v>
      </c>
      <c r="V72" s="652">
        <f>'far 1 a(for internal use only)'!V71</f>
        <v>0</v>
      </c>
      <c r="W72" s="652">
        <f>'far 1 a(for internal use only)'!W71</f>
        <v>0</v>
      </c>
      <c r="X72" s="662">
        <f t="shared" si="109"/>
        <v>0</v>
      </c>
      <c r="Y72" s="662">
        <f t="shared" si="110"/>
        <v>0</v>
      </c>
      <c r="Z72" s="662">
        <f t="shared" si="111"/>
        <v>0</v>
      </c>
      <c r="AA72" s="684">
        <f>'far 1 a(for internal use only)'!AA71</f>
        <v>0</v>
      </c>
      <c r="AB72" s="663">
        <f t="shared" si="112"/>
        <v>0</v>
      </c>
    </row>
    <row r="73" spans="1:28" s="90" customFormat="1" ht="14.1" customHeight="1" x14ac:dyDescent="0.2">
      <c r="A73" s="301"/>
      <c r="B73" s="350" t="s">
        <v>364</v>
      </c>
      <c r="C73" s="608"/>
      <c r="D73" s="608"/>
      <c r="E73" s="608"/>
      <c r="F73" s="370" t="s">
        <v>365</v>
      </c>
      <c r="G73" s="652">
        <f>'far 1 a(for internal use only)'!G72</f>
        <v>1622000</v>
      </c>
      <c r="H73" s="652">
        <f>'far 1 a(for internal use only)'!H72</f>
        <v>0</v>
      </c>
      <c r="I73" s="660">
        <f t="shared" si="105"/>
        <v>1622000</v>
      </c>
      <c r="J73" s="660">
        <f t="shared" si="106"/>
        <v>1622000</v>
      </c>
      <c r="K73" s="652">
        <f>'far 1 a(for internal use only)'!K72</f>
        <v>0</v>
      </c>
      <c r="L73" s="652">
        <f>'far 1 a(for internal use only)'!L72</f>
        <v>0</v>
      </c>
      <c r="M73" s="652">
        <f>'far 1 a(for internal use only)'!M72</f>
        <v>137500</v>
      </c>
      <c r="N73" s="661">
        <f t="shared" si="107"/>
        <v>1759500</v>
      </c>
      <c r="O73" s="652">
        <f>'far 1 a(for internal use only)'!O72</f>
        <v>351609.01</v>
      </c>
      <c r="P73" s="652">
        <f>'far 1 a(for internal use only)'!P72</f>
        <v>521194.12000000005</v>
      </c>
      <c r="Q73" s="652">
        <f>'far 1 a(for internal use only)'!Q72</f>
        <v>581349.31999999995</v>
      </c>
      <c r="R73" s="652">
        <f>'far 1 a(for internal use only)'!R72</f>
        <v>205647.55000000002</v>
      </c>
      <c r="S73" s="662">
        <f t="shared" si="108"/>
        <v>1659800.0000000002</v>
      </c>
      <c r="T73" s="652">
        <f>'far 1 a(for internal use only)'!T72</f>
        <v>351609.01</v>
      </c>
      <c r="U73" s="652">
        <f>'far 1 a(for internal use only)'!U72</f>
        <v>520794.12000000011</v>
      </c>
      <c r="V73" s="652">
        <f>'far 1 a(for internal use only)'!V72</f>
        <v>535579.31999999995</v>
      </c>
      <c r="W73" s="652">
        <f>'far 1 a(for internal use only)'!W72</f>
        <v>251817.55000000002</v>
      </c>
      <c r="X73" s="662">
        <f t="shared" si="109"/>
        <v>1659800.0000000002</v>
      </c>
      <c r="Y73" s="662">
        <f t="shared" si="110"/>
        <v>-137500</v>
      </c>
      <c r="Z73" s="662">
        <f t="shared" si="111"/>
        <v>99699.999999999767</v>
      </c>
      <c r="AA73" s="684">
        <f>'far 1 a(for internal use only)'!AA72</f>
        <v>0</v>
      </c>
      <c r="AB73" s="663">
        <f t="shared" si="112"/>
        <v>0</v>
      </c>
    </row>
    <row r="74" spans="1:28" s="90" customFormat="1" ht="14.1" customHeight="1" x14ac:dyDescent="0.2">
      <c r="A74" s="301"/>
      <c r="B74" s="351" t="s">
        <v>366</v>
      </c>
      <c r="C74" s="608"/>
      <c r="D74" s="608"/>
      <c r="E74" s="608"/>
      <c r="F74" s="370"/>
      <c r="G74" s="664"/>
      <c r="H74" s="652"/>
      <c r="I74" s="664"/>
      <c r="J74" s="664"/>
      <c r="K74" s="652"/>
      <c r="L74" s="652"/>
      <c r="M74" s="652"/>
      <c r="N74" s="665"/>
      <c r="O74" s="652"/>
      <c r="P74" s="652"/>
      <c r="Q74" s="652"/>
      <c r="R74" s="652"/>
      <c r="S74" s="666"/>
      <c r="T74" s="652"/>
      <c r="U74" s="652"/>
      <c r="V74" s="652"/>
      <c r="W74" s="652"/>
      <c r="X74" s="666"/>
      <c r="Y74" s="666"/>
      <c r="Z74" s="666"/>
      <c r="AA74" s="684"/>
      <c r="AB74" s="667"/>
    </row>
    <row r="75" spans="1:28" s="90" customFormat="1" ht="14.1" hidden="1" customHeight="1" x14ac:dyDescent="0.2">
      <c r="A75" s="301"/>
      <c r="B75" s="350" t="s">
        <v>366</v>
      </c>
      <c r="C75" s="608"/>
      <c r="D75" s="608"/>
      <c r="E75" s="608"/>
      <c r="F75" s="370" t="s">
        <v>367</v>
      </c>
      <c r="G75" s="652">
        <f>'far 1 a(for internal use only)'!G74</f>
        <v>0</v>
      </c>
      <c r="H75" s="652">
        <f>'far 1 a(for internal use only)'!H74</f>
        <v>0</v>
      </c>
      <c r="I75" s="660">
        <f t="shared" ref="I75:I79" si="113">G75+H75</f>
        <v>0</v>
      </c>
      <c r="J75" s="660">
        <f t="shared" ref="J75:J79" si="114">I75</f>
        <v>0</v>
      </c>
      <c r="K75" s="652">
        <f>'far 1 a(for internal use only)'!K74</f>
        <v>0</v>
      </c>
      <c r="L75" s="652">
        <f>'far 1 a(for internal use only)'!L74</f>
        <v>0</v>
      </c>
      <c r="M75" s="652">
        <f>'far 1 a(for internal use only)'!M74</f>
        <v>0</v>
      </c>
      <c r="N75" s="661">
        <f t="shared" ref="N75:N79" si="115">J75+K75-L75+M75</f>
        <v>0</v>
      </c>
      <c r="O75" s="652">
        <f>'far 1 a(for internal use only)'!O74</f>
        <v>0</v>
      </c>
      <c r="P75" s="652">
        <f>'far 1 a(for internal use only)'!P74</f>
        <v>0</v>
      </c>
      <c r="Q75" s="652">
        <f>'far 1 a(for internal use only)'!Q74</f>
        <v>0</v>
      </c>
      <c r="R75" s="652">
        <f>'far 1 a(for internal use only)'!R74</f>
        <v>0</v>
      </c>
      <c r="S75" s="662">
        <f t="shared" ref="S75:S79" si="116">SUM(O75:R75)</f>
        <v>0</v>
      </c>
      <c r="T75" s="652">
        <f>'far 1 a(for internal use only)'!T74</f>
        <v>0</v>
      </c>
      <c r="U75" s="652">
        <f>'far 1 a(for internal use only)'!U74</f>
        <v>0</v>
      </c>
      <c r="V75" s="652">
        <f>'far 1 a(for internal use only)'!V74</f>
        <v>0</v>
      </c>
      <c r="W75" s="652">
        <f>'far 1 a(for internal use only)'!W74</f>
        <v>0</v>
      </c>
      <c r="X75" s="662">
        <f t="shared" ref="X75:X79" si="117">SUM(T75:W75)</f>
        <v>0</v>
      </c>
      <c r="Y75" s="662">
        <f t="shared" ref="Y75:Y79" si="118">I75-N75</f>
        <v>0</v>
      </c>
      <c r="Z75" s="662">
        <f t="shared" ref="Z75:Z79" si="119">N75-S75</f>
        <v>0</v>
      </c>
      <c r="AA75" s="684">
        <f>'far 1 a(for internal use only)'!AA74</f>
        <v>0</v>
      </c>
      <c r="AB75" s="663">
        <f t="shared" ref="AB75:AB79" si="120">+S75-X75-AA75</f>
        <v>0</v>
      </c>
    </row>
    <row r="76" spans="1:28" s="90" customFormat="1" ht="14.1" hidden="1" customHeight="1" x14ac:dyDescent="0.2">
      <c r="A76" s="301"/>
      <c r="B76" s="350" t="s">
        <v>724</v>
      </c>
      <c r="C76" s="718"/>
      <c r="D76" s="718"/>
      <c r="E76" s="718"/>
      <c r="F76" s="370" t="s">
        <v>725</v>
      </c>
      <c r="G76" s="652">
        <f>'far 1 a(for internal use only)'!G75</f>
        <v>0</v>
      </c>
      <c r="H76" s="652">
        <f>'far 1 a(for internal use only)'!H75</f>
        <v>0</v>
      </c>
      <c r="I76" s="660">
        <f t="shared" ref="I76" si="121">G76+H76</f>
        <v>0</v>
      </c>
      <c r="J76" s="660">
        <f t="shared" ref="J76" si="122">I76</f>
        <v>0</v>
      </c>
      <c r="K76" s="652">
        <f>'far 1 a(for internal use only)'!K75</f>
        <v>0</v>
      </c>
      <c r="L76" s="652">
        <f>'far 1 a(for internal use only)'!L75</f>
        <v>0</v>
      </c>
      <c r="M76" s="652">
        <f>'far 1 a(for internal use only)'!M75</f>
        <v>0</v>
      </c>
      <c r="N76" s="661">
        <f t="shared" ref="N76" si="123">J76+K76-L76+M76</f>
        <v>0</v>
      </c>
      <c r="O76" s="652">
        <f>'far 1 a(for internal use only)'!O75</f>
        <v>0</v>
      </c>
      <c r="P76" s="652">
        <f>'far 1 a(for internal use only)'!P75</f>
        <v>0</v>
      </c>
      <c r="Q76" s="652">
        <f>'far 1 a(for internal use only)'!Q75</f>
        <v>0</v>
      </c>
      <c r="R76" s="652">
        <f>'far 1 a(for internal use only)'!R75</f>
        <v>0</v>
      </c>
      <c r="S76" s="662">
        <f t="shared" ref="S76" si="124">SUM(O76:R76)</f>
        <v>0</v>
      </c>
      <c r="T76" s="652">
        <f>'far 1 a(for internal use only)'!T75</f>
        <v>0</v>
      </c>
      <c r="U76" s="652">
        <f>'far 1 a(for internal use only)'!U75</f>
        <v>0</v>
      </c>
      <c r="V76" s="652">
        <f>'far 1 a(for internal use only)'!V75</f>
        <v>0</v>
      </c>
      <c r="W76" s="652">
        <f>'far 1 a(for internal use only)'!W75</f>
        <v>0</v>
      </c>
      <c r="X76" s="662">
        <f t="shared" ref="X76" si="125">SUM(T76:W76)</f>
        <v>0</v>
      </c>
      <c r="Y76" s="662">
        <f t="shared" ref="Y76" si="126">I76-N76</f>
        <v>0</v>
      </c>
      <c r="Z76" s="662">
        <f t="shared" ref="Z76" si="127">N76-S76</f>
        <v>0</v>
      </c>
      <c r="AA76" s="684">
        <f>'far 1 a(for internal use only)'!AA75</f>
        <v>0</v>
      </c>
      <c r="AB76" s="663">
        <f t="shared" ref="AB76" si="128">+S76-X76-AA76</f>
        <v>0</v>
      </c>
    </row>
    <row r="77" spans="1:28" s="90" customFormat="1" ht="14.1" customHeight="1" x14ac:dyDescent="0.2">
      <c r="A77" s="301"/>
      <c r="B77" s="350" t="s">
        <v>368</v>
      </c>
      <c r="C77" s="608"/>
      <c r="D77" s="608"/>
      <c r="E77" s="608"/>
      <c r="F77" s="370" t="s">
        <v>369</v>
      </c>
      <c r="G77" s="652">
        <f>'far 1 a(for internal use only)'!G76</f>
        <v>501000</v>
      </c>
      <c r="H77" s="652">
        <f>'far 1 a(for internal use only)'!H76</f>
        <v>0</v>
      </c>
      <c r="I77" s="660">
        <f t="shared" si="113"/>
        <v>501000</v>
      </c>
      <c r="J77" s="660">
        <f t="shared" si="114"/>
        <v>501000</v>
      </c>
      <c r="K77" s="652">
        <f>'far 1 a(for internal use only)'!K76</f>
        <v>0</v>
      </c>
      <c r="L77" s="652">
        <f>'far 1 a(for internal use only)'!L76</f>
        <v>0</v>
      </c>
      <c r="M77" s="652">
        <f>'far 1 a(for internal use only)'!M76</f>
        <v>0</v>
      </c>
      <c r="N77" s="661">
        <f t="shared" si="115"/>
        <v>501000</v>
      </c>
      <c r="O77" s="652">
        <f>'far 1 a(for internal use only)'!O76</f>
        <v>67554.350000000006</v>
      </c>
      <c r="P77" s="652">
        <f>'far 1 a(for internal use only)'!P76</f>
        <v>69323.44</v>
      </c>
      <c r="Q77" s="652">
        <f>'far 1 a(for internal use only)'!Q76</f>
        <v>59487.330000000009</v>
      </c>
      <c r="R77" s="652">
        <f>'far 1 a(for internal use only)'!R76</f>
        <v>99671.360000000001</v>
      </c>
      <c r="S77" s="662">
        <f t="shared" si="116"/>
        <v>296036.48000000004</v>
      </c>
      <c r="T77" s="652">
        <f>'far 1 a(for internal use only)'!T76</f>
        <v>67554.350000000006</v>
      </c>
      <c r="U77" s="652">
        <f>'far 1 a(for internal use only)'!U76</f>
        <v>68823.44</v>
      </c>
      <c r="V77" s="652">
        <f>'far 1 a(for internal use only)'!V76</f>
        <v>59987.330000000009</v>
      </c>
      <c r="W77" s="652">
        <f>'far 1 a(for internal use only)'!W76</f>
        <v>99671.360000000001</v>
      </c>
      <c r="X77" s="662">
        <f t="shared" si="117"/>
        <v>296036.48000000004</v>
      </c>
      <c r="Y77" s="662">
        <f t="shared" si="118"/>
        <v>0</v>
      </c>
      <c r="Z77" s="662">
        <f t="shared" si="119"/>
        <v>204963.51999999996</v>
      </c>
      <c r="AA77" s="684">
        <f>'far 1 a(for internal use only)'!AA76</f>
        <v>0</v>
      </c>
      <c r="AB77" s="663">
        <f t="shared" si="120"/>
        <v>0</v>
      </c>
    </row>
    <row r="78" spans="1:28" s="90" customFormat="1" ht="14.1" customHeight="1" x14ac:dyDescent="0.2">
      <c r="A78" s="301"/>
      <c r="B78" s="350" t="s">
        <v>370</v>
      </c>
      <c r="C78" s="608"/>
      <c r="D78" s="608"/>
      <c r="E78" s="608"/>
      <c r="F78" s="370" t="s">
        <v>371</v>
      </c>
      <c r="G78" s="652">
        <f>'far 1 a(for internal use only)'!G77</f>
        <v>656000</v>
      </c>
      <c r="H78" s="652">
        <f>'far 1 a(for internal use only)'!H77</f>
        <v>0</v>
      </c>
      <c r="I78" s="660">
        <f t="shared" si="113"/>
        <v>656000</v>
      </c>
      <c r="J78" s="660">
        <f t="shared" si="114"/>
        <v>656000</v>
      </c>
      <c r="K78" s="652">
        <f>'far 1 a(for internal use only)'!K77</f>
        <v>0</v>
      </c>
      <c r="L78" s="652">
        <f>'far 1 a(for internal use only)'!L77</f>
        <v>0</v>
      </c>
      <c r="M78" s="652">
        <f>'far 1 a(for internal use only)'!M77</f>
        <v>0</v>
      </c>
      <c r="N78" s="661">
        <f t="shared" si="115"/>
        <v>656000</v>
      </c>
      <c r="O78" s="652">
        <f>'far 1 a(for internal use only)'!O77</f>
        <v>0</v>
      </c>
      <c r="P78" s="652">
        <f>'far 1 a(for internal use only)'!P77</f>
        <v>0</v>
      </c>
      <c r="Q78" s="652">
        <f>'far 1 a(for internal use only)'!Q77</f>
        <v>28177.48</v>
      </c>
      <c r="R78" s="652">
        <f>'far 1 a(for internal use only)'!R77</f>
        <v>216631.32</v>
      </c>
      <c r="S78" s="662">
        <f t="shared" si="116"/>
        <v>244808.80000000002</v>
      </c>
      <c r="T78" s="652">
        <f>'far 1 a(for internal use only)'!T77</f>
        <v>0</v>
      </c>
      <c r="U78" s="652">
        <f>'far 1 a(for internal use only)'!U77</f>
        <v>0</v>
      </c>
      <c r="V78" s="652">
        <f>'far 1 a(for internal use only)'!V77</f>
        <v>28177.48</v>
      </c>
      <c r="W78" s="652">
        <f>'far 1 a(for internal use only)'!W77</f>
        <v>216631.32</v>
      </c>
      <c r="X78" s="662">
        <f t="shared" si="117"/>
        <v>244808.80000000002</v>
      </c>
      <c r="Y78" s="662">
        <f t="shared" si="118"/>
        <v>0</v>
      </c>
      <c r="Z78" s="662">
        <f t="shared" si="119"/>
        <v>411191.19999999995</v>
      </c>
      <c r="AA78" s="684">
        <f>'far 1 a(for internal use only)'!AA77</f>
        <v>0</v>
      </c>
      <c r="AB78" s="663">
        <f t="shared" si="120"/>
        <v>0</v>
      </c>
    </row>
    <row r="79" spans="1:28" s="90" customFormat="1" ht="14.1" customHeight="1" x14ac:dyDescent="0.2">
      <c r="A79" s="301"/>
      <c r="B79" s="350" t="s">
        <v>372</v>
      </c>
      <c r="C79" s="608"/>
      <c r="D79" s="608"/>
      <c r="E79" s="608"/>
      <c r="F79" s="370" t="s">
        <v>373</v>
      </c>
      <c r="G79" s="652">
        <f>'far 1 a(for internal use only)'!G78</f>
        <v>2497000</v>
      </c>
      <c r="H79" s="652">
        <f>'far 1 a(for internal use only)'!H78</f>
        <v>0</v>
      </c>
      <c r="I79" s="660">
        <f t="shared" si="113"/>
        <v>2497000</v>
      </c>
      <c r="J79" s="660">
        <f t="shared" si="114"/>
        <v>2497000</v>
      </c>
      <c r="K79" s="652">
        <f>'far 1 a(for internal use only)'!K78</f>
        <v>-684469.27</v>
      </c>
      <c r="L79" s="652">
        <f>'far 1 a(for internal use only)'!L78</f>
        <v>0</v>
      </c>
      <c r="M79" s="652">
        <f>'far 1 a(for internal use only)'!M78</f>
        <v>0</v>
      </c>
      <c r="N79" s="661">
        <f t="shared" si="115"/>
        <v>1812530.73</v>
      </c>
      <c r="O79" s="652">
        <f>'far 1 a(for internal use only)'!O78</f>
        <v>59267.199999999997</v>
      </c>
      <c r="P79" s="652">
        <f>'far 1 a(for internal use only)'!P78</f>
        <v>102114.02</v>
      </c>
      <c r="Q79" s="652">
        <f>'far 1 a(for internal use only)'!Q78</f>
        <v>377736.53</v>
      </c>
      <c r="R79" s="652">
        <f>'far 1 a(for internal use only)'!R78</f>
        <v>1216566.0099999998</v>
      </c>
      <c r="S79" s="662">
        <f t="shared" si="116"/>
        <v>1755683.7599999998</v>
      </c>
      <c r="T79" s="652">
        <f>'far 1 a(for internal use only)'!T78</f>
        <v>59267.199999999997</v>
      </c>
      <c r="U79" s="652">
        <f>'far 1 a(for internal use only)'!U78</f>
        <v>102114.01999999999</v>
      </c>
      <c r="V79" s="652">
        <f>'far 1 a(for internal use only)'!V78</f>
        <v>377536.53</v>
      </c>
      <c r="W79" s="652">
        <f>'far 1 a(for internal use only)'!W78</f>
        <v>1216566.0099999998</v>
      </c>
      <c r="X79" s="662">
        <f t="shared" si="117"/>
        <v>1755483.7599999998</v>
      </c>
      <c r="Y79" s="662">
        <f t="shared" si="118"/>
        <v>684469.27</v>
      </c>
      <c r="Z79" s="662">
        <f t="shared" si="119"/>
        <v>56846.970000000205</v>
      </c>
      <c r="AA79" s="684">
        <f>'far 1 a(for internal use only)'!AA78</f>
        <v>200</v>
      </c>
      <c r="AB79" s="663">
        <f t="shared" si="120"/>
        <v>0</v>
      </c>
    </row>
    <row r="80" spans="1:28" s="90" customFormat="1" ht="14.1" customHeight="1" x14ac:dyDescent="0.2">
      <c r="A80" s="301"/>
      <c r="B80" s="351" t="s">
        <v>374</v>
      </c>
      <c r="C80" s="608"/>
      <c r="D80" s="608"/>
      <c r="E80" s="608"/>
      <c r="F80" s="370"/>
      <c r="G80" s="664"/>
      <c r="H80" s="652"/>
      <c r="I80" s="664"/>
      <c r="J80" s="664"/>
      <c r="K80" s="652"/>
      <c r="L80" s="652"/>
      <c r="M80" s="652"/>
      <c r="N80" s="665"/>
      <c r="O80" s="652"/>
      <c r="P80" s="652"/>
      <c r="Q80" s="652"/>
      <c r="R80" s="652"/>
      <c r="S80" s="666"/>
      <c r="T80" s="652"/>
      <c r="U80" s="652"/>
      <c r="V80" s="652"/>
      <c r="W80" s="652"/>
      <c r="X80" s="666"/>
      <c r="Y80" s="666"/>
      <c r="Z80" s="666"/>
      <c r="AA80" s="684"/>
      <c r="AB80" s="667"/>
    </row>
    <row r="81" spans="1:28" s="90" customFormat="1" ht="14.1" customHeight="1" x14ac:dyDescent="0.2">
      <c r="A81" s="301"/>
      <c r="B81" s="350" t="s">
        <v>375</v>
      </c>
      <c r="C81" s="608"/>
      <c r="D81" s="608"/>
      <c r="E81" s="608"/>
      <c r="F81" s="370" t="s">
        <v>376</v>
      </c>
      <c r="G81" s="652">
        <f>'far 1 a(for internal use only)'!G80</f>
        <v>0</v>
      </c>
      <c r="H81" s="652">
        <f>'far 1 a(for internal use only)'!H80</f>
        <v>0</v>
      </c>
      <c r="I81" s="660">
        <f t="shared" ref="I81:I98" si="129">G81+H81</f>
        <v>0</v>
      </c>
      <c r="J81" s="660">
        <f t="shared" ref="J81:J98" si="130">I81</f>
        <v>0</v>
      </c>
      <c r="K81" s="652">
        <f>'far 1 a(for internal use only)'!K80</f>
        <v>0</v>
      </c>
      <c r="L81" s="652">
        <f>'far 1 a(for internal use only)'!L80</f>
        <v>0</v>
      </c>
      <c r="M81" s="652">
        <f>'far 1 a(for internal use only)'!M80</f>
        <v>0</v>
      </c>
      <c r="N81" s="661">
        <f t="shared" ref="N81:N98" si="131">J81+K81-L81+M81</f>
        <v>0</v>
      </c>
      <c r="O81" s="652">
        <f>'far 1 a(for internal use only)'!O80</f>
        <v>0</v>
      </c>
      <c r="P81" s="652">
        <f>'far 1 a(for internal use only)'!P80</f>
        <v>0</v>
      </c>
      <c r="Q81" s="652">
        <f>'far 1 a(for internal use only)'!Q80</f>
        <v>0</v>
      </c>
      <c r="R81" s="652">
        <f>'far 1 a(for internal use only)'!R80</f>
        <v>0</v>
      </c>
      <c r="S81" s="662">
        <f t="shared" ref="S81:S98" si="132">SUM(O81:R81)</f>
        <v>0</v>
      </c>
      <c r="T81" s="652">
        <f>'far 1 a(for internal use only)'!T80</f>
        <v>0</v>
      </c>
      <c r="U81" s="652">
        <f>'far 1 a(for internal use only)'!U80</f>
        <v>0</v>
      </c>
      <c r="V81" s="652">
        <f>'far 1 a(for internal use only)'!V80</f>
        <v>0</v>
      </c>
      <c r="W81" s="652">
        <f>'far 1 a(for internal use only)'!W80</f>
        <v>0</v>
      </c>
      <c r="X81" s="662">
        <f t="shared" ref="X81:X98" si="133">SUM(T81:W81)</f>
        <v>0</v>
      </c>
      <c r="Y81" s="662">
        <f t="shared" ref="Y81:Y98" si="134">I81-N81</f>
        <v>0</v>
      </c>
      <c r="Z81" s="662">
        <f t="shared" ref="Z81:Z98" si="135">N81-S81</f>
        <v>0</v>
      </c>
      <c r="AA81" s="684">
        <f>'far 1 a(for internal use only)'!AA80</f>
        <v>0</v>
      </c>
      <c r="AB81" s="663">
        <f t="shared" ref="AB81:AB98" si="136">+S81-X81-AA81</f>
        <v>0</v>
      </c>
    </row>
    <row r="82" spans="1:28" s="90" customFormat="1" ht="14.1" customHeight="1" x14ac:dyDescent="0.2">
      <c r="A82" s="301"/>
      <c r="B82" s="350" t="s">
        <v>377</v>
      </c>
      <c r="C82" s="608"/>
      <c r="D82" s="608"/>
      <c r="E82" s="608"/>
      <c r="F82" s="370" t="s">
        <v>378</v>
      </c>
      <c r="G82" s="652">
        <f>'far 1 a(for internal use only)'!G81</f>
        <v>264000</v>
      </c>
      <c r="H82" s="652">
        <f>'far 1 a(for internal use only)'!H81</f>
        <v>0</v>
      </c>
      <c r="I82" s="660">
        <f t="shared" si="129"/>
        <v>264000</v>
      </c>
      <c r="J82" s="660">
        <f t="shared" si="130"/>
        <v>264000</v>
      </c>
      <c r="K82" s="652">
        <f>'far 1 a(for internal use only)'!K81</f>
        <v>684469.27</v>
      </c>
      <c r="L82" s="652">
        <f>'far 1 a(for internal use only)'!L81</f>
        <v>0</v>
      </c>
      <c r="M82" s="652">
        <f>'far 1 a(for internal use only)'!M81</f>
        <v>0</v>
      </c>
      <c r="N82" s="661">
        <f t="shared" si="131"/>
        <v>948469.27</v>
      </c>
      <c r="O82" s="652">
        <f>'far 1 a(for internal use only)'!O81</f>
        <v>1468.65</v>
      </c>
      <c r="P82" s="652">
        <f>'far 1 a(for internal use only)'!P81</f>
        <v>900</v>
      </c>
      <c r="Q82" s="652">
        <f>'far 1 a(for internal use only)'!Q81</f>
        <v>1145.6300000000001</v>
      </c>
      <c r="R82" s="652">
        <f>'far 1 a(for internal use only)'!R81</f>
        <v>944954.99</v>
      </c>
      <c r="S82" s="662">
        <f t="shared" si="132"/>
        <v>948469.27</v>
      </c>
      <c r="T82" s="652">
        <f>'far 1 a(for internal use only)'!T81</f>
        <v>1468.65</v>
      </c>
      <c r="U82" s="652">
        <f>'far 1 a(for internal use only)'!U81</f>
        <v>900</v>
      </c>
      <c r="V82" s="652">
        <f>'far 1 a(for internal use only)'!V81</f>
        <v>1145.6300000000001</v>
      </c>
      <c r="W82" s="652">
        <f>'far 1 a(for internal use only)'!W81</f>
        <v>944954.99</v>
      </c>
      <c r="X82" s="662">
        <f t="shared" si="133"/>
        <v>948469.27</v>
      </c>
      <c r="Y82" s="662">
        <f t="shared" si="134"/>
        <v>-684469.27</v>
      </c>
      <c r="Z82" s="662">
        <f t="shared" si="135"/>
        <v>0</v>
      </c>
      <c r="AA82" s="684">
        <f>'far 1 a(for internal use only)'!AA81</f>
        <v>0</v>
      </c>
      <c r="AB82" s="663">
        <f t="shared" si="136"/>
        <v>0</v>
      </c>
    </row>
    <row r="83" spans="1:28" s="90" customFormat="1" ht="14.1" hidden="1" customHeight="1" x14ac:dyDescent="0.2">
      <c r="A83" s="301"/>
      <c r="B83" s="350" t="s">
        <v>379</v>
      </c>
      <c r="C83" s="608"/>
      <c r="D83" s="608"/>
      <c r="E83" s="608"/>
      <c r="F83" s="370" t="s">
        <v>380</v>
      </c>
      <c r="G83" s="652">
        <f>'far 1 a(for internal use only)'!G82</f>
        <v>0</v>
      </c>
      <c r="H83" s="652">
        <f>'far 1 a(for internal use only)'!H82</f>
        <v>0</v>
      </c>
      <c r="I83" s="660">
        <f t="shared" si="129"/>
        <v>0</v>
      </c>
      <c r="J83" s="660">
        <f t="shared" si="130"/>
        <v>0</v>
      </c>
      <c r="K83" s="652">
        <f>'far 1 a(for internal use only)'!K82</f>
        <v>0</v>
      </c>
      <c r="L83" s="652">
        <f>'far 1 a(for internal use only)'!L82</f>
        <v>0</v>
      </c>
      <c r="M83" s="652">
        <f>'far 1 a(for internal use only)'!M82</f>
        <v>0</v>
      </c>
      <c r="N83" s="661">
        <f t="shared" si="131"/>
        <v>0</v>
      </c>
      <c r="O83" s="652">
        <f>'far 1 a(for internal use only)'!O82</f>
        <v>0</v>
      </c>
      <c r="P83" s="652">
        <f>'far 1 a(for internal use only)'!P82</f>
        <v>0</v>
      </c>
      <c r="Q83" s="652">
        <f>'far 1 a(for internal use only)'!Q82</f>
        <v>0</v>
      </c>
      <c r="R83" s="652">
        <f>'far 1 a(for internal use only)'!R82</f>
        <v>0</v>
      </c>
      <c r="S83" s="662">
        <f t="shared" si="132"/>
        <v>0</v>
      </c>
      <c r="T83" s="652">
        <f>'far 1 a(for internal use only)'!T82</f>
        <v>0</v>
      </c>
      <c r="U83" s="652">
        <f>'far 1 a(for internal use only)'!U82</f>
        <v>0</v>
      </c>
      <c r="V83" s="652">
        <f>'far 1 a(for internal use only)'!V82</f>
        <v>0</v>
      </c>
      <c r="W83" s="652">
        <f>'far 1 a(for internal use only)'!W82</f>
        <v>0</v>
      </c>
      <c r="X83" s="662">
        <f t="shared" si="133"/>
        <v>0</v>
      </c>
      <c r="Y83" s="662">
        <f t="shared" si="134"/>
        <v>0</v>
      </c>
      <c r="Z83" s="662">
        <f t="shared" si="135"/>
        <v>0</v>
      </c>
      <c r="AA83" s="684">
        <f>'far 1 a(for internal use only)'!AA82</f>
        <v>0</v>
      </c>
      <c r="AB83" s="663">
        <f t="shared" si="136"/>
        <v>0</v>
      </c>
    </row>
    <row r="84" spans="1:28" s="90" customFormat="1" ht="14.1" hidden="1" customHeight="1" x14ac:dyDescent="0.2">
      <c r="A84" s="301"/>
      <c r="B84" s="350" t="s">
        <v>381</v>
      </c>
      <c r="C84" s="608"/>
      <c r="D84" s="608"/>
      <c r="E84" s="608"/>
      <c r="F84" s="370" t="s">
        <v>382</v>
      </c>
      <c r="G84" s="652">
        <f>'far 1 a(for internal use only)'!G83</f>
        <v>0</v>
      </c>
      <c r="H84" s="652">
        <f>'far 1 a(for internal use only)'!H83</f>
        <v>0</v>
      </c>
      <c r="I84" s="660">
        <f t="shared" si="129"/>
        <v>0</v>
      </c>
      <c r="J84" s="660">
        <f t="shared" si="130"/>
        <v>0</v>
      </c>
      <c r="K84" s="652">
        <f>'far 1 a(for internal use only)'!K83</f>
        <v>0</v>
      </c>
      <c r="L84" s="652">
        <f>'far 1 a(for internal use only)'!L83</f>
        <v>0</v>
      </c>
      <c r="M84" s="652">
        <f>'far 1 a(for internal use only)'!M83</f>
        <v>0</v>
      </c>
      <c r="N84" s="661">
        <f t="shared" si="131"/>
        <v>0</v>
      </c>
      <c r="O84" s="652">
        <f>'far 1 a(for internal use only)'!O83</f>
        <v>0</v>
      </c>
      <c r="P84" s="652">
        <f>'far 1 a(for internal use only)'!P83</f>
        <v>0</v>
      </c>
      <c r="Q84" s="652">
        <f>'far 1 a(for internal use only)'!Q83</f>
        <v>0</v>
      </c>
      <c r="R84" s="652">
        <f>'far 1 a(for internal use only)'!R83</f>
        <v>0</v>
      </c>
      <c r="S84" s="662">
        <f t="shared" si="132"/>
        <v>0</v>
      </c>
      <c r="T84" s="652">
        <f>'far 1 a(for internal use only)'!T83</f>
        <v>0</v>
      </c>
      <c r="U84" s="652">
        <f>'far 1 a(for internal use only)'!U83</f>
        <v>0</v>
      </c>
      <c r="V84" s="652">
        <f>'far 1 a(for internal use only)'!V83</f>
        <v>0</v>
      </c>
      <c r="W84" s="652">
        <f>'far 1 a(for internal use only)'!W83</f>
        <v>0</v>
      </c>
      <c r="X84" s="662">
        <f t="shared" si="133"/>
        <v>0</v>
      </c>
      <c r="Y84" s="662">
        <f t="shared" si="134"/>
        <v>0</v>
      </c>
      <c r="Z84" s="662">
        <f t="shared" si="135"/>
        <v>0</v>
      </c>
      <c r="AA84" s="684">
        <f>'far 1 a(for internal use only)'!AA83</f>
        <v>0</v>
      </c>
      <c r="AB84" s="663">
        <f t="shared" si="136"/>
        <v>0</v>
      </c>
    </row>
    <row r="85" spans="1:28" s="90" customFormat="1" ht="14.1" hidden="1" customHeight="1" x14ac:dyDescent="0.2">
      <c r="A85" s="301"/>
      <c r="B85" s="350" t="s">
        <v>383</v>
      </c>
      <c r="C85" s="608"/>
      <c r="D85" s="608"/>
      <c r="E85" s="608"/>
      <c r="F85" s="370" t="s">
        <v>384</v>
      </c>
      <c r="G85" s="652">
        <f>'far 1 a(for internal use only)'!G84</f>
        <v>0</v>
      </c>
      <c r="H85" s="652">
        <f>'far 1 a(for internal use only)'!H84</f>
        <v>0</v>
      </c>
      <c r="I85" s="660">
        <f t="shared" si="129"/>
        <v>0</v>
      </c>
      <c r="J85" s="660">
        <f t="shared" si="130"/>
        <v>0</v>
      </c>
      <c r="K85" s="652">
        <f>'far 1 a(for internal use only)'!K84</f>
        <v>0</v>
      </c>
      <c r="L85" s="652">
        <f>'far 1 a(for internal use only)'!L84</f>
        <v>0</v>
      </c>
      <c r="M85" s="652">
        <f>'far 1 a(for internal use only)'!M84</f>
        <v>0</v>
      </c>
      <c r="N85" s="661">
        <f t="shared" si="131"/>
        <v>0</v>
      </c>
      <c r="O85" s="652">
        <f>'far 1 a(for internal use only)'!O84</f>
        <v>0</v>
      </c>
      <c r="P85" s="652">
        <f>'far 1 a(for internal use only)'!P84</f>
        <v>0</v>
      </c>
      <c r="Q85" s="652">
        <f>'far 1 a(for internal use only)'!Q84</f>
        <v>0</v>
      </c>
      <c r="R85" s="652">
        <f>'far 1 a(for internal use only)'!R84</f>
        <v>0</v>
      </c>
      <c r="S85" s="662">
        <f t="shared" si="132"/>
        <v>0</v>
      </c>
      <c r="T85" s="652">
        <f>'far 1 a(for internal use only)'!T84</f>
        <v>0</v>
      </c>
      <c r="U85" s="652">
        <f>'far 1 a(for internal use only)'!U84</f>
        <v>0</v>
      </c>
      <c r="V85" s="652">
        <f>'far 1 a(for internal use only)'!V84</f>
        <v>0</v>
      </c>
      <c r="W85" s="652">
        <f>'far 1 a(for internal use only)'!W84</f>
        <v>0</v>
      </c>
      <c r="X85" s="662">
        <f t="shared" si="133"/>
        <v>0</v>
      </c>
      <c r="Y85" s="662">
        <f t="shared" si="134"/>
        <v>0</v>
      </c>
      <c r="Z85" s="662">
        <f t="shared" si="135"/>
        <v>0</v>
      </c>
      <c r="AA85" s="684">
        <f>'far 1 a(for internal use only)'!AA84</f>
        <v>0</v>
      </c>
      <c r="AB85" s="663">
        <f t="shared" si="136"/>
        <v>0</v>
      </c>
    </row>
    <row r="86" spans="1:28" s="90" customFormat="1" ht="14.1" hidden="1" customHeight="1" x14ac:dyDescent="0.2">
      <c r="A86" s="301"/>
      <c r="B86" s="350" t="s">
        <v>385</v>
      </c>
      <c r="C86" s="608"/>
      <c r="D86" s="608"/>
      <c r="E86" s="608"/>
      <c r="F86" s="370" t="s">
        <v>386</v>
      </c>
      <c r="G86" s="652">
        <f>'far 1 a(for internal use only)'!G85</f>
        <v>0</v>
      </c>
      <c r="H86" s="652">
        <f>'far 1 a(for internal use only)'!H85</f>
        <v>0</v>
      </c>
      <c r="I86" s="660">
        <f t="shared" si="129"/>
        <v>0</v>
      </c>
      <c r="J86" s="660">
        <f t="shared" si="130"/>
        <v>0</v>
      </c>
      <c r="K86" s="652">
        <f>'far 1 a(for internal use only)'!K85</f>
        <v>0</v>
      </c>
      <c r="L86" s="652">
        <f>'far 1 a(for internal use only)'!L85</f>
        <v>0</v>
      </c>
      <c r="M86" s="652">
        <f>'far 1 a(for internal use only)'!M85</f>
        <v>0</v>
      </c>
      <c r="N86" s="661">
        <f t="shared" si="131"/>
        <v>0</v>
      </c>
      <c r="O86" s="652">
        <f>'far 1 a(for internal use only)'!O85</f>
        <v>0</v>
      </c>
      <c r="P86" s="652">
        <f>'far 1 a(for internal use only)'!P85</f>
        <v>0</v>
      </c>
      <c r="Q86" s="652">
        <f>'far 1 a(for internal use only)'!Q85</f>
        <v>0</v>
      </c>
      <c r="R86" s="652">
        <f>'far 1 a(for internal use only)'!R85</f>
        <v>0</v>
      </c>
      <c r="S86" s="662">
        <f t="shared" si="132"/>
        <v>0</v>
      </c>
      <c r="T86" s="652">
        <f>'far 1 a(for internal use only)'!T85</f>
        <v>0</v>
      </c>
      <c r="U86" s="652">
        <f>'far 1 a(for internal use only)'!U85</f>
        <v>0</v>
      </c>
      <c r="V86" s="652">
        <f>'far 1 a(for internal use only)'!V85</f>
        <v>0</v>
      </c>
      <c r="W86" s="652">
        <f>'far 1 a(for internal use only)'!W85</f>
        <v>0</v>
      </c>
      <c r="X86" s="662">
        <f t="shared" si="133"/>
        <v>0</v>
      </c>
      <c r="Y86" s="662">
        <f t="shared" si="134"/>
        <v>0</v>
      </c>
      <c r="Z86" s="662">
        <f t="shared" si="135"/>
        <v>0</v>
      </c>
      <c r="AA86" s="684">
        <f>'far 1 a(for internal use only)'!AA85</f>
        <v>0</v>
      </c>
      <c r="AB86" s="663">
        <f t="shared" si="136"/>
        <v>0</v>
      </c>
    </row>
    <row r="87" spans="1:28" s="90" customFormat="1" ht="14.1" customHeight="1" x14ac:dyDescent="0.2">
      <c r="A87" s="301"/>
      <c r="B87" s="350" t="s">
        <v>726</v>
      </c>
      <c r="C87" s="718"/>
      <c r="D87" s="718"/>
      <c r="E87" s="718"/>
      <c r="F87" s="370" t="s">
        <v>387</v>
      </c>
      <c r="G87" s="652">
        <f>'far 1 a(for internal use only)'!G86</f>
        <v>218000</v>
      </c>
      <c r="H87" s="652">
        <f>'far 1 a(for internal use only)'!H86</f>
        <v>0</v>
      </c>
      <c r="I87" s="660">
        <f t="shared" si="129"/>
        <v>218000</v>
      </c>
      <c r="J87" s="660">
        <f t="shared" si="130"/>
        <v>218000</v>
      </c>
      <c r="K87" s="652">
        <f>'far 1 a(for internal use only)'!K86</f>
        <v>0</v>
      </c>
      <c r="L87" s="652">
        <f>'far 1 a(for internal use only)'!L86</f>
        <v>0</v>
      </c>
      <c r="M87" s="652">
        <f>'far 1 a(for internal use only)'!M86</f>
        <v>0</v>
      </c>
      <c r="N87" s="661">
        <f t="shared" si="131"/>
        <v>218000</v>
      </c>
      <c r="O87" s="652">
        <f>'far 1 a(for internal use only)'!O86</f>
        <v>2380</v>
      </c>
      <c r="P87" s="652">
        <f>'far 1 a(for internal use only)'!P86</f>
        <v>4580</v>
      </c>
      <c r="Q87" s="652">
        <f>'far 1 a(for internal use only)'!Q86</f>
        <v>23254</v>
      </c>
      <c r="R87" s="652">
        <f>'far 1 a(for internal use only)'!R86</f>
        <v>117070</v>
      </c>
      <c r="S87" s="662">
        <f t="shared" si="132"/>
        <v>147284</v>
      </c>
      <c r="T87" s="652">
        <f>'far 1 a(for internal use only)'!T86</f>
        <v>2380</v>
      </c>
      <c r="U87" s="652">
        <f>'far 1 a(for internal use only)'!U86</f>
        <v>4580</v>
      </c>
      <c r="V87" s="652">
        <f>'far 1 a(for internal use only)'!V86</f>
        <v>23254</v>
      </c>
      <c r="W87" s="652">
        <f>'far 1 a(for internal use only)'!W86</f>
        <v>117070</v>
      </c>
      <c r="X87" s="662">
        <f t="shared" si="133"/>
        <v>147284</v>
      </c>
      <c r="Y87" s="662">
        <f t="shared" si="134"/>
        <v>0</v>
      </c>
      <c r="Z87" s="662">
        <f t="shared" si="135"/>
        <v>70716</v>
      </c>
      <c r="AA87" s="684">
        <f>'far 1 a(for internal use only)'!AA86</f>
        <v>0</v>
      </c>
      <c r="AB87" s="663">
        <f t="shared" si="136"/>
        <v>0</v>
      </c>
    </row>
    <row r="88" spans="1:28" s="90" customFormat="1" ht="14.1" hidden="1" customHeight="1" x14ac:dyDescent="0.2">
      <c r="A88" s="301"/>
      <c r="B88" s="350" t="s">
        <v>388</v>
      </c>
      <c r="C88" s="608"/>
      <c r="D88" s="608"/>
      <c r="E88" s="608"/>
      <c r="F88" s="370" t="s">
        <v>389</v>
      </c>
      <c r="G88" s="652">
        <f>'far 1 a(for internal use only)'!G87</f>
        <v>0</v>
      </c>
      <c r="H88" s="652">
        <f>'far 1 a(for internal use only)'!H87</f>
        <v>0</v>
      </c>
      <c r="I88" s="660">
        <f t="shared" si="129"/>
        <v>0</v>
      </c>
      <c r="J88" s="660">
        <f t="shared" si="130"/>
        <v>0</v>
      </c>
      <c r="K88" s="652">
        <f>'far 1 a(for internal use only)'!K87</f>
        <v>0</v>
      </c>
      <c r="L88" s="652">
        <f>'far 1 a(for internal use only)'!L87</f>
        <v>0</v>
      </c>
      <c r="M88" s="652">
        <f>'far 1 a(for internal use only)'!M87</f>
        <v>0</v>
      </c>
      <c r="N88" s="661">
        <f t="shared" si="131"/>
        <v>0</v>
      </c>
      <c r="O88" s="652">
        <f>'far 1 a(for internal use only)'!O87</f>
        <v>0</v>
      </c>
      <c r="P88" s="652">
        <f>'far 1 a(for internal use only)'!P87</f>
        <v>0</v>
      </c>
      <c r="Q88" s="652">
        <f>'far 1 a(for internal use only)'!Q87</f>
        <v>0</v>
      </c>
      <c r="R88" s="652">
        <f>'far 1 a(for internal use only)'!R87</f>
        <v>0</v>
      </c>
      <c r="S88" s="662">
        <f t="shared" si="132"/>
        <v>0</v>
      </c>
      <c r="T88" s="652">
        <f>'far 1 a(for internal use only)'!T87</f>
        <v>0</v>
      </c>
      <c r="U88" s="652">
        <f>'far 1 a(for internal use only)'!U87</f>
        <v>0</v>
      </c>
      <c r="V88" s="652">
        <f>'far 1 a(for internal use only)'!V87</f>
        <v>0</v>
      </c>
      <c r="W88" s="652">
        <f>'far 1 a(for internal use only)'!W87</f>
        <v>0</v>
      </c>
      <c r="X88" s="662">
        <f t="shared" si="133"/>
        <v>0</v>
      </c>
      <c r="Y88" s="662">
        <f t="shared" si="134"/>
        <v>0</v>
      </c>
      <c r="Z88" s="662">
        <f t="shared" si="135"/>
        <v>0</v>
      </c>
      <c r="AA88" s="684">
        <f>'far 1 a(for internal use only)'!AA87</f>
        <v>0</v>
      </c>
      <c r="AB88" s="663">
        <f t="shared" si="136"/>
        <v>0</v>
      </c>
    </row>
    <row r="89" spans="1:28" s="90" customFormat="1" ht="14.1" hidden="1" customHeight="1" x14ac:dyDescent="0.2">
      <c r="A89" s="301"/>
      <c r="B89" s="350" t="s">
        <v>390</v>
      </c>
      <c r="C89" s="608"/>
      <c r="D89" s="608"/>
      <c r="E89" s="608"/>
      <c r="F89" s="370" t="s">
        <v>391</v>
      </c>
      <c r="G89" s="652">
        <f>'far 1 a(for internal use only)'!G88</f>
        <v>0</v>
      </c>
      <c r="H89" s="652">
        <f>'far 1 a(for internal use only)'!H88</f>
        <v>0</v>
      </c>
      <c r="I89" s="660">
        <f t="shared" si="129"/>
        <v>0</v>
      </c>
      <c r="J89" s="660">
        <f t="shared" si="130"/>
        <v>0</v>
      </c>
      <c r="K89" s="652">
        <f>'far 1 a(for internal use only)'!K88</f>
        <v>0</v>
      </c>
      <c r="L89" s="652">
        <f>'far 1 a(for internal use only)'!L88</f>
        <v>0</v>
      </c>
      <c r="M89" s="652">
        <f>'far 1 a(for internal use only)'!M88</f>
        <v>0</v>
      </c>
      <c r="N89" s="661">
        <f t="shared" si="131"/>
        <v>0</v>
      </c>
      <c r="O89" s="652">
        <f>'far 1 a(for internal use only)'!O88</f>
        <v>0</v>
      </c>
      <c r="P89" s="652">
        <f>'far 1 a(for internal use only)'!P88</f>
        <v>0</v>
      </c>
      <c r="Q89" s="652">
        <f>'far 1 a(for internal use only)'!Q88</f>
        <v>0</v>
      </c>
      <c r="R89" s="652">
        <f>'far 1 a(for internal use only)'!R88</f>
        <v>0</v>
      </c>
      <c r="S89" s="662">
        <f t="shared" si="132"/>
        <v>0</v>
      </c>
      <c r="T89" s="652">
        <f>'far 1 a(for internal use only)'!T88</f>
        <v>0</v>
      </c>
      <c r="U89" s="652">
        <f>'far 1 a(for internal use only)'!U88</f>
        <v>0</v>
      </c>
      <c r="V89" s="652">
        <f>'far 1 a(for internal use only)'!V88</f>
        <v>0</v>
      </c>
      <c r="W89" s="652">
        <f>'far 1 a(for internal use only)'!W88</f>
        <v>0</v>
      </c>
      <c r="X89" s="662">
        <f t="shared" si="133"/>
        <v>0</v>
      </c>
      <c r="Y89" s="662">
        <f t="shared" si="134"/>
        <v>0</v>
      </c>
      <c r="Z89" s="662">
        <f t="shared" si="135"/>
        <v>0</v>
      </c>
      <c r="AA89" s="684">
        <f>'far 1 a(for internal use only)'!AA88</f>
        <v>0</v>
      </c>
      <c r="AB89" s="663">
        <f t="shared" si="136"/>
        <v>0</v>
      </c>
    </row>
    <row r="90" spans="1:28" s="90" customFormat="1" ht="14.1" hidden="1" customHeight="1" x14ac:dyDescent="0.2">
      <c r="A90" s="301"/>
      <c r="B90" s="350" t="s">
        <v>392</v>
      </c>
      <c r="C90" s="608"/>
      <c r="D90" s="608"/>
      <c r="E90" s="608"/>
      <c r="F90" s="370" t="s">
        <v>393</v>
      </c>
      <c r="G90" s="652">
        <f>'far 1 a(for internal use only)'!G89</f>
        <v>0</v>
      </c>
      <c r="H90" s="652">
        <f>'far 1 a(for internal use only)'!H89</f>
        <v>0</v>
      </c>
      <c r="I90" s="660">
        <f t="shared" si="129"/>
        <v>0</v>
      </c>
      <c r="J90" s="660">
        <f t="shared" si="130"/>
        <v>0</v>
      </c>
      <c r="K90" s="652">
        <f>'far 1 a(for internal use only)'!K89</f>
        <v>0</v>
      </c>
      <c r="L90" s="652">
        <f>'far 1 a(for internal use only)'!L89</f>
        <v>0</v>
      </c>
      <c r="M90" s="652">
        <f>'far 1 a(for internal use only)'!M89</f>
        <v>0</v>
      </c>
      <c r="N90" s="661">
        <f t="shared" si="131"/>
        <v>0</v>
      </c>
      <c r="O90" s="652">
        <f>'far 1 a(for internal use only)'!O89</f>
        <v>0</v>
      </c>
      <c r="P90" s="652">
        <f>'far 1 a(for internal use only)'!P89</f>
        <v>0</v>
      </c>
      <c r="Q90" s="652">
        <f>'far 1 a(for internal use only)'!Q89</f>
        <v>0</v>
      </c>
      <c r="R90" s="652">
        <f>'far 1 a(for internal use only)'!R89</f>
        <v>0</v>
      </c>
      <c r="S90" s="662">
        <f t="shared" si="132"/>
        <v>0</v>
      </c>
      <c r="T90" s="652">
        <f>'far 1 a(for internal use only)'!T89</f>
        <v>0</v>
      </c>
      <c r="U90" s="652">
        <f>'far 1 a(for internal use only)'!U89</f>
        <v>0</v>
      </c>
      <c r="V90" s="652">
        <f>'far 1 a(for internal use only)'!V89</f>
        <v>0</v>
      </c>
      <c r="W90" s="652">
        <f>'far 1 a(for internal use only)'!W89</f>
        <v>0</v>
      </c>
      <c r="X90" s="662">
        <f t="shared" si="133"/>
        <v>0</v>
      </c>
      <c r="Y90" s="662">
        <f t="shared" si="134"/>
        <v>0</v>
      </c>
      <c r="Z90" s="662">
        <f t="shared" si="135"/>
        <v>0</v>
      </c>
      <c r="AA90" s="684">
        <f>'far 1 a(for internal use only)'!AA89</f>
        <v>0</v>
      </c>
      <c r="AB90" s="663">
        <f t="shared" si="136"/>
        <v>0</v>
      </c>
    </row>
    <row r="91" spans="1:28" s="90" customFormat="1" ht="14.1" hidden="1" customHeight="1" x14ac:dyDescent="0.2">
      <c r="A91" s="301"/>
      <c r="B91" s="350" t="s">
        <v>394</v>
      </c>
      <c r="C91" s="608"/>
      <c r="D91" s="608"/>
      <c r="E91" s="608"/>
      <c r="F91" s="370" t="s">
        <v>395</v>
      </c>
      <c r="G91" s="652">
        <f>'far 1 a(for internal use only)'!G90</f>
        <v>0</v>
      </c>
      <c r="H91" s="652">
        <f>'far 1 a(for internal use only)'!H90</f>
        <v>0</v>
      </c>
      <c r="I91" s="660">
        <f t="shared" si="129"/>
        <v>0</v>
      </c>
      <c r="J91" s="660">
        <f t="shared" si="130"/>
        <v>0</v>
      </c>
      <c r="K91" s="652">
        <f>'far 1 a(for internal use only)'!K90</f>
        <v>0</v>
      </c>
      <c r="L91" s="652">
        <f>'far 1 a(for internal use only)'!L90</f>
        <v>0</v>
      </c>
      <c r="M91" s="652">
        <f>'far 1 a(for internal use only)'!M90</f>
        <v>0</v>
      </c>
      <c r="N91" s="661">
        <f t="shared" si="131"/>
        <v>0</v>
      </c>
      <c r="O91" s="652">
        <f>'far 1 a(for internal use only)'!O90</f>
        <v>0</v>
      </c>
      <c r="P91" s="652">
        <f>'far 1 a(for internal use only)'!P90</f>
        <v>0</v>
      </c>
      <c r="Q91" s="652">
        <f>'far 1 a(for internal use only)'!Q90</f>
        <v>0</v>
      </c>
      <c r="R91" s="652">
        <f>'far 1 a(for internal use only)'!R90</f>
        <v>0</v>
      </c>
      <c r="S91" s="662">
        <f t="shared" si="132"/>
        <v>0</v>
      </c>
      <c r="T91" s="652">
        <f>'far 1 a(for internal use only)'!T90</f>
        <v>0</v>
      </c>
      <c r="U91" s="652">
        <f>'far 1 a(for internal use only)'!U90</f>
        <v>0</v>
      </c>
      <c r="V91" s="652">
        <f>'far 1 a(for internal use only)'!V90</f>
        <v>0</v>
      </c>
      <c r="W91" s="652">
        <f>'far 1 a(for internal use only)'!W90</f>
        <v>0</v>
      </c>
      <c r="X91" s="662">
        <f t="shared" si="133"/>
        <v>0</v>
      </c>
      <c r="Y91" s="662">
        <f t="shared" si="134"/>
        <v>0</v>
      </c>
      <c r="Z91" s="662">
        <f t="shared" si="135"/>
        <v>0</v>
      </c>
      <c r="AA91" s="684">
        <f>'far 1 a(for internal use only)'!AA90</f>
        <v>0</v>
      </c>
      <c r="AB91" s="663">
        <f t="shared" si="136"/>
        <v>0</v>
      </c>
    </row>
    <row r="92" spans="1:28" s="90" customFormat="1" ht="14.1" hidden="1" customHeight="1" x14ac:dyDescent="0.2">
      <c r="A92" s="301"/>
      <c r="B92" s="350" t="s">
        <v>396</v>
      </c>
      <c r="C92" s="608"/>
      <c r="D92" s="608"/>
      <c r="E92" s="608"/>
      <c r="F92" s="370" t="s">
        <v>397</v>
      </c>
      <c r="G92" s="652">
        <f>'far 1 a(for internal use only)'!G91</f>
        <v>0</v>
      </c>
      <c r="H92" s="652">
        <f>'far 1 a(for internal use only)'!H91</f>
        <v>0</v>
      </c>
      <c r="I92" s="660">
        <f t="shared" si="129"/>
        <v>0</v>
      </c>
      <c r="J92" s="660">
        <f t="shared" si="130"/>
        <v>0</v>
      </c>
      <c r="K92" s="652">
        <f>'far 1 a(for internal use only)'!K91</f>
        <v>0</v>
      </c>
      <c r="L92" s="652">
        <f>'far 1 a(for internal use only)'!L91</f>
        <v>0</v>
      </c>
      <c r="M92" s="652">
        <f>'far 1 a(for internal use only)'!M91</f>
        <v>0</v>
      </c>
      <c r="N92" s="661">
        <f t="shared" si="131"/>
        <v>0</v>
      </c>
      <c r="O92" s="652">
        <f>'far 1 a(for internal use only)'!O91</f>
        <v>0</v>
      </c>
      <c r="P92" s="652">
        <f>'far 1 a(for internal use only)'!P91</f>
        <v>0</v>
      </c>
      <c r="Q92" s="652">
        <f>'far 1 a(for internal use only)'!Q91</f>
        <v>0</v>
      </c>
      <c r="R92" s="652">
        <f>'far 1 a(for internal use only)'!R91</f>
        <v>0</v>
      </c>
      <c r="S92" s="662">
        <f t="shared" si="132"/>
        <v>0</v>
      </c>
      <c r="T92" s="652">
        <f>'far 1 a(for internal use only)'!T91</f>
        <v>0</v>
      </c>
      <c r="U92" s="652">
        <f>'far 1 a(for internal use only)'!U91</f>
        <v>0</v>
      </c>
      <c r="V92" s="652">
        <f>'far 1 a(for internal use only)'!V91</f>
        <v>0</v>
      </c>
      <c r="W92" s="652">
        <f>'far 1 a(for internal use only)'!W91</f>
        <v>0</v>
      </c>
      <c r="X92" s="662">
        <f t="shared" si="133"/>
        <v>0</v>
      </c>
      <c r="Y92" s="662">
        <f t="shared" si="134"/>
        <v>0</v>
      </c>
      <c r="Z92" s="662">
        <f t="shared" si="135"/>
        <v>0</v>
      </c>
      <c r="AA92" s="684">
        <f>'far 1 a(for internal use only)'!AA91</f>
        <v>0</v>
      </c>
      <c r="AB92" s="663">
        <f t="shared" si="136"/>
        <v>0</v>
      </c>
    </row>
    <row r="93" spans="1:28" s="90" customFormat="1" ht="14.1" customHeight="1" x14ac:dyDescent="0.2">
      <c r="A93" s="301"/>
      <c r="B93" s="350" t="s">
        <v>398</v>
      </c>
      <c r="C93" s="608"/>
      <c r="D93" s="608"/>
      <c r="E93" s="608"/>
      <c r="F93" s="370" t="s">
        <v>399</v>
      </c>
      <c r="G93" s="652">
        <f>'far 1 a(for internal use only)'!G92</f>
        <v>522000</v>
      </c>
      <c r="H93" s="652">
        <f>'far 1 a(for internal use only)'!H92</f>
        <v>0</v>
      </c>
      <c r="I93" s="660">
        <f t="shared" si="129"/>
        <v>522000</v>
      </c>
      <c r="J93" s="660">
        <f t="shared" si="130"/>
        <v>522000</v>
      </c>
      <c r="K93" s="652">
        <f>'far 1 a(for internal use only)'!K92</f>
        <v>0</v>
      </c>
      <c r="L93" s="652">
        <f>'far 1 a(for internal use only)'!L92</f>
        <v>0</v>
      </c>
      <c r="M93" s="652">
        <f>'far 1 a(for internal use only)'!M92</f>
        <v>38000</v>
      </c>
      <c r="N93" s="661">
        <f t="shared" si="131"/>
        <v>560000</v>
      </c>
      <c r="O93" s="652">
        <f>'far 1 a(for internal use only)'!O92</f>
        <v>25342.75</v>
      </c>
      <c r="P93" s="652">
        <f>'far 1 a(for internal use only)'!P92</f>
        <v>82190.44</v>
      </c>
      <c r="Q93" s="652">
        <f>'far 1 a(for internal use only)'!Q92</f>
        <v>87007.75</v>
      </c>
      <c r="R93" s="652">
        <f>'far 1 a(for internal use only)'!R92</f>
        <v>166619.71</v>
      </c>
      <c r="S93" s="662">
        <f t="shared" si="132"/>
        <v>361160.65</v>
      </c>
      <c r="T93" s="652">
        <f>'far 1 a(for internal use only)'!T92</f>
        <v>25342.75</v>
      </c>
      <c r="U93" s="652">
        <f>'far 1 a(for internal use only)'!U92</f>
        <v>82190.439999999988</v>
      </c>
      <c r="V93" s="652">
        <f>'far 1 a(for internal use only)'!V92</f>
        <v>87007.75</v>
      </c>
      <c r="W93" s="652">
        <f>'far 1 a(for internal use only)'!W92</f>
        <v>166619.71</v>
      </c>
      <c r="X93" s="662">
        <f t="shared" si="133"/>
        <v>361160.65</v>
      </c>
      <c r="Y93" s="662">
        <f t="shared" si="134"/>
        <v>-38000</v>
      </c>
      <c r="Z93" s="662">
        <f t="shared" si="135"/>
        <v>198839.34999999998</v>
      </c>
      <c r="AA93" s="684">
        <f>'far 1 a(for internal use only)'!AA92</f>
        <v>0</v>
      </c>
      <c r="AB93" s="663">
        <f t="shared" si="136"/>
        <v>0</v>
      </c>
    </row>
    <row r="94" spans="1:28" s="90" customFormat="1" ht="14.1" hidden="1" customHeight="1" x14ac:dyDescent="0.2">
      <c r="A94" s="301"/>
      <c r="B94" s="350" t="s">
        <v>400</v>
      </c>
      <c r="C94" s="608"/>
      <c r="D94" s="608"/>
      <c r="E94" s="608"/>
      <c r="F94" s="370" t="s">
        <v>401</v>
      </c>
      <c r="G94" s="652">
        <f>'far 1 a(for internal use only)'!G93</f>
        <v>0</v>
      </c>
      <c r="H94" s="652">
        <f>'far 1 a(for internal use only)'!H93</f>
        <v>0</v>
      </c>
      <c r="I94" s="660">
        <f t="shared" si="129"/>
        <v>0</v>
      </c>
      <c r="J94" s="660">
        <f t="shared" si="130"/>
        <v>0</v>
      </c>
      <c r="K94" s="652">
        <f>'far 1 a(for internal use only)'!K93</f>
        <v>0</v>
      </c>
      <c r="L94" s="652">
        <f>'far 1 a(for internal use only)'!L93</f>
        <v>0</v>
      </c>
      <c r="M94" s="652">
        <f>'far 1 a(for internal use only)'!M93</f>
        <v>0</v>
      </c>
      <c r="N94" s="661">
        <f t="shared" si="131"/>
        <v>0</v>
      </c>
      <c r="O94" s="652">
        <f>'far 1 a(for internal use only)'!O93</f>
        <v>0</v>
      </c>
      <c r="P94" s="652">
        <f>'far 1 a(for internal use only)'!P93</f>
        <v>0</v>
      </c>
      <c r="Q94" s="652">
        <f>'far 1 a(for internal use only)'!Q93</f>
        <v>0</v>
      </c>
      <c r="R94" s="652">
        <f>'far 1 a(for internal use only)'!R93</f>
        <v>0</v>
      </c>
      <c r="S94" s="662">
        <f t="shared" si="132"/>
        <v>0</v>
      </c>
      <c r="T94" s="652">
        <f>'far 1 a(for internal use only)'!T93</f>
        <v>0</v>
      </c>
      <c r="U94" s="652">
        <f>'far 1 a(for internal use only)'!U93</f>
        <v>0</v>
      </c>
      <c r="V94" s="652">
        <f>'far 1 a(for internal use only)'!V93</f>
        <v>0</v>
      </c>
      <c r="W94" s="652">
        <f>'far 1 a(for internal use only)'!W93</f>
        <v>0</v>
      </c>
      <c r="X94" s="662">
        <f t="shared" si="133"/>
        <v>0</v>
      </c>
      <c r="Y94" s="662">
        <f t="shared" si="134"/>
        <v>0</v>
      </c>
      <c r="Z94" s="662">
        <f t="shared" si="135"/>
        <v>0</v>
      </c>
      <c r="AA94" s="684">
        <f>'far 1 a(for internal use only)'!AA93</f>
        <v>0</v>
      </c>
      <c r="AB94" s="663">
        <f t="shared" si="136"/>
        <v>0</v>
      </c>
    </row>
    <row r="95" spans="1:28" s="90" customFormat="1" ht="14.1" hidden="1" customHeight="1" x14ac:dyDescent="0.2">
      <c r="A95" s="301"/>
      <c r="B95" s="350" t="s">
        <v>402</v>
      </c>
      <c r="C95" s="608"/>
      <c r="D95" s="608"/>
      <c r="E95" s="608"/>
      <c r="F95" s="370" t="s">
        <v>403</v>
      </c>
      <c r="G95" s="652">
        <f>'far 1 a(for internal use only)'!G94</f>
        <v>0</v>
      </c>
      <c r="H95" s="652">
        <f>'far 1 a(for internal use only)'!H94</f>
        <v>0</v>
      </c>
      <c r="I95" s="660">
        <f t="shared" si="129"/>
        <v>0</v>
      </c>
      <c r="J95" s="660">
        <f t="shared" si="130"/>
        <v>0</v>
      </c>
      <c r="K95" s="652">
        <f>'far 1 a(for internal use only)'!K94</f>
        <v>0</v>
      </c>
      <c r="L95" s="652">
        <f>'far 1 a(for internal use only)'!L94</f>
        <v>0</v>
      </c>
      <c r="M95" s="652">
        <f>'far 1 a(for internal use only)'!M94</f>
        <v>0</v>
      </c>
      <c r="N95" s="661">
        <f t="shared" si="131"/>
        <v>0</v>
      </c>
      <c r="O95" s="652">
        <f>'far 1 a(for internal use only)'!O94</f>
        <v>0</v>
      </c>
      <c r="P95" s="652">
        <f>'far 1 a(for internal use only)'!P94</f>
        <v>0</v>
      </c>
      <c r="Q95" s="652">
        <f>'far 1 a(for internal use only)'!Q94</f>
        <v>0</v>
      </c>
      <c r="R95" s="652">
        <f>'far 1 a(for internal use only)'!R94</f>
        <v>0</v>
      </c>
      <c r="S95" s="662">
        <f t="shared" si="132"/>
        <v>0</v>
      </c>
      <c r="T95" s="652">
        <f>'far 1 a(for internal use only)'!T94</f>
        <v>0</v>
      </c>
      <c r="U95" s="652">
        <f>'far 1 a(for internal use only)'!U94</f>
        <v>0</v>
      </c>
      <c r="V95" s="652">
        <f>'far 1 a(for internal use only)'!V94</f>
        <v>0</v>
      </c>
      <c r="W95" s="652">
        <f>'far 1 a(for internal use only)'!W94</f>
        <v>0</v>
      </c>
      <c r="X95" s="662">
        <f t="shared" si="133"/>
        <v>0</v>
      </c>
      <c r="Y95" s="662">
        <f t="shared" si="134"/>
        <v>0</v>
      </c>
      <c r="Z95" s="662">
        <f t="shared" si="135"/>
        <v>0</v>
      </c>
      <c r="AA95" s="684">
        <f>'far 1 a(for internal use only)'!AA94</f>
        <v>0</v>
      </c>
      <c r="AB95" s="663">
        <f t="shared" si="136"/>
        <v>0</v>
      </c>
    </row>
    <row r="96" spans="1:28" s="90" customFormat="1" ht="14.1" hidden="1" customHeight="1" x14ac:dyDescent="0.2">
      <c r="A96" s="301"/>
      <c r="B96" s="350" t="s">
        <v>404</v>
      </c>
      <c r="C96" s="608"/>
      <c r="D96" s="608"/>
      <c r="E96" s="608"/>
      <c r="F96" s="370" t="s">
        <v>405</v>
      </c>
      <c r="G96" s="652">
        <f>'far 1 a(for internal use only)'!G95</f>
        <v>0</v>
      </c>
      <c r="H96" s="652">
        <f>'far 1 a(for internal use only)'!H95</f>
        <v>0</v>
      </c>
      <c r="I96" s="660">
        <f t="shared" si="129"/>
        <v>0</v>
      </c>
      <c r="J96" s="660">
        <f t="shared" si="130"/>
        <v>0</v>
      </c>
      <c r="K96" s="652">
        <f>'far 1 a(for internal use only)'!K95</f>
        <v>0</v>
      </c>
      <c r="L96" s="652">
        <f>'far 1 a(for internal use only)'!L95</f>
        <v>0</v>
      </c>
      <c r="M96" s="652">
        <f>'far 1 a(for internal use only)'!M95</f>
        <v>0</v>
      </c>
      <c r="N96" s="661">
        <f t="shared" si="131"/>
        <v>0</v>
      </c>
      <c r="O96" s="652">
        <f>'far 1 a(for internal use only)'!O95</f>
        <v>0</v>
      </c>
      <c r="P96" s="652">
        <f>'far 1 a(for internal use only)'!P95</f>
        <v>0</v>
      </c>
      <c r="Q96" s="652">
        <f>'far 1 a(for internal use only)'!Q95</f>
        <v>0</v>
      </c>
      <c r="R96" s="652">
        <f>'far 1 a(for internal use only)'!R95</f>
        <v>0</v>
      </c>
      <c r="S96" s="662">
        <f t="shared" si="132"/>
        <v>0</v>
      </c>
      <c r="T96" s="652">
        <f>'far 1 a(for internal use only)'!T95</f>
        <v>0</v>
      </c>
      <c r="U96" s="652">
        <f>'far 1 a(for internal use only)'!U95</f>
        <v>0</v>
      </c>
      <c r="V96" s="652">
        <f>'far 1 a(for internal use only)'!V95</f>
        <v>0</v>
      </c>
      <c r="W96" s="652">
        <f>'far 1 a(for internal use only)'!W95</f>
        <v>0</v>
      </c>
      <c r="X96" s="662">
        <f t="shared" si="133"/>
        <v>0</v>
      </c>
      <c r="Y96" s="662">
        <f t="shared" si="134"/>
        <v>0</v>
      </c>
      <c r="Z96" s="662">
        <f t="shared" si="135"/>
        <v>0</v>
      </c>
      <c r="AA96" s="684">
        <f>'far 1 a(for internal use only)'!AA95</f>
        <v>0</v>
      </c>
      <c r="AB96" s="663">
        <f t="shared" si="136"/>
        <v>0</v>
      </c>
    </row>
    <row r="97" spans="1:28" s="90" customFormat="1" ht="14.1" hidden="1" customHeight="1" x14ac:dyDescent="0.2">
      <c r="A97" s="301"/>
      <c r="B97" s="350" t="s">
        <v>727</v>
      </c>
      <c r="C97" s="718"/>
      <c r="D97" s="718"/>
      <c r="E97" s="718"/>
      <c r="F97" s="370" t="s">
        <v>728</v>
      </c>
      <c r="G97" s="652">
        <f>'far 1 a(for internal use only)'!G96</f>
        <v>0</v>
      </c>
      <c r="H97" s="652">
        <f>'far 1 a(for internal use only)'!H96</f>
        <v>0</v>
      </c>
      <c r="I97" s="660">
        <f t="shared" ref="I97" si="137">G97+H97</f>
        <v>0</v>
      </c>
      <c r="J97" s="660">
        <f t="shared" ref="J97" si="138">I97</f>
        <v>0</v>
      </c>
      <c r="K97" s="652">
        <f>'far 1 a(for internal use only)'!K96</f>
        <v>0</v>
      </c>
      <c r="L97" s="652">
        <f>'far 1 a(for internal use only)'!L96</f>
        <v>0</v>
      </c>
      <c r="M97" s="652">
        <f>'far 1 a(for internal use only)'!M96</f>
        <v>0</v>
      </c>
      <c r="N97" s="661">
        <f t="shared" ref="N97" si="139">J97+K97-L97+M97</f>
        <v>0</v>
      </c>
      <c r="O97" s="652">
        <f>'far 1 a(for internal use only)'!O96</f>
        <v>0</v>
      </c>
      <c r="P97" s="652">
        <f>'far 1 a(for internal use only)'!P96</f>
        <v>0</v>
      </c>
      <c r="Q97" s="652">
        <f>'far 1 a(for internal use only)'!Q96</f>
        <v>0</v>
      </c>
      <c r="R97" s="652">
        <f>'far 1 a(for internal use only)'!R96</f>
        <v>0</v>
      </c>
      <c r="S97" s="662">
        <f t="shared" ref="S97" si="140">SUM(O97:R97)</f>
        <v>0</v>
      </c>
      <c r="T97" s="652">
        <f>'far 1 a(for internal use only)'!T96</f>
        <v>0</v>
      </c>
      <c r="U97" s="652">
        <f>'far 1 a(for internal use only)'!U96</f>
        <v>0</v>
      </c>
      <c r="V97" s="652">
        <f>'far 1 a(for internal use only)'!V96</f>
        <v>0</v>
      </c>
      <c r="W97" s="652">
        <f>'far 1 a(for internal use only)'!W96</f>
        <v>0</v>
      </c>
      <c r="X97" s="662">
        <f t="shared" ref="X97" si="141">SUM(T97:W97)</f>
        <v>0</v>
      </c>
      <c r="Y97" s="662">
        <f t="shared" ref="Y97" si="142">I97-N97</f>
        <v>0</v>
      </c>
      <c r="Z97" s="662">
        <f t="shared" ref="Z97" si="143">N97-S97</f>
        <v>0</v>
      </c>
      <c r="AA97" s="684">
        <f>'far 1 a(for internal use only)'!AA96</f>
        <v>0</v>
      </c>
      <c r="AB97" s="663">
        <f t="shared" ref="AB97" si="144">+S97-X97-AA97</f>
        <v>0</v>
      </c>
    </row>
    <row r="98" spans="1:28" s="90" customFormat="1" ht="14.1" hidden="1" customHeight="1" x14ac:dyDescent="0.2">
      <c r="A98" s="301"/>
      <c r="B98" s="350" t="s">
        <v>406</v>
      </c>
      <c r="C98" s="608"/>
      <c r="D98" s="608"/>
      <c r="E98" s="608"/>
      <c r="F98" s="370" t="s">
        <v>407</v>
      </c>
      <c r="G98" s="652">
        <f>'far 1 a(for internal use only)'!G97</f>
        <v>0</v>
      </c>
      <c r="H98" s="652">
        <f>'far 1 a(for internal use only)'!H97</f>
        <v>0</v>
      </c>
      <c r="I98" s="660">
        <f t="shared" si="129"/>
        <v>0</v>
      </c>
      <c r="J98" s="660">
        <f t="shared" si="130"/>
        <v>0</v>
      </c>
      <c r="K98" s="652">
        <f>'far 1 a(for internal use only)'!K97</f>
        <v>0</v>
      </c>
      <c r="L98" s="652">
        <f>'far 1 a(for internal use only)'!L97</f>
        <v>0</v>
      </c>
      <c r="M98" s="652">
        <f>'far 1 a(for internal use only)'!M97</f>
        <v>0</v>
      </c>
      <c r="N98" s="661">
        <f t="shared" si="131"/>
        <v>0</v>
      </c>
      <c r="O98" s="652">
        <f>'far 1 a(for internal use only)'!O97</f>
        <v>0</v>
      </c>
      <c r="P98" s="652">
        <f>'far 1 a(for internal use only)'!P97</f>
        <v>0</v>
      </c>
      <c r="Q98" s="652">
        <f>'far 1 a(for internal use only)'!Q97</f>
        <v>0</v>
      </c>
      <c r="R98" s="652">
        <f>'far 1 a(for internal use only)'!R97</f>
        <v>0</v>
      </c>
      <c r="S98" s="662">
        <f t="shared" si="132"/>
        <v>0</v>
      </c>
      <c r="T98" s="652">
        <f>'far 1 a(for internal use only)'!T97</f>
        <v>0</v>
      </c>
      <c r="U98" s="652">
        <f>'far 1 a(for internal use only)'!U97</f>
        <v>0</v>
      </c>
      <c r="V98" s="652">
        <f>'far 1 a(for internal use only)'!V97</f>
        <v>0</v>
      </c>
      <c r="W98" s="652">
        <f>'far 1 a(for internal use only)'!W97</f>
        <v>0</v>
      </c>
      <c r="X98" s="662">
        <f t="shared" si="133"/>
        <v>0</v>
      </c>
      <c r="Y98" s="662">
        <f t="shared" si="134"/>
        <v>0</v>
      </c>
      <c r="Z98" s="662">
        <f t="shared" si="135"/>
        <v>0</v>
      </c>
      <c r="AA98" s="684">
        <f>'far 1 a(for internal use only)'!AA97</f>
        <v>0</v>
      </c>
      <c r="AB98" s="663">
        <f t="shared" si="136"/>
        <v>0</v>
      </c>
    </row>
    <row r="99" spans="1:28" s="90" customFormat="1" ht="14.1" customHeight="1" x14ac:dyDescent="0.2">
      <c r="A99" s="301"/>
      <c r="B99" s="351" t="s">
        <v>408</v>
      </c>
      <c r="C99" s="608"/>
      <c r="D99" s="608"/>
      <c r="E99" s="608"/>
      <c r="F99" s="370"/>
      <c r="G99" s="664"/>
      <c r="H99" s="652"/>
      <c r="I99" s="664"/>
      <c r="J99" s="664"/>
      <c r="K99" s="652"/>
      <c r="L99" s="652"/>
      <c r="M99" s="652"/>
      <c r="N99" s="665"/>
      <c r="O99" s="652"/>
      <c r="P99" s="652"/>
      <c r="Q99" s="652"/>
      <c r="R99" s="652"/>
      <c r="S99" s="666"/>
      <c r="T99" s="652"/>
      <c r="U99" s="652"/>
      <c r="V99" s="652"/>
      <c r="W99" s="652"/>
      <c r="X99" s="666"/>
      <c r="Y99" s="666"/>
      <c r="Z99" s="666"/>
      <c r="AA99" s="684"/>
      <c r="AB99" s="667"/>
    </row>
    <row r="100" spans="1:28" s="90" customFormat="1" ht="14.1" customHeight="1" x14ac:dyDescent="0.2">
      <c r="A100" s="301"/>
      <c r="B100" s="350" t="s">
        <v>409</v>
      </c>
      <c r="C100" s="608"/>
      <c r="D100" s="608"/>
      <c r="E100" s="608"/>
      <c r="F100" s="370" t="s">
        <v>410</v>
      </c>
      <c r="G100" s="652">
        <f>'far 1 a(for internal use only)'!G99</f>
        <v>13000</v>
      </c>
      <c r="H100" s="652">
        <f>'far 1 a(for internal use only)'!H99</f>
        <v>0</v>
      </c>
      <c r="I100" s="660">
        <f t="shared" ref="I100:I102" si="145">G100+H100</f>
        <v>13000</v>
      </c>
      <c r="J100" s="660">
        <f t="shared" ref="J100:J102" si="146">I100</f>
        <v>13000</v>
      </c>
      <c r="K100" s="652">
        <f>'far 1 a(for internal use only)'!K99</f>
        <v>0</v>
      </c>
      <c r="L100" s="652">
        <f>'far 1 a(for internal use only)'!L99</f>
        <v>0</v>
      </c>
      <c r="M100" s="652">
        <f>'far 1 a(for internal use only)'!M99</f>
        <v>840</v>
      </c>
      <c r="N100" s="661">
        <f t="shared" ref="N100:N102" si="147">J100+K100-L100+M100</f>
        <v>13840</v>
      </c>
      <c r="O100" s="652">
        <f>'far 1 a(for internal use only)'!O99</f>
        <v>0</v>
      </c>
      <c r="P100" s="652">
        <f>'far 1 a(for internal use only)'!P99</f>
        <v>0</v>
      </c>
      <c r="Q100" s="652">
        <f>'far 1 a(for internal use only)'!Q99</f>
        <v>3229.0600000000004</v>
      </c>
      <c r="R100" s="652">
        <f>'far 1 a(for internal use only)'!R99</f>
        <v>6185.3</v>
      </c>
      <c r="S100" s="662">
        <f t="shared" ref="S100:S102" si="148">SUM(O100:R100)</f>
        <v>9414.36</v>
      </c>
      <c r="T100" s="652">
        <f>'far 1 a(for internal use only)'!T99</f>
        <v>0</v>
      </c>
      <c r="U100" s="652">
        <f>'far 1 a(for internal use only)'!U99</f>
        <v>0</v>
      </c>
      <c r="V100" s="652">
        <f>'far 1 a(for internal use only)'!V99</f>
        <v>3229.0600000000004</v>
      </c>
      <c r="W100" s="652">
        <f>'far 1 a(for internal use only)'!W99</f>
        <v>6185.3</v>
      </c>
      <c r="X100" s="662">
        <f t="shared" ref="X100:X102" si="149">SUM(T100:W100)</f>
        <v>9414.36</v>
      </c>
      <c r="Y100" s="662">
        <f t="shared" ref="Y100:Y102" si="150">I100-N100</f>
        <v>-840</v>
      </c>
      <c r="Z100" s="662">
        <f t="shared" ref="Z100:Z102" si="151">N100-S100</f>
        <v>4425.6399999999994</v>
      </c>
      <c r="AA100" s="684">
        <f>'far 1 a(for internal use only)'!AA99</f>
        <v>0</v>
      </c>
      <c r="AB100" s="663">
        <f t="shared" ref="AB100:AB102" si="152">+S100-X100-AA100</f>
        <v>0</v>
      </c>
    </row>
    <row r="101" spans="1:28" s="90" customFormat="1" ht="14.1" customHeight="1" x14ac:dyDescent="0.2">
      <c r="A101" s="301"/>
      <c r="B101" s="350" t="s">
        <v>411</v>
      </c>
      <c r="C101" s="608"/>
      <c r="D101" s="608"/>
      <c r="E101" s="608"/>
      <c r="F101" s="370" t="s">
        <v>412</v>
      </c>
      <c r="G101" s="652">
        <f>'far 1 a(for internal use only)'!G100</f>
        <v>38000</v>
      </c>
      <c r="H101" s="652">
        <f>'far 1 a(for internal use only)'!H100</f>
        <v>0</v>
      </c>
      <c r="I101" s="660">
        <f t="shared" si="145"/>
        <v>38000</v>
      </c>
      <c r="J101" s="660">
        <f t="shared" si="146"/>
        <v>38000</v>
      </c>
      <c r="K101" s="652">
        <f>'far 1 a(for internal use only)'!K100</f>
        <v>0</v>
      </c>
      <c r="L101" s="652">
        <f>'far 1 a(for internal use only)'!L100</f>
        <v>0</v>
      </c>
      <c r="M101" s="652">
        <f>'far 1 a(for internal use only)'!M100</f>
        <v>6760</v>
      </c>
      <c r="N101" s="661">
        <f t="shared" si="147"/>
        <v>44760</v>
      </c>
      <c r="O101" s="652">
        <f>'far 1 a(for internal use only)'!O100</f>
        <v>14107.5</v>
      </c>
      <c r="P101" s="652">
        <f>'far 1 a(for internal use only)'!P100</f>
        <v>16886.25</v>
      </c>
      <c r="Q101" s="652">
        <f>'far 1 a(for internal use only)'!Q100</f>
        <v>0</v>
      </c>
      <c r="R101" s="652">
        <f>'far 1 a(for internal use only)'!R100</f>
        <v>0</v>
      </c>
      <c r="S101" s="662">
        <f t="shared" si="148"/>
        <v>30993.75</v>
      </c>
      <c r="T101" s="652">
        <f>'far 1 a(for internal use only)'!T100</f>
        <v>14107.5</v>
      </c>
      <c r="U101" s="652">
        <f>'far 1 a(for internal use only)'!U100</f>
        <v>16886.25</v>
      </c>
      <c r="V101" s="652">
        <f>'far 1 a(for internal use only)'!V100</f>
        <v>0</v>
      </c>
      <c r="W101" s="652">
        <f>'far 1 a(for internal use only)'!W100</f>
        <v>0</v>
      </c>
      <c r="X101" s="662">
        <f t="shared" si="149"/>
        <v>30993.75</v>
      </c>
      <c r="Y101" s="662">
        <f t="shared" si="150"/>
        <v>-6760</v>
      </c>
      <c r="Z101" s="662">
        <f t="shared" si="151"/>
        <v>13766.25</v>
      </c>
      <c r="AA101" s="684">
        <f>'far 1 a(for internal use only)'!AA100</f>
        <v>0</v>
      </c>
      <c r="AB101" s="663">
        <f t="shared" si="152"/>
        <v>0</v>
      </c>
    </row>
    <row r="102" spans="1:28" s="90" customFormat="1" ht="14.1" customHeight="1" x14ac:dyDescent="0.2">
      <c r="A102" s="301"/>
      <c r="B102" s="350" t="s">
        <v>413</v>
      </c>
      <c r="C102" s="608"/>
      <c r="D102" s="608"/>
      <c r="E102" s="608"/>
      <c r="F102" s="370" t="s">
        <v>414</v>
      </c>
      <c r="G102" s="652">
        <f>'far 1 a(for internal use only)'!G101</f>
        <v>157000</v>
      </c>
      <c r="H102" s="652">
        <f>'far 1 a(for internal use only)'!H101</f>
        <v>0</v>
      </c>
      <c r="I102" s="660">
        <f t="shared" si="145"/>
        <v>157000</v>
      </c>
      <c r="J102" s="660">
        <f t="shared" si="146"/>
        <v>157000</v>
      </c>
      <c r="K102" s="652">
        <f>'far 1 a(for internal use only)'!K101</f>
        <v>0</v>
      </c>
      <c r="L102" s="652">
        <f>'far 1 a(for internal use only)'!L101</f>
        <v>0</v>
      </c>
      <c r="M102" s="652">
        <f>'far 1 a(for internal use only)'!M101</f>
        <v>2500</v>
      </c>
      <c r="N102" s="661">
        <f t="shared" si="147"/>
        <v>159500</v>
      </c>
      <c r="O102" s="652">
        <f>'far 1 a(for internal use only)'!O101</f>
        <v>0</v>
      </c>
      <c r="P102" s="652">
        <f>'far 1 a(for internal use only)'!P101</f>
        <v>0</v>
      </c>
      <c r="Q102" s="652">
        <f>'far 1 a(for internal use only)'!Q101</f>
        <v>85136.61</v>
      </c>
      <c r="R102" s="652">
        <f>'far 1 a(for internal use only)'!R101</f>
        <v>8758.2999999999993</v>
      </c>
      <c r="S102" s="662">
        <f t="shared" si="148"/>
        <v>93894.91</v>
      </c>
      <c r="T102" s="652">
        <f>'far 1 a(for internal use only)'!T101</f>
        <v>0</v>
      </c>
      <c r="U102" s="652">
        <f>'far 1 a(for internal use only)'!U101</f>
        <v>0</v>
      </c>
      <c r="V102" s="652">
        <f>'far 1 a(for internal use only)'!V101</f>
        <v>85136.61</v>
      </c>
      <c r="W102" s="652">
        <f>'far 1 a(for internal use only)'!W101</f>
        <v>8758.2999999999993</v>
      </c>
      <c r="X102" s="662">
        <f t="shared" si="149"/>
        <v>93894.91</v>
      </c>
      <c r="Y102" s="662">
        <f t="shared" si="150"/>
        <v>-2500</v>
      </c>
      <c r="Z102" s="662">
        <f t="shared" si="151"/>
        <v>65605.09</v>
      </c>
      <c r="AA102" s="684">
        <f>'far 1 a(for internal use only)'!AA101</f>
        <v>0</v>
      </c>
      <c r="AB102" s="663">
        <f t="shared" si="152"/>
        <v>0</v>
      </c>
    </row>
    <row r="103" spans="1:28" s="90" customFormat="1" ht="14.1" customHeight="1" x14ac:dyDescent="0.2">
      <c r="A103" s="301"/>
      <c r="B103" s="351" t="s">
        <v>415</v>
      </c>
      <c r="C103" s="608"/>
      <c r="D103" s="608"/>
      <c r="E103" s="608"/>
      <c r="F103" s="370"/>
      <c r="G103" s="664"/>
      <c r="H103" s="652"/>
      <c r="I103" s="664"/>
      <c r="J103" s="664"/>
      <c r="K103" s="652"/>
      <c r="L103" s="652"/>
      <c r="M103" s="652"/>
      <c r="N103" s="665"/>
      <c r="O103" s="652"/>
      <c r="P103" s="652"/>
      <c r="Q103" s="652"/>
      <c r="R103" s="652"/>
      <c r="S103" s="666"/>
      <c r="T103" s="652"/>
      <c r="U103" s="652"/>
      <c r="V103" s="652"/>
      <c r="W103" s="652"/>
      <c r="X103" s="666"/>
      <c r="Y103" s="666"/>
      <c r="Z103" s="666"/>
      <c r="AA103" s="684"/>
      <c r="AB103" s="667"/>
    </row>
    <row r="104" spans="1:28" s="90" customFormat="1" ht="14.1" customHeight="1" x14ac:dyDescent="0.2">
      <c r="A104" s="301"/>
      <c r="B104" s="350" t="s">
        <v>416</v>
      </c>
      <c r="C104" s="608"/>
      <c r="D104" s="608"/>
      <c r="E104" s="608"/>
      <c r="F104" s="370" t="s">
        <v>417</v>
      </c>
      <c r="G104" s="652">
        <f>'far 1 a(for internal use only)'!G103</f>
        <v>0</v>
      </c>
      <c r="H104" s="652">
        <f>'far 1 a(for internal use only)'!H103</f>
        <v>0</v>
      </c>
      <c r="I104" s="660">
        <f t="shared" ref="I104:I113" si="153">G104+H104</f>
        <v>0</v>
      </c>
      <c r="J104" s="660">
        <f t="shared" ref="J104:J113" si="154">I104</f>
        <v>0</v>
      </c>
      <c r="K104" s="652">
        <f>'far 1 a(for internal use only)'!K103</f>
        <v>0</v>
      </c>
      <c r="L104" s="652">
        <f>'far 1 a(for internal use only)'!L103</f>
        <v>0</v>
      </c>
      <c r="M104" s="652">
        <f>'far 1 a(for internal use only)'!M103</f>
        <v>0</v>
      </c>
      <c r="N104" s="661">
        <f t="shared" ref="N104:N113" si="155">J104+K104-L104+M104</f>
        <v>0</v>
      </c>
      <c r="O104" s="652">
        <f>'far 1 a(for internal use only)'!O103</f>
        <v>0</v>
      </c>
      <c r="P104" s="652">
        <f>'far 1 a(for internal use only)'!P103</f>
        <v>0</v>
      </c>
      <c r="Q104" s="652">
        <f>'far 1 a(for internal use only)'!Q103</f>
        <v>0</v>
      </c>
      <c r="R104" s="652">
        <f>'far 1 a(for internal use only)'!R103</f>
        <v>0</v>
      </c>
      <c r="S104" s="662">
        <f t="shared" ref="S104:S113" si="156">SUM(O104:R104)</f>
        <v>0</v>
      </c>
      <c r="T104" s="652">
        <f>'far 1 a(for internal use only)'!T103</f>
        <v>0</v>
      </c>
      <c r="U104" s="652">
        <f>'far 1 a(for internal use only)'!U103</f>
        <v>0</v>
      </c>
      <c r="V104" s="652">
        <f>'far 1 a(for internal use only)'!V103</f>
        <v>0</v>
      </c>
      <c r="W104" s="652">
        <f>'far 1 a(for internal use only)'!W103</f>
        <v>0</v>
      </c>
      <c r="X104" s="662">
        <f t="shared" ref="X104:X113" si="157">SUM(T104:W104)</f>
        <v>0</v>
      </c>
      <c r="Y104" s="662">
        <f t="shared" ref="Y104:Y113" si="158">I104-N104</f>
        <v>0</v>
      </c>
      <c r="Z104" s="662">
        <f t="shared" ref="Z104:Z113" si="159">N104-S104</f>
        <v>0</v>
      </c>
      <c r="AA104" s="684">
        <f>'far 1 a(for internal use only)'!AA103</f>
        <v>0</v>
      </c>
      <c r="AB104" s="663">
        <f t="shared" ref="AB104:AB113" si="160">+S104-X104-AA104</f>
        <v>0</v>
      </c>
    </row>
    <row r="105" spans="1:28" s="90" customFormat="1" ht="14.1" customHeight="1" x14ac:dyDescent="0.2">
      <c r="A105" s="301"/>
      <c r="B105" s="350" t="s">
        <v>418</v>
      </c>
      <c r="C105" s="608"/>
      <c r="D105" s="608"/>
      <c r="E105" s="608"/>
      <c r="F105" s="370" t="s">
        <v>419</v>
      </c>
      <c r="G105" s="652">
        <f>'far 1 a(for internal use only)'!G104</f>
        <v>54000</v>
      </c>
      <c r="H105" s="652">
        <f>'far 1 a(for internal use only)'!H104</f>
        <v>0</v>
      </c>
      <c r="I105" s="660">
        <f t="shared" si="153"/>
        <v>54000</v>
      </c>
      <c r="J105" s="660">
        <f t="shared" si="154"/>
        <v>54000</v>
      </c>
      <c r="K105" s="652">
        <f>'far 1 a(for internal use only)'!K104</f>
        <v>0</v>
      </c>
      <c r="L105" s="652">
        <f>'far 1 a(for internal use only)'!L104</f>
        <v>0</v>
      </c>
      <c r="M105" s="652">
        <f>'far 1 a(for internal use only)'!M104</f>
        <v>0</v>
      </c>
      <c r="N105" s="661">
        <f t="shared" si="155"/>
        <v>54000</v>
      </c>
      <c r="O105" s="652">
        <f>'far 1 a(for internal use only)'!O104</f>
        <v>0</v>
      </c>
      <c r="P105" s="652">
        <f>'far 1 a(for internal use only)'!P104</f>
        <v>0</v>
      </c>
      <c r="Q105" s="652">
        <f>'far 1 a(for internal use only)'!Q104</f>
        <v>0</v>
      </c>
      <c r="R105" s="652">
        <f>'far 1 a(for internal use only)'!R104</f>
        <v>0</v>
      </c>
      <c r="S105" s="662">
        <f t="shared" si="156"/>
        <v>0</v>
      </c>
      <c r="T105" s="652">
        <f>'far 1 a(for internal use only)'!T104</f>
        <v>0</v>
      </c>
      <c r="U105" s="652">
        <f>'far 1 a(for internal use only)'!U104</f>
        <v>0</v>
      </c>
      <c r="V105" s="652">
        <f>'far 1 a(for internal use only)'!V104</f>
        <v>0</v>
      </c>
      <c r="W105" s="652">
        <f>'far 1 a(for internal use only)'!W104</f>
        <v>0</v>
      </c>
      <c r="X105" s="662">
        <f t="shared" si="157"/>
        <v>0</v>
      </c>
      <c r="Y105" s="662">
        <f t="shared" si="158"/>
        <v>0</v>
      </c>
      <c r="Z105" s="662">
        <f t="shared" si="159"/>
        <v>54000</v>
      </c>
      <c r="AA105" s="684">
        <f>'far 1 a(for internal use only)'!AA104</f>
        <v>0</v>
      </c>
      <c r="AB105" s="663">
        <f t="shared" si="160"/>
        <v>0</v>
      </c>
    </row>
    <row r="106" spans="1:28" s="90" customFormat="1" ht="14.1" customHeight="1" x14ac:dyDescent="0.2">
      <c r="A106" s="301"/>
      <c r="B106" s="350" t="s">
        <v>420</v>
      </c>
      <c r="C106" s="608"/>
      <c r="D106" s="608"/>
      <c r="E106" s="608"/>
      <c r="F106" s="370" t="s">
        <v>421</v>
      </c>
      <c r="G106" s="652">
        <f>'far 1 a(for internal use only)'!G105</f>
        <v>393000</v>
      </c>
      <c r="H106" s="652">
        <f>'far 1 a(for internal use only)'!H105</f>
        <v>0</v>
      </c>
      <c r="I106" s="660">
        <f t="shared" si="153"/>
        <v>393000</v>
      </c>
      <c r="J106" s="660">
        <f t="shared" si="154"/>
        <v>393000</v>
      </c>
      <c r="K106" s="652">
        <f>'far 1 a(for internal use only)'!K105</f>
        <v>0</v>
      </c>
      <c r="L106" s="652">
        <f>'far 1 a(for internal use only)'!L105</f>
        <v>0</v>
      </c>
      <c r="M106" s="652">
        <f>'far 1 a(for internal use only)'!M105</f>
        <v>0</v>
      </c>
      <c r="N106" s="661">
        <f t="shared" si="155"/>
        <v>393000</v>
      </c>
      <c r="O106" s="652">
        <f>'far 1 a(for internal use only)'!O105</f>
        <v>0</v>
      </c>
      <c r="P106" s="652">
        <f>'far 1 a(for internal use only)'!P105</f>
        <v>0</v>
      </c>
      <c r="Q106" s="652">
        <f>'far 1 a(for internal use only)'!Q105</f>
        <v>1848</v>
      </c>
      <c r="R106" s="652">
        <f>'far 1 a(for internal use only)'!R105</f>
        <v>3920</v>
      </c>
      <c r="S106" s="662">
        <f t="shared" si="156"/>
        <v>5768</v>
      </c>
      <c r="T106" s="652">
        <f>'far 1 a(for internal use only)'!T105</f>
        <v>0</v>
      </c>
      <c r="U106" s="652">
        <f>'far 1 a(for internal use only)'!U105</f>
        <v>0</v>
      </c>
      <c r="V106" s="652">
        <f>'far 1 a(for internal use only)'!V105</f>
        <v>1848</v>
      </c>
      <c r="W106" s="652">
        <f>'far 1 a(for internal use only)'!W105</f>
        <v>3920</v>
      </c>
      <c r="X106" s="662">
        <f t="shared" si="157"/>
        <v>5768</v>
      </c>
      <c r="Y106" s="662">
        <f t="shared" si="158"/>
        <v>0</v>
      </c>
      <c r="Z106" s="662">
        <f t="shared" si="159"/>
        <v>387232</v>
      </c>
      <c r="AA106" s="684">
        <f>'far 1 a(for internal use only)'!AA105</f>
        <v>0</v>
      </c>
      <c r="AB106" s="663">
        <f t="shared" si="160"/>
        <v>0</v>
      </c>
    </row>
    <row r="107" spans="1:28" s="90" customFormat="1" ht="14.1" customHeight="1" x14ac:dyDescent="0.2">
      <c r="A107" s="301"/>
      <c r="B107" s="350" t="s">
        <v>422</v>
      </c>
      <c r="C107" s="608"/>
      <c r="D107" s="608"/>
      <c r="E107" s="608"/>
      <c r="F107" s="370" t="s">
        <v>423</v>
      </c>
      <c r="G107" s="652">
        <f>'far 1 a(for internal use only)'!G106</f>
        <v>1913000</v>
      </c>
      <c r="H107" s="652">
        <f>'far 1 a(for internal use only)'!H106</f>
        <v>0</v>
      </c>
      <c r="I107" s="660">
        <f t="shared" si="153"/>
        <v>1913000</v>
      </c>
      <c r="J107" s="660">
        <f t="shared" si="154"/>
        <v>1913000</v>
      </c>
      <c r="K107" s="652">
        <f>'far 1 a(for internal use only)'!K106</f>
        <v>0</v>
      </c>
      <c r="L107" s="652">
        <f>'far 1 a(for internal use only)'!L106</f>
        <v>0</v>
      </c>
      <c r="M107" s="652">
        <f>'far 1 a(for internal use only)'!M106</f>
        <v>62000</v>
      </c>
      <c r="N107" s="661">
        <f t="shared" si="155"/>
        <v>1975000</v>
      </c>
      <c r="O107" s="652">
        <f>'far 1 a(for internal use only)'!O106</f>
        <v>272886</v>
      </c>
      <c r="P107" s="652">
        <f>'far 1 a(for internal use only)'!P106</f>
        <v>39110</v>
      </c>
      <c r="Q107" s="652">
        <f>'far 1 a(for internal use only)'!Q106</f>
        <v>623178.75</v>
      </c>
      <c r="R107" s="652">
        <f>'far 1 a(for internal use only)'!R106</f>
        <v>1006189</v>
      </c>
      <c r="S107" s="662">
        <f t="shared" si="156"/>
        <v>1941363.75</v>
      </c>
      <c r="T107" s="652">
        <f>'far 1 a(for internal use only)'!T106</f>
        <v>272886</v>
      </c>
      <c r="U107" s="652">
        <f>'far 1 a(for internal use only)'!U106</f>
        <v>39110</v>
      </c>
      <c r="V107" s="652">
        <f>'far 1 a(for internal use only)'!V106</f>
        <v>449573.75</v>
      </c>
      <c r="W107" s="652">
        <f>'far 1 a(for internal use only)'!W106</f>
        <v>1179789</v>
      </c>
      <c r="X107" s="662">
        <f t="shared" si="157"/>
        <v>1941358.75</v>
      </c>
      <c r="Y107" s="662">
        <f t="shared" si="158"/>
        <v>-62000</v>
      </c>
      <c r="Z107" s="662">
        <f t="shared" si="159"/>
        <v>33636.25</v>
      </c>
      <c r="AA107" s="684">
        <f>'far 1 a(for internal use only)'!AA106</f>
        <v>5</v>
      </c>
      <c r="AB107" s="663">
        <f t="shared" si="160"/>
        <v>0</v>
      </c>
    </row>
    <row r="108" spans="1:28" s="90" customFormat="1" ht="14.1" customHeight="1" x14ac:dyDescent="0.2">
      <c r="A108" s="301"/>
      <c r="B108" s="350" t="s">
        <v>424</v>
      </c>
      <c r="C108" s="608"/>
      <c r="D108" s="608"/>
      <c r="E108" s="608"/>
      <c r="F108" s="370" t="s">
        <v>425</v>
      </c>
      <c r="G108" s="652">
        <f>'far 1 a(for internal use only)'!G107</f>
        <v>2147000</v>
      </c>
      <c r="H108" s="652">
        <f>'far 1 a(for internal use only)'!H107</f>
        <v>0</v>
      </c>
      <c r="I108" s="660">
        <f t="shared" si="153"/>
        <v>2147000</v>
      </c>
      <c r="J108" s="660">
        <f t="shared" si="154"/>
        <v>2147000</v>
      </c>
      <c r="K108" s="652">
        <f>'far 1 a(for internal use only)'!K107</f>
        <v>0</v>
      </c>
      <c r="L108" s="652">
        <f>'far 1 a(for internal use only)'!L107</f>
        <v>0</v>
      </c>
      <c r="M108" s="652">
        <f>'far 1 a(for internal use only)'!M107</f>
        <v>0</v>
      </c>
      <c r="N108" s="661">
        <f t="shared" si="155"/>
        <v>2147000</v>
      </c>
      <c r="O108" s="652">
        <f>'far 1 a(for internal use only)'!O107</f>
        <v>67666.399999999994</v>
      </c>
      <c r="P108" s="652">
        <f>'far 1 a(for internal use only)'!P107</f>
        <v>129585.2</v>
      </c>
      <c r="Q108" s="652">
        <f>'far 1 a(for internal use only)'!Q107</f>
        <v>149383.6</v>
      </c>
      <c r="R108" s="652">
        <f>'far 1 a(for internal use only)'!R107</f>
        <v>1172734.5799999998</v>
      </c>
      <c r="S108" s="662">
        <f t="shared" si="156"/>
        <v>1519369.7799999998</v>
      </c>
      <c r="T108" s="652">
        <f>'far 1 a(for internal use only)'!T107</f>
        <v>67666.399999999994</v>
      </c>
      <c r="U108" s="652">
        <f>'far 1 a(for internal use only)'!U107</f>
        <v>129585.2</v>
      </c>
      <c r="V108" s="652">
        <f>'far 1 a(for internal use only)'!V107</f>
        <v>149383.6</v>
      </c>
      <c r="W108" s="652">
        <f>'far 1 a(for internal use only)'!W107</f>
        <v>1172734.5799999998</v>
      </c>
      <c r="X108" s="662">
        <f t="shared" si="157"/>
        <v>1519369.7799999998</v>
      </c>
      <c r="Y108" s="662">
        <f t="shared" si="158"/>
        <v>0</v>
      </c>
      <c r="Z108" s="662">
        <f t="shared" si="159"/>
        <v>627630.2200000002</v>
      </c>
      <c r="AA108" s="684">
        <f>'far 1 a(for internal use only)'!AA107</f>
        <v>0</v>
      </c>
      <c r="AB108" s="663">
        <f t="shared" si="160"/>
        <v>0</v>
      </c>
    </row>
    <row r="109" spans="1:28" s="90" customFormat="1" ht="14.1" hidden="1" customHeight="1" x14ac:dyDescent="0.2">
      <c r="A109" s="301"/>
      <c r="B109" s="350" t="s">
        <v>426</v>
      </c>
      <c r="C109" s="608"/>
      <c r="D109" s="608"/>
      <c r="E109" s="608"/>
      <c r="F109" s="370" t="s">
        <v>427</v>
      </c>
      <c r="G109" s="652">
        <f>'far 1 a(for internal use only)'!G108</f>
        <v>0</v>
      </c>
      <c r="H109" s="652">
        <f>'far 1 a(for internal use only)'!H108</f>
        <v>0</v>
      </c>
      <c r="I109" s="660">
        <f t="shared" si="153"/>
        <v>0</v>
      </c>
      <c r="J109" s="660">
        <f t="shared" si="154"/>
        <v>0</v>
      </c>
      <c r="K109" s="652">
        <f>'far 1 a(for internal use only)'!K108</f>
        <v>0</v>
      </c>
      <c r="L109" s="652">
        <f>'far 1 a(for internal use only)'!L108</f>
        <v>0</v>
      </c>
      <c r="M109" s="652">
        <f>'far 1 a(for internal use only)'!M108</f>
        <v>0</v>
      </c>
      <c r="N109" s="661">
        <f t="shared" si="155"/>
        <v>0</v>
      </c>
      <c r="O109" s="652">
        <f>'far 1 a(for internal use only)'!O108</f>
        <v>0</v>
      </c>
      <c r="P109" s="652">
        <f>'far 1 a(for internal use only)'!P108</f>
        <v>0</v>
      </c>
      <c r="Q109" s="652">
        <f>'far 1 a(for internal use only)'!Q108</f>
        <v>0</v>
      </c>
      <c r="R109" s="652">
        <f>'far 1 a(for internal use only)'!R108</f>
        <v>0</v>
      </c>
      <c r="S109" s="662">
        <f t="shared" si="156"/>
        <v>0</v>
      </c>
      <c r="T109" s="652">
        <f>'far 1 a(for internal use only)'!T108</f>
        <v>0</v>
      </c>
      <c r="U109" s="652">
        <f>'far 1 a(for internal use only)'!U108</f>
        <v>0</v>
      </c>
      <c r="V109" s="652">
        <f>'far 1 a(for internal use only)'!V108</f>
        <v>0</v>
      </c>
      <c r="W109" s="652">
        <f>'far 1 a(for internal use only)'!W108</f>
        <v>0</v>
      </c>
      <c r="X109" s="662">
        <f t="shared" si="157"/>
        <v>0</v>
      </c>
      <c r="Y109" s="662">
        <f t="shared" si="158"/>
        <v>0</v>
      </c>
      <c r="Z109" s="662">
        <f t="shared" si="159"/>
        <v>0</v>
      </c>
      <c r="AA109" s="684">
        <f>'far 1 a(for internal use only)'!AA108</f>
        <v>0</v>
      </c>
      <c r="AB109" s="663">
        <f t="shared" si="160"/>
        <v>0</v>
      </c>
    </row>
    <row r="110" spans="1:28" s="90" customFormat="1" ht="14.1" hidden="1" customHeight="1" x14ac:dyDescent="0.2">
      <c r="A110" s="301"/>
      <c r="B110" s="350" t="s">
        <v>428</v>
      </c>
      <c r="C110" s="608"/>
      <c r="D110" s="608"/>
      <c r="E110" s="608"/>
      <c r="F110" s="370" t="s">
        <v>429</v>
      </c>
      <c r="G110" s="652">
        <f>'far 1 a(for internal use only)'!G109</f>
        <v>0</v>
      </c>
      <c r="H110" s="652">
        <f>'far 1 a(for internal use only)'!H109</f>
        <v>0</v>
      </c>
      <c r="I110" s="660">
        <f t="shared" si="153"/>
        <v>0</v>
      </c>
      <c r="J110" s="660">
        <f t="shared" si="154"/>
        <v>0</v>
      </c>
      <c r="K110" s="652">
        <f>'far 1 a(for internal use only)'!K109</f>
        <v>0</v>
      </c>
      <c r="L110" s="652">
        <f>'far 1 a(for internal use only)'!L109</f>
        <v>0</v>
      </c>
      <c r="M110" s="652">
        <f>'far 1 a(for internal use only)'!M109</f>
        <v>0</v>
      </c>
      <c r="N110" s="661">
        <f t="shared" si="155"/>
        <v>0</v>
      </c>
      <c r="O110" s="652">
        <f>'far 1 a(for internal use only)'!O109</f>
        <v>0</v>
      </c>
      <c r="P110" s="652">
        <f>'far 1 a(for internal use only)'!P109</f>
        <v>0</v>
      </c>
      <c r="Q110" s="652">
        <f>'far 1 a(for internal use only)'!Q109</f>
        <v>0</v>
      </c>
      <c r="R110" s="652">
        <f>'far 1 a(for internal use only)'!R109</f>
        <v>0</v>
      </c>
      <c r="S110" s="662">
        <f t="shared" si="156"/>
        <v>0</v>
      </c>
      <c r="T110" s="652">
        <f>'far 1 a(for internal use only)'!T109</f>
        <v>0</v>
      </c>
      <c r="U110" s="652">
        <f>'far 1 a(for internal use only)'!U109</f>
        <v>0</v>
      </c>
      <c r="V110" s="652">
        <f>'far 1 a(for internal use only)'!V109</f>
        <v>0</v>
      </c>
      <c r="W110" s="652">
        <f>'far 1 a(for internal use only)'!W109</f>
        <v>0</v>
      </c>
      <c r="X110" s="662">
        <f t="shared" si="157"/>
        <v>0</v>
      </c>
      <c r="Y110" s="662">
        <f t="shared" si="158"/>
        <v>0</v>
      </c>
      <c r="Z110" s="662">
        <f t="shared" si="159"/>
        <v>0</v>
      </c>
      <c r="AA110" s="684">
        <f>'far 1 a(for internal use only)'!AA109</f>
        <v>0</v>
      </c>
      <c r="AB110" s="663">
        <f t="shared" si="160"/>
        <v>0</v>
      </c>
    </row>
    <row r="111" spans="1:28" s="90" customFormat="1" ht="14.1" hidden="1" customHeight="1" x14ac:dyDescent="0.2">
      <c r="A111" s="301"/>
      <c r="B111" s="350" t="s">
        <v>718</v>
      </c>
      <c r="C111" s="608"/>
      <c r="D111" s="608"/>
      <c r="E111" s="608"/>
      <c r="F111" s="370" t="s">
        <v>719</v>
      </c>
      <c r="G111" s="652">
        <f>'far 1 a(for internal use only)'!G110</f>
        <v>0</v>
      </c>
      <c r="H111" s="652">
        <f>'far 1 a(for internal use only)'!H110</f>
        <v>0</v>
      </c>
      <c r="I111" s="660">
        <f t="shared" si="153"/>
        <v>0</v>
      </c>
      <c r="J111" s="660">
        <f t="shared" si="154"/>
        <v>0</v>
      </c>
      <c r="K111" s="652">
        <f>'far 1 a(for internal use only)'!K110</f>
        <v>0</v>
      </c>
      <c r="L111" s="652">
        <f>'far 1 a(for internal use only)'!L110</f>
        <v>0</v>
      </c>
      <c r="M111" s="652">
        <f>'far 1 a(for internal use only)'!M110</f>
        <v>0</v>
      </c>
      <c r="N111" s="661">
        <f t="shared" si="155"/>
        <v>0</v>
      </c>
      <c r="O111" s="652">
        <f>'far 1 a(for internal use only)'!O110</f>
        <v>0</v>
      </c>
      <c r="P111" s="652">
        <f>'far 1 a(for internal use only)'!P110</f>
        <v>0</v>
      </c>
      <c r="Q111" s="652">
        <f>'far 1 a(for internal use only)'!Q110</f>
        <v>0</v>
      </c>
      <c r="R111" s="652">
        <f>'far 1 a(for internal use only)'!R110</f>
        <v>0</v>
      </c>
      <c r="S111" s="662">
        <f t="shared" si="156"/>
        <v>0</v>
      </c>
      <c r="T111" s="652">
        <f>'far 1 a(for internal use only)'!T110</f>
        <v>0</v>
      </c>
      <c r="U111" s="652">
        <f>'far 1 a(for internal use only)'!U110</f>
        <v>0</v>
      </c>
      <c r="V111" s="652">
        <f>'far 1 a(for internal use only)'!V110</f>
        <v>0</v>
      </c>
      <c r="W111" s="652">
        <f>'far 1 a(for internal use only)'!W110</f>
        <v>0</v>
      </c>
      <c r="X111" s="662">
        <f t="shared" si="157"/>
        <v>0</v>
      </c>
      <c r="Y111" s="662">
        <f t="shared" si="158"/>
        <v>0</v>
      </c>
      <c r="Z111" s="662">
        <f t="shared" si="159"/>
        <v>0</v>
      </c>
      <c r="AA111" s="684">
        <f>'far 1 a(for internal use only)'!AA110</f>
        <v>0</v>
      </c>
      <c r="AB111" s="663">
        <f t="shared" si="160"/>
        <v>0</v>
      </c>
    </row>
    <row r="112" spans="1:28" s="90" customFormat="1" ht="14.1" hidden="1" customHeight="1" x14ac:dyDescent="0.2">
      <c r="A112" s="301"/>
      <c r="B112" s="350" t="s">
        <v>432</v>
      </c>
      <c r="C112" s="608"/>
      <c r="D112" s="608"/>
      <c r="E112" s="608"/>
      <c r="F112" s="370" t="s">
        <v>433</v>
      </c>
      <c r="G112" s="652">
        <f>'far 1 a(for internal use only)'!G111</f>
        <v>0</v>
      </c>
      <c r="H112" s="652">
        <f>'far 1 a(for internal use only)'!H111</f>
        <v>0</v>
      </c>
      <c r="I112" s="660">
        <f t="shared" si="153"/>
        <v>0</v>
      </c>
      <c r="J112" s="660">
        <f t="shared" si="154"/>
        <v>0</v>
      </c>
      <c r="K112" s="652">
        <f>'far 1 a(for internal use only)'!K111</f>
        <v>0</v>
      </c>
      <c r="L112" s="652">
        <f>'far 1 a(for internal use only)'!L111</f>
        <v>0</v>
      </c>
      <c r="M112" s="652">
        <f>'far 1 a(for internal use only)'!M111</f>
        <v>0</v>
      </c>
      <c r="N112" s="661">
        <f t="shared" si="155"/>
        <v>0</v>
      </c>
      <c r="O112" s="652">
        <f>'far 1 a(for internal use only)'!O111</f>
        <v>0</v>
      </c>
      <c r="P112" s="652">
        <f>'far 1 a(for internal use only)'!P111</f>
        <v>0</v>
      </c>
      <c r="Q112" s="652">
        <f>'far 1 a(for internal use only)'!Q111</f>
        <v>0</v>
      </c>
      <c r="R112" s="652">
        <f>'far 1 a(for internal use only)'!R111</f>
        <v>0</v>
      </c>
      <c r="S112" s="662">
        <f t="shared" si="156"/>
        <v>0</v>
      </c>
      <c r="T112" s="652">
        <f>'far 1 a(for internal use only)'!T111</f>
        <v>0</v>
      </c>
      <c r="U112" s="652">
        <f>'far 1 a(for internal use only)'!U111</f>
        <v>0</v>
      </c>
      <c r="V112" s="652">
        <f>'far 1 a(for internal use only)'!V111</f>
        <v>0</v>
      </c>
      <c r="W112" s="652">
        <f>'far 1 a(for internal use only)'!W111</f>
        <v>0</v>
      </c>
      <c r="X112" s="662">
        <f t="shared" si="157"/>
        <v>0</v>
      </c>
      <c r="Y112" s="662">
        <f t="shared" si="158"/>
        <v>0</v>
      </c>
      <c r="Z112" s="662">
        <f t="shared" si="159"/>
        <v>0</v>
      </c>
      <c r="AA112" s="684">
        <f>'far 1 a(for internal use only)'!AA111</f>
        <v>0</v>
      </c>
      <c r="AB112" s="663">
        <f t="shared" si="160"/>
        <v>0</v>
      </c>
    </row>
    <row r="113" spans="1:28" s="90" customFormat="1" ht="14.1" hidden="1" customHeight="1" x14ac:dyDescent="0.2">
      <c r="A113" s="301"/>
      <c r="B113" s="350" t="s">
        <v>730</v>
      </c>
      <c r="C113" s="744"/>
      <c r="D113" s="744"/>
      <c r="E113" s="744"/>
      <c r="F113" s="370" t="s">
        <v>733</v>
      </c>
      <c r="G113" s="652">
        <f>'far 1 a(for internal use only)'!G112</f>
        <v>0</v>
      </c>
      <c r="H113" s="652">
        <f>'far 1 a(for internal use only)'!H112</f>
        <v>0</v>
      </c>
      <c r="I113" s="660">
        <f t="shared" si="153"/>
        <v>0</v>
      </c>
      <c r="J113" s="660">
        <f t="shared" si="154"/>
        <v>0</v>
      </c>
      <c r="K113" s="652">
        <f>'far 1 a(for internal use only)'!K112</f>
        <v>0</v>
      </c>
      <c r="L113" s="652">
        <f>'far 1 a(for internal use only)'!L112</f>
        <v>0</v>
      </c>
      <c r="M113" s="652">
        <f>'far 1 a(for internal use only)'!M112</f>
        <v>0</v>
      </c>
      <c r="N113" s="661">
        <f t="shared" si="155"/>
        <v>0</v>
      </c>
      <c r="O113" s="652">
        <f>'far 1 a(for internal use only)'!O112</f>
        <v>0</v>
      </c>
      <c r="P113" s="652">
        <f>'far 1 a(for internal use only)'!P112</f>
        <v>0</v>
      </c>
      <c r="Q113" s="652">
        <f>'far 1 a(for internal use only)'!Q112</f>
        <v>0</v>
      </c>
      <c r="R113" s="652">
        <f>'far 1 a(for internal use only)'!R112</f>
        <v>0</v>
      </c>
      <c r="S113" s="662">
        <f t="shared" si="156"/>
        <v>0</v>
      </c>
      <c r="T113" s="652">
        <f>'far 1 a(for internal use only)'!T112</f>
        <v>0</v>
      </c>
      <c r="U113" s="652">
        <f>'far 1 a(for internal use only)'!U112</f>
        <v>0</v>
      </c>
      <c r="V113" s="652">
        <f>'far 1 a(for internal use only)'!V112</f>
        <v>0</v>
      </c>
      <c r="W113" s="652">
        <f>'far 1 a(for internal use only)'!W112</f>
        <v>0</v>
      </c>
      <c r="X113" s="662">
        <f t="shared" si="157"/>
        <v>0</v>
      </c>
      <c r="Y113" s="662">
        <f t="shared" si="158"/>
        <v>0</v>
      </c>
      <c r="Z113" s="662">
        <f t="shared" si="159"/>
        <v>0</v>
      </c>
      <c r="AA113" s="684">
        <f>'far 1 a(for internal use only)'!AA112</f>
        <v>0</v>
      </c>
      <c r="AB113" s="663">
        <f t="shared" si="160"/>
        <v>0</v>
      </c>
    </row>
    <row r="114" spans="1:28" s="90" customFormat="1" ht="14.1" customHeight="1" x14ac:dyDescent="0.2">
      <c r="A114" s="301"/>
      <c r="B114" s="350" t="s">
        <v>737</v>
      </c>
      <c r="C114" s="744"/>
      <c r="D114" s="744"/>
      <c r="E114" s="744"/>
      <c r="F114" s="370" t="s">
        <v>738</v>
      </c>
      <c r="G114" s="652">
        <f>'far 1 a(for internal use only)'!G113</f>
        <v>23000</v>
      </c>
      <c r="H114" s="652">
        <f>'far 1 a(for internal use only)'!H113</f>
        <v>0</v>
      </c>
      <c r="I114" s="660">
        <f t="shared" ref="I114:I116" si="161">G114+H114</f>
        <v>23000</v>
      </c>
      <c r="J114" s="660">
        <f t="shared" ref="J114:J116" si="162">I114</f>
        <v>23000</v>
      </c>
      <c r="K114" s="652">
        <f>'far 1 a(for internal use only)'!K113</f>
        <v>0</v>
      </c>
      <c r="L114" s="652">
        <f>'far 1 a(for internal use only)'!L113</f>
        <v>0</v>
      </c>
      <c r="M114" s="652">
        <f>'far 1 a(for internal use only)'!M113</f>
        <v>0</v>
      </c>
      <c r="N114" s="661">
        <f t="shared" ref="N114:N116" si="163">J114+K114-L114+M114</f>
        <v>23000</v>
      </c>
      <c r="O114" s="652">
        <f>'far 1 a(for internal use only)'!O113</f>
        <v>3120</v>
      </c>
      <c r="P114" s="652">
        <f>'far 1 a(for internal use only)'!P113</f>
        <v>3360</v>
      </c>
      <c r="Q114" s="652">
        <f>'far 1 a(for internal use only)'!Q113</f>
        <v>0</v>
      </c>
      <c r="R114" s="652">
        <f>'far 1 a(for internal use only)'!R113</f>
        <v>2395</v>
      </c>
      <c r="S114" s="662">
        <f t="shared" ref="S114:S116" si="164">SUM(O114:R114)</f>
        <v>8875</v>
      </c>
      <c r="T114" s="652">
        <f>'far 1 a(for internal use only)'!T113</f>
        <v>3120</v>
      </c>
      <c r="U114" s="652">
        <f>'far 1 a(for internal use only)'!U113</f>
        <v>3360</v>
      </c>
      <c r="V114" s="652">
        <f>'far 1 a(for internal use only)'!V113</f>
        <v>0</v>
      </c>
      <c r="W114" s="652">
        <f>'far 1 a(for internal use only)'!W113</f>
        <v>735</v>
      </c>
      <c r="X114" s="662">
        <f t="shared" ref="X114:X116" si="165">SUM(T114:W114)</f>
        <v>7215</v>
      </c>
      <c r="Y114" s="662">
        <f t="shared" ref="Y114:Y116" si="166">I114-N114</f>
        <v>0</v>
      </c>
      <c r="Z114" s="662">
        <f t="shared" ref="Z114:Z116" si="167">N114-S114</f>
        <v>14125</v>
      </c>
      <c r="AA114" s="684">
        <f>'far 1 a(for internal use only)'!AA113</f>
        <v>0</v>
      </c>
      <c r="AB114" s="663">
        <f t="shared" ref="AB114:AB116" si="168">+S114-X114-AA114</f>
        <v>1660</v>
      </c>
    </row>
    <row r="115" spans="1:28" s="90" customFormat="1" ht="14.1" hidden="1" customHeight="1" x14ac:dyDescent="0.2">
      <c r="A115" s="301"/>
      <c r="B115" s="350" t="s">
        <v>434</v>
      </c>
      <c r="C115" s="718"/>
      <c r="D115" s="718"/>
      <c r="E115" s="718"/>
      <c r="F115" s="370" t="s">
        <v>435</v>
      </c>
      <c r="G115" s="652">
        <f>'far 1 a(for internal use only)'!G114</f>
        <v>0</v>
      </c>
      <c r="H115" s="652">
        <f>'far 1 a(for internal use only)'!H114</f>
        <v>0</v>
      </c>
      <c r="I115" s="660">
        <f t="shared" si="161"/>
        <v>0</v>
      </c>
      <c r="J115" s="660">
        <f t="shared" si="162"/>
        <v>0</v>
      </c>
      <c r="K115" s="652">
        <f>'far 1 a(for internal use only)'!K114</f>
        <v>0</v>
      </c>
      <c r="L115" s="652">
        <f>'far 1 a(for internal use only)'!L114</f>
        <v>0</v>
      </c>
      <c r="M115" s="652">
        <f>'far 1 a(for internal use only)'!M114</f>
        <v>0</v>
      </c>
      <c r="N115" s="661">
        <f t="shared" si="163"/>
        <v>0</v>
      </c>
      <c r="O115" s="652">
        <f>'far 1 a(for internal use only)'!O114</f>
        <v>0</v>
      </c>
      <c r="P115" s="652">
        <f>'far 1 a(for internal use only)'!P114</f>
        <v>0</v>
      </c>
      <c r="Q115" s="652">
        <f>'far 1 a(for internal use only)'!Q114</f>
        <v>0</v>
      </c>
      <c r="R115" s="652">
        <f>'far 1 a(for internal use only)'!R114</f>
        <v>0</v>
      </c>
      <c r="S115" s="662">
        <f t="shared" si="164"/>
        <v>0</v>
      </c>
      <c r="T115" s="652">
        <f>'far 1 a(for internal use only)'!T114</f>
        <v>0</v>
      </c>
      <c r="U115" s="652">
        <f>'far 1 a(for internal use only)'!U114</f>
        <v>0</v>
      </c>
      <c r="V115" s="652">
        <f>'far 1 a(for internal use only)'!V114</f>
        <v>0</v>
      </c>
      <c r="W115" s="652">
        <f>'far 1 a(for internal use only)'!W114</f>
        <v>0</v>
      </c>
      <c r="X115" s="662">
        <f t="shared" si="165"/>
        <v>0</v>
      </c>
      <c r="Y115" s="662">
        <f t="shared" si="166"/>
        <v>0</v>
      </c>
      <c r="Z115" s="662">
        <f t="shared" si="167"/>
        <v>0</v>
      </c>
      <c r="AA115" s="684">
        <f>'far 1 a(for internal use only)'!AA114</f>
        <v>0</v>
      </c>
      <c r="AB115" s="663">
        <f t="shared" si="168"/>
        <v>0</v>
      </c>
    </row>
    <row r="116" spans="1:28" s="90" customFormat="1" ht="14.1" hidden="1" customHeight="1" x14ac:dyDescent="0.2">
      <c r="A116" s="301"/>
      <c r="B116" s="350" t="s">
        <v>732</v>
      </c>
      <c r="C116" s="718"/>
      <c r="D116" s="718"/>
      <c r="E116" s="718"/>
      <c r="F116" s="370" t="s">
        <v>731</v>
      </c>
      <c r="G116" s="652">
        <f>'far 1 a(for internal use only)'!G115</f>
        <v>0</v>
      </c>
      <c r="H116" s="652">
        <f>'far 1 a(for internal use only)'!H115</f>
        <v>0</v>
      </c>
      <c r="I116" s="660">
        <f t="shared" si="161"/>
        <v>0</v>
      </c>
      <c r="J116" s="660">
        <f t="shared" si="162"/>
        <v>0</v>
      </c>
      <c r="K116" s="652">
        <f>'far 1 a(for internal use only)'!K115</f>
        <v>0</v>
      </c>
      <c r="L116" s="652">
        <f>'far 1 a(for internal use only)'!L115</f>
        <v>0</v>
      </c>
      <c r="M116" s="652">
        <f>'far 1 a(for internal use only)'!M115</f>
        <v>0</v>
      </c>
      <c r="N116" s="661">
        <f t="shared" si="163"/>
        <v>0</v>
      </c>
      <c r="O116" s="652">
        <f>'far 1 a(for internal use only)'!O115</f>
        <v>0</v>
      </c>
      <c r="P116" s="652">
        <f>'far 1 a(for internal use only)'!P115</f>
        <v>0</v>
      </c>
      <c r="Q116" s="652">
        <f>'far 1 a(for internal use only)'!Q115</f>
        <v>0</v>
      </c>
      <c r="R116" s="652">
        <f>'far 1 a(for internal use only)'!R115</f>
        <v>0</v>
      </c>
      <c r="S116" s="662">
        <f t="shared" si="164"/>
        <v>0</v>
      </c>
      <c r="T116" s="652">
        <f>'far 1 a(for internal use only)'!T115</f>
        <v>0</v>
      </c>
      <c r="U116" s="652">
        <f>'far 1 a(for internal use only)'!U115</f>
        <v>0</v>
      </c>
      <c r="V116" s="652">
        <f>'far 1 a(for internal use only)'!V115</f>
        <v>0</v>
      </c>
      <c r="W116" s="652">
        <f>'far 1 a(for internal use only)'!W115</f>
        <v>0</v>
      </c>
      <c r="X116" s="662">
        <f t="shared" si="165"/>
        <v>0</v>
      </c>
      <c r="Y116" s="662">
        <f t="shared" si="166"/>
        <v>0</v>
      </c>
      <c r="Z116" s="662">
        <f t="shared" si="167"/>
        <v>0</v>
      </c>
      <c r="AA116" s="684">
        <f>'far 1 a(for internal use only)'!AA115</f>
        <v>0</v>
      </c>
      <c r="AB116" s="663">
        <f t="shared" si="168"/>
        <v>0</v>
      </c>
    </row>
    <row r="117" spans="1:28" s="90" customFormat="1" ht="14.1" customHeight="1" x14ac:dyDescent="0.2">
      <c r="A117" s="301"/>
      <c r="B117" s="15"/>
      <c r="C117" s="608"/>
      <c r="D117" s="608"/>
      <c r="E117" s="608"/>
      <c r="F117" s="370"/>
      <c r="G117" s="664"/>
      <c r="H117" s="664"/>
      <c r="I117" s="664"/>
      <c r="J117" s="664"/>
      <c r="K117" s="664"/>
      <c r="L117" s="664"/>
      <c r="M117" s="664"/>
      <c r="N117" s="665"/>
      <c r="O117" s="664"/>
      <c r="P117" s="664"/>
      <c r="Q117" s="664"/>
      <c r="R117" s="664"/>
      <c r="S117" s="666"/>
      <c r="T117" s="664"/>
      <c r="U117" s="664"/>
      <c r="V117" s="664"/>
      <c r="W117" s="664"/>
      <c r="X117" s="666"/>
      <c r="Y117" s="666"/>
      <c r="Z117" s="666"/>
      <c r="AA117" s="666"/>
      <c r="AB117" s="667"/>
    </row>
    <row r="118" spans="1:28" s="669" customFormat="1" ht="14.1" customHeight="1" x14ac:dyDescent="0.2">
      <c r="A118" s="356"/>
      <c r="B118" s="357" t="s">
        <v>436</v>
      </c>
      <c r="C118" s="358"/>
      <c r="D118" s="358"/>
      <c r="E118" s="358"/>
      <c r="F118" s="668"/>
      <c r="G118" s="654">
        <f>SUM(G121:G145)</f>
        <v>1400000</v>
      </c>
      <c r="H118" s="656">
        <f t="shared" ref="H118:AB118" si="169">SUM(H121:H145)</f>
        <v>0</v>
      </c>
      <c r="I118" s="654">
        <f t="shared" si="169"/>
        <v>1400000</v>
      </c>
      <c r="J118" s="654">
        <f t="shared" si="169"/>
        <v>1400000</v>
      </c>
      <c r="K118" s="656">
        <f t="shared" si="169"/>
        <v>0</v>
      </c>
      <c r="L118" s="656">
        <f t="shared" si="169"/>
        <v>0</v>
      </c>
      <c r="M118" s="656">
        <f t="shared" si="169"/>
        <v>190000</v>
      </c>
      <c r="N118" s="655">
        <f t="shared" si="169"/>
        <v>1590000</v>
      </c>
      <c r="O118" s="656">
        <f t="shared" si="169"/>
        <v>0</v>
      </c>
      <c r="P118" s="656">
        <f t="shared" si="169"/>
        <v>0</v>
      </c>
      <c r="Q118" s="656">
        <f t="shared" si="169"/>
        <v>1532049.84</v>
      </c>
      <c r="R118" s="656">
        <f t="shared" si="169"/>
        <v>0</v>
      </c>
      <c r="S118" s="654">
        <f t="shared" si="169"/>
        <v>1532049.84</v>
      </c>
      <c r="T118" s="656">
        <f t="shared" si="169"/>
        <v>0</v>
      </c>
      <c r="U118" s="656">
        <f t="shared" si="169"/>
        <v>0</v>
      </c>
      <c r="V118" s="656">
        <f t="shared" si="169"/>
        <v>1532049.84</v>
      </c>
      <c r="W118" s="656">
        <f t="shared" si="169"/>
        <v>0</v>
      </c>
      <c r="X118" s="654">
        <f t="shared" si="169"/>
        <v>1532049.84</v>
      </c>
      <c r="Y118" s="654">
        <f t="shared" si="169"/>
        <v>-190000</v>
      </c>
      <c r="Z118" s="654">
        <f t="shared" si="169"/>
        <v>57950.16</v>
      </c>
      <c r="AA118" s="657">
        <f t="shared" ref="AA118" si="170">SUM(AA121:AA145)</f>
        <v>0</v>
      </c>
      <c r="AB118" s="719">
        <f t="shared" si="169"/>
        <v>0</v>
      </c>
    </row>
    <row r="119" spans="1:28" s="90" customFormat="1" ht="14.1" customHeight="1" x14ac:dyDescent="0.2">
      <c r="A119" s="301"/>
      <c r="B119" s="347" t="s">
        <v>437</v>
      </c>
      <c r="C119" s="608"/>
      <c r="D119" s="608"/>
      <c r="E119" s="608"/>
      <c r="F119" s="370"/>
      <c r="G119" s="664"/>
      <c r="H119" s="664"/>
      <c r="I119" s="664"/>
      <c r="J119" s="664"/>
      <c r="K119" s="664"/>
      <c r="L119" s="664"/>
      <c r="M119" s="664"/>
      <c r="N119" s="665"/>
      <c r="O119" s="664"/>
      <c r="P119" s="664"/>
      <c r="Q119" s="664"/>
      <c r="R119" s="664"/>
      <c r="S119" s="666"/>
      <c r="T119" s="664"/>
      <c r="U119" s="664"/>
      <c r="V119" s="664"/>
      <c r="W119" s="664"/>
      <c r="X119" s="666"/>
      <c r="Y119" s="666"/>
      <c r="Z119" s="666"/>
      <c r="AA119" s="666"/>
      <c r="AB119" s="667"/>
    </row>
    <row r="120" spans="1:28" s="90" customFormat="1" ht="14.1" hidden="1" customHeight="1" x14ac:dyDescent="0.2">
      <c r="A120" s="301"/>
      <c r="B120" s="348" t="s">
        <v>438</v>
      </c>
      <c r="C120" s="608"/>
      <c r="D120" s="608"/>
      <c r="E120" s="608"/>
      <c r="F120" s="370"/>
      <c r="G120" s="664"/>
      <c r="H120" s="664"/>
      <c r="I120" s="664"/>
      <c r="J120" s="664"/>
      <c r="K120" s="664"/>
      <c r="L120" s="664"/>
      <c r="M120" s="664"/>
      <c r="N120" s="665"/>
      <c r="O120" s="664"/>
      <c r="P120" s="664"/>
      <c r="Q120" s="664"/>
      <c r="R120" s="664"/>
      <c r="S120" s="666"/>
      <c r="T120" s="664"/>
      <c r="U120" s="664"/>
      <c r="V120" s="664"/>
      <c r="W120" s="664"/>
      <c r="X120" s="666"/>
      <c r="Y120" s="666"/>
      <c r="Z120" s="666"/>
      <c r="AA120" s="666"/>
      <c r="AB120" s="667"/>
    </row>
    <row r="121" spans="1:28" s="90" customFormat="1" ht="14.1" hidden="1" customHeight="1" x14ac:dyDescent="0.2">
      <c r="A121" s="301"/>
      <c r="B121" s="349" t="s">
        <v>439</v>
      </c>
      <c r="C121" s="608"/>
      <c r="D121" s="608"/>
      <c r="E121" s="608"/>
      <c r="F121" s="370" t="s">
        <v>440</v>
      </c>
      <c r="G121" s="652">
        <f>'far 1 a(for internal use only)'!G120</f>
        <v>0</v>
      </c>
      <c r="H121" s="652">
        <f>'far 1 a(for internal use only)'!H120</f>
        <v>0</v>
      </c>
      <c r="I121" s="660">
        <f t="shared" ref="I121:I122" si="171">G121+H121</f>
        <v>0</v>
      </c>
      <c r="J121" s="660">
        <f t="shared" ref="J121:J122" si="172">I121</f>
        <v>0</v>
      </c>
      <c r="K121" s="652">
        <f>'far 1 a(for internal use only)'!K120</f>
        <v>0</v>
      </c>
      <c r="L121" s="652">
        <f>'far 1 a(for internal use only)'!L120</f>
        <v>0</v>
      </c>
      <c r="M121" s="652">
        <f>'far 1 a(for internal use only)'!M120</f>
        <v>0</v>
      </c>
      <c r="N121" s="661">
        <f t="shared" ref="N121:N122" si="173">J121+K121-L121+M121</f>
        <v>0</v>
      </c>
      <c r="O121" s="652">
        <f>'far 1 a(for internal use only)'!O120</f>
        <v>0</v>
      </c>
      <c r="P121" s="652">
        <f>'far 1 a(for internal use only)'!P120</f>
        <v>0</v>
      </c>
      <c r="Q121" s="652">
        <f>'far 1 a(for internal use only)'!Q120</f>
        <v>0</v>
      </c>
      <c r="R121" s="652">
        <f>'far 1 a(for internal use only)'!R120</f>
        <v>0</v>
      </c>
      <c r="S121" s="662">
        <f t="shared" ref="S121:S122" si="174">SUM(O121:R121)</f>
        <v>0</v>
      </c>
      <c r="T121" s="652">
        <f>'far 1 a(for internal use only)'!T120</f>
        <v>0</v>
      </c>
      <c r="U121" s="652">
        <f>'far 1 a(for internal use only)'!U120</f>
        <v>0</v>
      </c>
      <c r="V121" s="652">
        <f>'far 1 a(for internal use only)'!V120</f>
        <v>0</v>
      </c>
      <c r="W121" s="652">
        <f>'far 1 a(for internal use only)'!W120</f>
        <v>0</v>
      </c>
      <c r="X121" s="662">
        <f t="shared" ref="X121:X122" si="175">SUM(T121:W121)</f>
        <v>0</v>
      </c>
      <c r="Y121" s="662">
        <f t="shared" ref="Y121:Y122" si="176">I121-N121</f>
        <v>0</v>
      </c>
      <c r="Z121" s="662">
        <f t="shared" ref="Z121:Z122" si="177">N121-S121</f>
        <v>0</v>
      </c>
      <c r="AA121" s="684">
        <f>'far 1 a(for internal use only)'!AA120</f>
        <v>0</v>
      </c>
      <c r="AB121" s="663">
        <f t="shared" ref="AB121:AB122" si="178">+S121-X121-AA121</f>
        <v>0</v>
      </c>
    </row>
    <row r="122" spans="1:28" s="90" customFormat="1" ht="14.1" hidden="1" customHeight="1" x14ac:dyDescent="0.2">
      <c r="A122" s="301"/>
      <c r="B122" s="349" t="s">
        <v>441</v>
      </c>
      <c r="C122" s="608"/>
      <c r="D122" s="608"/>
      <c r="E122" s="608"/>
      <c r="F122" s="370" t="s">
        <v>442</v>
      </c>
      <c r="G122" s="652">
        <f>'far 1 a(for internal use only)'!G121</f>
        <v>0</v>
      </c>
      <c r="H122" s="652">
        <f>'far 1 a(for internal use only)'!H121</f>
        <v>0</v>
      </c>
      <c r="I122" s="660">
        <f t="shared" si="171"/>
        <v>0</v>
      </c>
      <c r="J122" s="660">
        <f t="shared" si="172"/>
        <v>0</v>
      </c>
      <c r="K122" s="652">
        <f>'far 1 a(for internal use only)'!K121</f>
        <v>0</v>
      </c>
      <c r="L122" s="652">
        <f>'far 1 a(for internal use only)'!L121</f>
        <v>0</v>
      </c>
      <c r="M122" s="652">
        <f>'far 1 a(for internal use only)'!M121</f>
        <v>0</v>
      </c>
      <c r="N122" s="661">
        <f t="shared" si="173"/>
        <v>0</v>
      </c>
      <c r="O122" s="652">
        <f>'far 1 a(for internal use only)'!O121</f>
        <v>0</v>
      </c>
      <c r="P122" s="652">
        <f>'far 1 a(for internal use only)'!P121</f>
        <v>0</v>
      </c>
      <c r="Q122" s="652">
        <f>'far 1 a(for internal use only)'!Q121</f>
        <v>0</v>
      </c>
      <c r="R122" s="652">
        <f>'far 1 a(for internal use only)'!R121</f>
        <v>0</v>
      </c>
      <c r="S122" s="662">
        <f t="shared" si="174"/>
        <v>0</v>
      </c>
      <c r="T122" s="652">
        <f>'far 1 a(for internal use only)'!T121</f>
        <v>0</v>
      </c>
      <c r="U122" s="652">
        <f>'far 1 a(for internal use only)'!U121</f>
        <v>0</v>
      </c>
      <c r="V122" s="652">
        <f>'far 1 a(for internal use only)'!V121</f>
        <v>0</v>
      </c>
      <c r="W122" s="652">
        <f>'far 1 a(for internal use only)'!W121</f>
        <v>0</v>
      </c>
      <c r="X122" s="662">
        <f t="shared" si="175"/>
        <v>0</v>
      </c>
      <c r="Y122" s="662">
        <f t="shared" si="176"/>
        <v>0</v>
      </c>
      <c r="Z122" s="662">
        <f t="shared" si="177"/>
        <v>0</v>
      </c>
      <c r="AA122" s="684">
        <f>'far 1 a(for internal use only)'!AA121</f>
        <v>0</v>
      </c>
      <c r="AB122" s="663">
        <f t="shared" si="178"/>
        <v>0</v>
      </c>
    </row>
    <row r="123" spans="1:28" s="90" customFormat="1" ht="14.1" hidden="1" customHeight="1" x14ac:dyDescent="0.2">
      <c r="A123" s="301"/>
      <c r="B123" s="348" t="s">
        <v>443</v>
      </c>
      <c r="C123" s="608"/>
      <c r="D123" s="608"/>
      <c r="E123" s="608"/>
      <c r="F123" s="370"/>
      <c r="G123" s="664"/>
      <c r="H123" s="652"/>
      <c r="I123" s="664"/>
      <c r="J123" s="664"/>
      <c r="K123" s="652"/>
      <c r="L123" s="652"/>
      <c r="M123" s="652"/>
      <c r="N123" s="665"/>
      <c r="O123" s="652"/>
      <c r="P123" s="652"/>
      <c r="Q123" s="652"/>
      <c r="R123" s="652"/>
      <c r="S123" s="666"/>
      <c r="T123" s="652"/>
      <c r="U123" s="652"/>
      <c r="V123" s="652"/>
      <c r="W123" s="652"/>
      <c r="X123" s="666"/>
      <c r="Y123" s="666"/>
      <c r="Z123" s="666"/>
      <c r="AA123" s="684"/>
      <c r="AB123" s="667"/>
    </row>
    <row r="124" spans="1:28" s="90" customFormat="1" ht="14.1" hidden="1" customHeight="1" x14ac:dyDescent="0.2">
      <c r="A124" s="301"/>
      <c r="B124" s="349" t="s">
        <v>444</v>
      </c>
      <c r="C124" s="608"/>
      <c r="D124" s="608"/>
      <c r="E124" s="608"/>
      <c r="F124" s="370" t="s">
        <v>445</v>
      </c>
      <c r="G124" s="652">
        <f>'far 1 a(for internal use only)'!G123</f>
        <v>0</v>
      </c>
      <c r="H124" s="652">
        <f>'far 1 a(for internal use only)'!H123</f>
        <v>0</v>
      </c>
      <c r="I124" s="660">
        <f t="shared" ref="I124:I126" si="179">G124+H124</f>
        <v>0</v>
      </c>
      <c r="J124" s="660">
        <f t="shared" ref="J124:J126" si="180">I124</f>
        <v>0</v>
      </c>
      <c r="K124" s="652">
        <f>'far 1 a(for internal use only)'!K123</f>
        <v>0</v>
      </c>
      <c r="L124" s="652">
        <f>'far 1 a(for internal use only)'!L123</f>
        <v>0</v>
      </c>
      <c r="M124" s="652">
        <f>'far 1 a(for internal use only)'!M123</f>
        <v>0</v>
      </c>
      <c r="N124" s="661">
        <f t="shared" ref="N124:N126" si="181">J124+K124-L124+M124</f>
        <v>0</v>
      </c>
      <c r="O124" s="652">
        <f>'far 1 a(for internal use only)'!O123</f>
        <v>0</v>
      </c>
      <c r="P124" s="652">
        <f>'far 1 a(for internal use only)'!P123</f>
        <v>0</v>
      </c>
      <c r="Q124" s="652">
        <f>'far 1 a(for internal use only)'!Q123</f>
        <v>0</v>
      </c>
      <c r="R124" s="652">
        <f>'far 1 a(for internal use only)'!R123</f>
        <v>0</v>
      </c>
      <c r="S124" s="662">
        <f t="shared" ref="S124:S126" si="182">SUM(O124:R124)</f>
        <v>0</v>
      </c>
      <c r="T124" s="652">
        <f>'far 1 a(for internal use only)'!T123</f>
        <v>0</v>
      </c>
      <c r="U124" s="652">
        <f>'far 1 a(for internal use only)'!U123</f>
        <v>0</v>
      </c>
      <c r="V124" s="652">
        <f>'far 1 a(for internal use only)'!V123</f>
        <v>0</v>
      </c>
      <c r="W124" s="652">
        <f>'far 1 a(for internal use only)'!W123</f>
        <v>0</v>
      </c>
      <c r="X124" s="662">
        <f t="shared" ref="X124:X126" si="183">SUM(T124:W124)</f>
        <v>0</v>
      </c>
      <c r="Y124" s="662">
        <f t="shared" ref="Y124:Y126" si="184">I124-N124</f>
        <v>0</v>
      </c>
      <c r="Z124" s="662">
        <f t="shared" ref="Z124:Z126" si="185">N124-S124</f>
        <v>0</v>
      </c>
      <c r="AA124" s="684">
        <f>'far 1 a(for internal use only)'!AA123</f>
        <v>0</v>
      </c>
      <c r="AB124" s="663">
        <f t="shared" ref="AB124:AB126" si="186">+S124-X124-AA124</f>
        <v>0</v>
      </c>
    </row>
    <row r="125" spans="1:28" s="90" customFormat="1" ht="14.1" hidden="1" customHeight="1" x14ac:dyDescent="0.2">
      <c r="A125" s="301"/>
      <c r="B125" s="349" t="s">
        <v>446</v>
      </c>
      <c r="C125" s="608"/>
      <c r="D125" s="608"/>
      <c r="E125" s="608"/>
      <c r="F125" s="370" t="s">
        <v>447</v>
      </c>
      <c r="G125" s="652">
        <f>'far 1 a(for internal use only)'!G124</f>
        <v>0</v>
      </c>
      <c r="H125" s="652">
        <f>'far 1 a(for internal use only)'!H124</f>
        <v>0</v>
      </c>
      <c r="I125" s="660">
        <f t="shared" si="179"/>
        <v>0</v>
      </c>
      <c r="J125" s="660">
        <f t="shared" si="180"/>
        <v>0</v>
      </c>
      <c r="K125" s="652">
        <f>'far 1 a(for internal use only)'!K124</f>
        <v>0</v>
      </c>
      <c r="L125" s="652">
        <f>'far 1 a(for internal use only)'!L124</f>
        <v>0</v>
      </c>
      <c r="M125" s="652">
        <f>'far 1 a(for internal use only)'!M124</f>
        <v>0</v>
      </c>
      <c r="N125" s="661">
        <f t="shared" si="181"/>
        <v>0</v>
      </c>
      <c r="O125" s="652">
        <f>'far 1 a(for internal use only)'!O124</f>
        <v>0</v>
      </c>
      <c r="P125" s="652">
        <f>'far 1 a(for internal use only)'!P124</f>
        <v>0</v>
      </c>
      <c r="Q125" s="652">
        <f>'far 1 a(for internal use only)'!Q124</f>
        <v>0</v>
      </c>
      <c r="R125" s="652">
        <f>'far 1 a(for internal use only)'!R124</f>
        <v>0</v>
      </c>
      <c r="S125" s="662">
        <f t="shared" si="182"/>
        <v>0</v>
      </c>
      <c r="T125" s="652">
        <f>'far 1 a(for internal use only)'!T124</f>
        <v>0</v>
      </c>
      <c r="U125" s="652">
        <f>'far 1 a(for internal use only)'!U124</f>
        <v>0</v>
      </c>
      <c r="V125" s="652">
        <f>'far 1 a(for internal use only)'!V124</f>
        <v>0</v>
      </c>
      <c r="W125" s="652">
        <f>'far 1 a(for internal use only)'!W124</f>
        <v>0</v>
      </c>
      <c r="X125" s="662">
        <f t="shared" si="183"/>
        <v>0</v>
      </c>
      <c r="Y125" s="662">
        <f t="shared" si="184"/>
        <v>0</v>
      </c>
      <c r="Z125" s="662">
        <f t="shared" si="185"/>
        <v>0</v>
      </c>
      <c r="AA125" s="684">
        <f>'far 1 a(for internal use only)'!AA124</f>
        <v>0</v>
      </c>
      <c r="AB125" s="663">
        <f t="shared" si="186"/>
        <v>0</v>
      </c>
    </row>
    <row r="126" spans="1:28" s="90" customFormat="1" ht="14.1" hidden="1" customHeight="1" x14ac:dyDescent="0.2">
      <c r="A126" s="301"/>
      <c r="B126" s="349" t="s">
        <v>448</v>
      </c>
      <c r="C126" s="608"/>
      <c r="D126" s="608"/>
      <c r="E126" s="608"/>
      <c r="F126" s="370" t="s">
        <v>449</v>
      </c>
      <c r="G126" s="652">
        <f>'far 1 a(for internal use only)'!G125</f>
        <v>0</v>
      </c>
      <c r="H126" s="652">
        <f>'far 1 a(for internal use only)'!H125</f>
        <v>0</v>
      </c>
      <c r="I126" s="660">
        <f t="shared" si="179"/>
        <v>0</v>
      </c>
      <c r="J126" s="660">
        <f t="shared" si="180"/>
        <v>0</v>
      </c>
      <c r="K126" s="652">
        <f>'far 1 a(for internal use only)'!K125</f>
        <v>0</v>
      </c>
      <c r="L126" s="652">
        <f>'far 1 a(for internal use only)'!L125</f>
        <v>0</v>
      </c>
      <c r="M126" s="652">
        <f>'far 1 a(for internal use only)'!M125</f>
        <v>0</v>
      </c>
      <c r="N126" s="661">
        <f t="shared" si="181"/>
        <v>0</v>
      </c>
      <c r="O126" s="652">
        <f>'far 1 a(for internal use only)'!O125</f>
        <v>0</v>
      </c>
      <c r="P126" s="652">
        <f>'far 1 a(for internal use only)'!P125</f>
        <v>0</v>
      </c>
      <c r="Q126" s="652">
        <f>'far 1 a(for internal use only)'!Q125</f>
        <v>0</v>
      </c>
      <c r="R126" s="652">
        <f>'far 1 a(for internal use only)'!R125</f>
        <v>0</v>
      </c>
      <c r="S126" s="662">
        <f t="shared" si="182"/>
        <v>0</v>
      </c>
      <c r="T126" s="652">
        <f>'far 1 a(for internal use only)'!T125</f>
        <v>0</v>
      </c>
      <c r="U126" s="652">
        <f>'far 1 a(for internal use only)'!U125</f>
        <v>0</v>
      </c>
      <c r="V126" s="652">
        <f>'far 1 a(for internal use only)'!V125</f>
        <v>0</v>
      </c>
      <c r="W126" s="652">
        <f>'far 1 a(for internal use only)'!W125</f>
        <v>0</v>
      </c>
      <c r="X126" s="662">
        <f t="shared" si="183"/>
        <v>0</v>
      </c>
      <c r="Y126" s="662">
        <f t="shared" si="184"/>
        <v>0</v>
      </c>
      <c r="Z126" s="662">
        <f t="shared" si="185"/>
        <v>0</v>
      </c>
      <c r="AA126" s="684">
        <f>'far 1 a(for internal use only)'!AA125</f>
        <v>0</v>
      </c>
      <c r="AB126" s="663">
        <f t="shared" si="186"/>
        <v>0</v>
      </c>
    </row>
    <row r="127" spans="1:28" s="90" customFormat="1" ht="14.1" hidden="1" customHeight="1" x14ac:dyDescent="0.2">
      <c r="A127" s="301"/>
      <c r="B127" s="348" t="s">
        <v>450</v>
      </c>
      <c r="C127" s="608"/>
      <c r="D127" s="608"/>
      <c r="E127" s="608"/>
      <c r="F127" s="370"/>
      <c r="G127" s="664"/>
      <c r="H127" s="652"/>
      <c r="I127" s="664"/>
      <c r="J127" s="664"/>
      <c r="K127" s="652"/>
      <c r="L127" s="652"/>
      <c r="M127" s="652"/>
      <c r="N127" s="665"/>
      <c r="O127" s="652"/>
      <c r="P127" s="652"/>
      <c r="Q127" s="652"/>
      <c r="R127" s="652"/>
      <c r="S127" s="666"/>
      <c r="T127" s="652"/>
      <c r="U127" s="652"/>
      <c r="V127" s="652"/>
      <c r="W127" s="652"/>
      <c r="X127" s="666"/>
      <c r="Y127" s="666"/>
      <c r="Z127" s="666"/>
      <c r="AA127" s="684"/>
      <c r="AB127" s="667"/>
    </row>
    <row r="128" spans="1:28" s="90" customFormat="1" ht="14.1" hidden="1" customHeight="1" x14ac:dyDescent="0.2">
      <c r="A128" s="301"/>
      <c r="B128" s="349" t="s">
        <v>451</v>
      </c>
      <c r="C128" s="608"/>
      <c r="D128" s="608"/>
      <c r="E128" s="608"/>
      <c r="F128" s="370" t="s">
        <v>452</v>
      </c>
      <c r="G128" s="652">
        <f>'far 1 a(for internal use only)'!G127</f>
        <v>0</v>
      </c>
      <c r="H128" s="652">
        <f>'far 1 a(for internal use only)'!H127</f>
        <v>0</v>
      </c>
      <c r="I128" s="660">
        <f t="shared" ref="I128:I134" si="187">G128+H128</f>
        <v>0</v>
      </c>
      <c r="J128" s="660">
        <f t="shared" ref="J128:J134" si="188">I128</f>
        <v>0</v>
      </c>
      <c r="K128" s="652">
        <f>'far 1 a(for internal use only)'!K127</f>
        <v>0</v>
      </c>
      <c r="L128" s="652">
        <f>'far 1 a(for internal use only)'!L127</f>
        <v>0</v>
      </c>
      <c r="M128" s="652">
        <f>'far 1 a(for internal use only)'!M127</f>
        <v>0</v>
      </c>
      <c r="N128" s="661">
        <f t="shared" ref="N128:N134" si="189">J128+K128-L128+M128</f>
        <v>0</v>
      </c>
      <c r="O128" s="652">
        <f>'far 1 a(for internal use only)'!O127</f>
        <v>0</v>
      </c>
      <c r="P128" s="652">
        <f>'far 1 a(for internal use only)'!P127</f>
        <v>0</v>
      </c>
      <c r="Q128" s="652">
        <f>'far 1 a(for internal use only)'!Q127</f>
        <v>0</v>
      </c>
      <c r="R128" s="652">
        <f>'far 1 a(for internal use only)'!R127</f>
        <v>0</v>
      </c>
      <c r="S128" s="662">
        <f t="shared" ref="S128:S134" si="190">SUM(O128:R128)</f>
        <v>0</v>
      </c>
      <c r="T128" s="652">
        <f>'far 1 a(for internal use only)'!T127</f>
        <v>0</v>
      </c>
      <c r="U128" s="652">
        <f>'far 1 a(for internal use only)'!U127</f>
        <v>0</v>
      </c>
      <c r="V128" s="652">
        <f>'far 1 a(for internal use only)'!V127</f>
        <v>0</v>
      </c>
      <c r="W128" s="652">
        <f>'far 1 a(for internal use only)'!W127</f>
        <v>0</v>
      </c>
      <c r="X128" s="662">
        <f t="shared" ref="X128:X134" si="191">SUM(T128:W128)</f>
        <v>0</v>
      </c>
      <c r="Y128" s="662">
        <f t="shared" ref="Y128:Y134" si="192">I128-N128</f>
        <v>0</v>
      </c>
      <c r="Z128" s="662">
        <f t="shared" ref="Z128:Z134" si="193">N128-S128</f>
        <v>0</v>
      </c>
      <c r="AA128" s="684">
        <f>'far 1 a(for internal use only)'!AA127</f>
        <v>0</v>
      </c>
      <c r="AB128" s="663">
        <f t="shared" ref="AB128:AB134" si="194">+S128-X128-AA128</f>
        <v>0</v>
      </c>
    </row>
    <row r="129" spans="1:28" s="90" customFormat="1" ht="14.1" hidden="1" customHeight="1" x14ac:dyDescent="0.2">
      <c r="A129" s="301"/>
      <c r="B129" s="349" t="s">
        <v>453</v>
      </c>
      <c r="C129" s="608"/>
      <c r="D129" s="608"/>
      <c r="E129" s="608"/>
      <c r="F129" s="370" t="s">
        <v>454</v>
      </c>
      <c r="G129" s="652">
        <f>'far 1 a(for internal use only)'!G128</f>
        <v>0</v>
      </c>
      <c r="H129" s="652">
        <f>'far 1 a(for internal use only)'!H128</f>
        <v>0</v>
      </c>
      <c r="I129" s="660">
        <f t="shared" si="187"/>
        <v>0</v>
      </c>
      <c r="J129" s="660">
        <f t="shared" si="188"/>
        <v>0</v>
      </c>
      <c r="K129" s="652">
        <f>'far 1 a(for internal use only)'!K128</f>
        <v>0</v>
      </c>
      <c r="L129" s="652">
        <f>'far 1 a(for internal use only)'!L128</f>
        <v>0</v>
      </c>
      <c r="M129" s="652">
        <f>'far 1 a(for internal use only)'!M128</f>
        <v>0</v>
      </c>
      <c r="N129" s="661">
        <f t="shared" si="189"/>
        <v>0</v>
      </c>
      <c r="O129" s="652">
        <f>'far 1 a(for internal use only)'!O128</f>
        <v>0</v>
      </c>
      <c r="P129" s="652">
        <f>'far 1 a(for internal use only)'!P128</f>
        <v>0</v>
      </c>
      <c r="Q129" s="652">
        <f>'far 1 a(for internal use only)'!Q128</f>
        <v>0</v>
      </c>
      <c r="R129" s="652">
        <f>'far 1 a(for internal use only)'!R128</f>
        <v>0</v>
      </c>
      <c r="S129" s="662">
        <f t="shared" si="190"/>
        <v>0</v>
      </c>
      <c r="T129" s="652">
        <f>'far 1 a(for internal use only)'!T128</f>
        <v>0</v>
      </c>
      <c r="U129" s="652">
        <f>'far 1 a(for internal use only)'!U128</f>
        <v>0</v>
      </c>
      <c r="V129" s="652">
        <f>'far 1 a(for internal use only)'!V128</f>
        <v>0</v>
      </c>
      <c r="W129" s="652">
        <f>'far 1 a(for internal use only)'!W128</f>
        <v>0</v>
      </c>
      <c r="X129" s="662">
        <f t="shared" si="191"/>
        <v>0</v>
      </c>
      <c r="Y129" s="662">
        <f t="shared" si="192"/>
        <v>0</v>
      </c>
      <c r="Z129" s="662">
        <f t="shared" si="193"/>
        <v>0</v>
      </c>
      <c r="AA129" s="684">
        <f>'far 1 a(for internal use only)'!AA128</f>
        <v>0</v>
      </c>
      <c r="AB129" s="663">
        <f t="shared" si="194"/>
        <v>0</v>
      </c>
    </row>
    <row r="130" spans="1:28" s="90" customFormat="1" ht="14.1" hidden="1" customHeight="1" x14ac:dyDescent="0.2">
      <c r="A130" s="301"/>
      <c r="B130" s="349" t="s">
        <v>455</v>
      </c>
      <c r="C130" s="608"/>
      <c r="D130" s="608"/>
      <c r="E130" s="608"/>
      <c r="F130" s="370" t="s">
        <v>456</v>
      </c>
      <c r="G130" s="652">
        <f>'far 1 a(for internal use only)'!G129</f>
        <v>0</v>
      </c>
      <c r="H130" s="652">
        <f>'far 1 a(for internal use only)'!H129</f>
        <v>0</v>
      </c>
      <c r="I130" s="660">
        <f t="shared" si="187"/>
        <v>0</v>
      </c>
      <c r="J130" s="660">
        <f t="shared" si="188"/>
        <v>0</v>
      </c>
      <c r="K130" s="652">
        <f>'far 1 a(for internal use only)'!K129</f>
        <v>0</v>
      </c>
      <c r="L130" s="652">
        <f>'far 1 a(for internal use only)'!L129</f>
        <v>0</v>
      </c>
      <c r="M130" s="652">
        <f>'far 1 a(for internal use only)'!M129</f>
        <v>190000</v>
      </c>
      <c r="N130" s="661">
        <f t="shared" si="189"/>
        <v>190000</v>
      </c>
      <c r="O130" s="652">
        <f>'far 1 a(for internal use only)'!O129</f>
        <v>0</v>
      </c>
      <c r="P130" s="652">
        <f>'far 1 a(for internal use only)'!P129</f>
        <v>0</v>
      </c>
      <c r="Q130" s="652">
        <f>'far 1 a(for internal use only)'!Q129</f>
        <v>132049.84</v>
      </c>
      <c r="R130" s="652">
        <f>'far 1 a(for internal use only)'!R129</f>
        <v>0</v>
      </c>
      <c r="S130" s="662">
        <f t="shared" si="190"/>
        <v>132049.84</v>
      </c>
      <c r="T130" s="652">
        <f>'far 1 a(for internal use only)'!T129</f>
        <v>0</v>
      </c>
      <c r="U130" s="652">
        <f>'far 1 a(for internal use only)'!U129</f>
        <v>0</v>
      </c>
      <c r="V130" s="652">
        <f>'far 1 a(for internal use only)'!V129</f>
        <v>132049.84</v>
      </c>
      <c r="W130" s="652">
        <f>'far 1 a(for internal use only)'!W129</f>
        <v>0</v>
      </c>
      <c r="X130" s="662">
        <f t="shared" si="191"/>
        <v>132049.84</v>
      </c>
      <c r="Y130" s="662">
        <f t="shared" si="192"/>
        <v>-190000</v>
      </c>
      <c r="Z130" s="662">
        <f t="shared" si="193"/>
        <v>57950.16</v>
      </c>
      <c r="AA130" s="684">
        <f>'far 1 a(for internal use only)'!AA129</f>
        <v>0</v>
      </c>
      <c r="AB130" s="663">
        <f t="shared" si="194"/>
        <v>0</v>
      </c>
    </row>
    <row r="131" spans="1:28" s="90" customFormat="1" ht="14.1" hidden="1" customHeight="1" x14ac:dyDescent="0.2">
      <c r="A131" s="301"/>
      <c r="B131" s="349" t="s">
        <v>457</v>
      </c>
      <c r="C131" s="608"/>
      <c r="D131" s="608"/>
      <c r="E131" s="608"/>
      <c r="F131" s="370" t="s">
        <v>458</v>
      </c>
      <c r="G131" s="652">
        <f>'far 1 a(for internal use only)'!G130</f>
        <v>0</v>
      </c>
      <c r="H131" s="652">
        <f>'far 1 a(for internal use only)'!H130</f>
        <v>0</v>
      </c>
      <c r="I131" s="660">
        <f t="shared" si="187"/>
        <v>0</v>
      </c>
      <c r="J131" s="660">
        <f t="shared" si="188"/>
        <v>0</v>
      </c>
      <c r="K131" s="652">
        <f>'far 1 a(for internal use only)'!K130</f>
        <v>0</v>
      </c>
      <c r="L131" s="652">
        <f>'far 1 a(for internal use only)'!L130</f>
        <v>0</v>
      </c>
      <c r="M131" s="652">
        <f>'far 1 a(for internal use only)'!M130</f>
        <v>0</v>
      </c>
      <c r="N131" s="661">
        <f t="shared" si="189"/>
        <v>0</v>
      </c>
      <c r="O131" s="652">
        <f>'far 1 a(for internal use only)'!O130</f>
        <v>0</v>
      </c>
      <c r="P131" s="652">
        <f>'far 1 a(for internal use only)'!P130</f>
        <v>0</v>
      </c>
      <c r="Q131" s="652">
        <f>'far 1 a(for internal use only)'!Q130</f>
        <v>0</v>
      </c>
      <c r="R131" s="652">
        <f>'far 1 a(for internal use only)'!R130</f>
        <v>0</v>
      </c>
      <c r="S131" s="662">
        <f t="shared" si="190"/>
        <v>0</v>
      </c>
      <c r="T131" s="652">
        <f>'far 1 a(for internal use only)'!T130</f>
        <v>0</v>
      </c>
      <c r="U131" s="652">
        <f>'far 1 a(for internal use only)'!U130</f>
        <v>0</v>
      </c>
      <c r="V131" s="652">
        <f>'far 1 a(for internal use only)'!V130</f>
        <v>0</v>
      </c>
      <c r="W131" s="652">
        <f>'far 1 a(for internal use only)'!W130</f>
        <v>0</v>
      </c>
      <c r="X131" s="662">
        <f t="shared" si="191"/>
        <v>0</v>
      </c>
      <c r="Y131" s="662">
        <f t="shared" si="192"/>
        <v>0</v>
      </c>
      <c r="Z131" s="662">
        <f t="shared" si="193"/>
        <v>0</v>
      </c>
      <c r="AA131" s="684">
        <f>'far 1 a(for internal use only)'!AA130</f>
        <v>0</v>
      </c>
      <c r="AB131" s="663">
        <f t="shared" si="194"/>
        <v>0</v>
      </c>
    </row>
    <row r="132" spans="1:28" s="90" customFormat="1" ht="14.1" hidden="1" customHeight="1" x14ac:dyDescent="0.2">
      <c r="A132" s="301"/>
      <c r="B132" s="349" t="s">
        <v>459</v>
      </c>
      <c r="C132" s="608"/>
      <c r="D132" s="608"/>
      <c r="E132" s="608"/>
      <c r="F132" s="370" t="s">
        <v>460</v>
      </c>
      <c r="G132" s="652">
        <f>'far 1 a(for internal use only)'!G131</f>
        <v>0</v>
      </c>
      <c r="H132" s="652">
        <f>'far 1 a(for internal use only)'!H131</f>
        <v>0</v>
      </c>
      <c r="I132" s="660">
        <f t="shared" si="187"/>
        <v>0</v>
      </c>
      <c r="J132" s="660">
        <f t="shared" si="188"/>
        <v>0</v>
      </c>
      <c r="K132" s="652">
        <f>'far 1 a(for internal use only)'!K131</f>
        <v>0</v>
      </c>
      <c r="L132" s="652">
        <f>'far 1 a(for internal use only)'!L131</f>
        <v>0</v>
      </c>
      <c r="M132" s="652">
        <f>'far 1 a(for internal use only)'!M131</f>
        <v>0</v>
      </c>
      <c r="N132" s="661">
        <f t="shared" si="189"/>
        <v>0</v>
      </c>
      <c r="O132" s="652">
        <f>'far 1 a(for internal use only)'!O131</f>
        <v>0</v>
      </c>
      <c r="P132" s="652">
        <f>'far 1 a(for internal use only)'!P131</f>
        <v>0</v>
      </c>
      <c r="Q132" s="652">
        <f>'far 1 a(for internal use only)'!Q131</f>
        <v>0</v>
      </c>
      <c r="R132" s="652">
        <f>'far 1 a(for internal use only)'!R131</f>
        <v>0</v>
      </c>
      <c r="S132" s="662">
        <f t="shared" si="190"/>
        <v>0</v>
      </c>
      <c r="T132" s="652">
        <f>'far 1 a(for internal use only)'!T131</f>
        <v>0</v>
      </c>
      <c r="U132" s="652">
        <f>'far 1 a(for internal use only)'!U131</f>
        <v>0</v>
      </c>
      <c r="V132" s="652">
        <f>'far 1 a(for internal use only)'!V131</f>
        <v>0</v>
      </c>
      <c r="W132" s="652">
        <f>'far 1 a(for internal use only)'!W131</f>
        <v>0</v>
      </c>
      <c r="X132" s="662">
        <f t="shared" si="191"/>
        <v>0</v>
      </c>
      <c r="Y132" s="662">
        <f t="shared" si="192"/>
        <v>0</v>
      </c>
      <c r="Z132" s="662">
        <f t="shared" si="193"/>
        <v>0</v>
      </c>
      <c r="AA132" s="684">
        <f>'far 1 a(for internal use only)'!AA131</f>
        <v>0</v>
      </c>
      <c r="AB132" s="663">
        <f t="shared" si="194"/>
        <v>0</v>
      </c>
    </row>
    <row r="133" spans="1:28" s="90" customFormat="1" ht="14.1" hidden="1" customHeight="1" x14ac:dyDescent="0.2">
      <c r="A133" s="301"/>
      <c r="B133" s="349" t="s">
        <v>461</v>
      </c>
      <c r="C133" s="608"/>
      <c r="D133" s="608"/>
      <c r="E133" s="608"/>
      <c r="F133" s="370" t="s">
        <v>462</v>
      </c>
      <c r="G133" s="652">
        <f>'far 1 a(for internal use only)'!G132</f>
        <v>0</v>
      </c>
      <c r="H133" s="652">
        <f>'far 1 a(for internal use only)'!H132</f>
        <v>0</v>
      </c>
      <c r="I133" s="660">
        <f t="shared" si="187"/>
        <v>0</v>
      </c>
      <c r="J133" s="660">
        <f t="shared" si="188"/>
        <v>0</v>
      </c>
      <c r="K133" s="652">
        <f>'far 1 a(for internal use only)'!K132</f>
        <v>0</v>
      </c>
      <c r="L133" s="652">
        <f>'far 1 a(for internal use only)'!L132</f>
        <v>0</v>
      </c>
      <c r="M133" s="652">
        <f>'far 1 a(for internal use only)'!M132</f>
        <v>0</v>
      </c>
      <c r="N133" s="661">
        <f t="shared" si="189"/>
        <v>0</v>
      </c>
      <c r="O133" s="652">
        <f>'far 1 a(for internal use only)'!O132</f>
        <v>0</v>
      </c>
      <c r="P133" s="652">
        <f>'far 1 a(for internal use only)'!P132</f>
        <v>0</v>
      </c>
      <c r="Q133" s="652">
        <f>'far 1 a(for internal use only)'!Q132</f>
        <v>0</v>
      </c>
      <c r="R133" s="652">
        <f>'far 1 a(for internal use only)'!R132</f>
        <v>0</v>
      </c>
      <c r="S133" s="662">
        <f t="shared" si="190"/>
        <v>0</v>
      </c>
      <c r="T133" s="652">
        <f>'far 1 a(for internal use only)'!T132</f>
        <v>0</v>
      </c>
      <c r="U133" s="652">
        <f>'far 1 a(for internal use only)'!U132</f>
        <v>0</v>
      </c>
      <c r="V133" s="652">
        <f>'far 1 a(for internal use only)'!V132</f>
        <v>0</v>
      </c>
      <c r="W133" s="652">
        <f>'far 1 a(for internal use only)'!W132</f>
        <v>0</v>
      </c>
      <c r="X133" s="662">
        <f t="shared" si="191"/>
        <v>0</v>
      </c>
      <c r="Y133" s="662">
        <f t="shared" si="192"/>
        <v>0</v>
      </c>
      <c r="Z133" s="662">
        <f t="shared" si="193"/>
        <v>0</v>
      </c>
      <c r="AA133" s="684">
        <f>'far 1 a(for internal use only)'!AA132</f>
        <v>0</v>
      </c>
      <c r="AB133" s="663">
        <f t="shared" si="194"/>
        <v>0</v>
      </c>
    </row>
    <row r="134" spans="1:28" s="90" customFormat="1" ht="14.1" hidden="1" customHeight="1" x14ac:dyDescent="0.2">
      <c r="A134" s="301"/>
      <c r="B134" s="349" t="s">
        <v>463</v>
      </c>
      <c r="C134" s="608"/>
      <c r="D134" s="608"/>
      <c r="E134" s="608"/>
      <c r="F134" s="370" t="s">
        <v>464</v>
      </c>
      <c r="G134" s="652">
        <f>'far 1 a(for internal use only)'!G133</f>
        <v>0</v>
      </c>
      <c r="H134" s="652">
        <f>'far 1 a(for internal use only)'!H133</f>
        <v>0</v>
      </c>
      <c r="I134" s="660">
        <f t="shared" si="187"/>
        <v>0</v>
      </c>
      <c r="J134" s="660">
        <f t="shared" si="188"/>
        <v>0</v>
      </c>
      <c r="K134" s="652">
        <f>'far 1 a(for internal use only)'!K133</f>
        <v>0</v>
      </c>
      <c r="L134" s="652">
        <f>'far 1 a(for internal use only)'!L133</f>
        <v>0</v>
      </c>
      <c r="M134" s="652">
        <f>'far 1 a(for internal use only)'!M133</f>
        <v>0</v>
      </c>
      <c r="N134" s="661">
        <f t="shared" si="189"/>
        <v>0</v>
      </c>
      <c r="O134" s="652">
        <f>'far 1 a(for internal use only)'!O133</f>
        <v>0</v>
      </c>
      <c r="P134" s="652">
        <f>'far 1 a(for internal use only)'!P133</f>
        <v>0</v>
      </c>
      <c r="Q134" s="652">
        <f>'far 1 a(for internal use only)'!Q133</f>
        <v>0</v>
      </c>
      <c r="R134" s="652">
        <f>'far 1 a(for internal use only)'!R133</f>
        <v>0</v>
      </c>
      <c r="S134" s="662">
        <f t="shared" si="190"/>
        <v>0</v>
      </c>
      <c r="T134" s="652">
        <f>'far 1 a(for internal use only)'!T133</f>
        <v>0</v>
      </c>
      <c r="U134" s="652">
        <f>'far 1 a(for internal use only)'!U133</f>
        <v>0</v>
      </c>
      <c r="V134" s="652">
        <f>'far 1 a(for internal use only)'!V133</f>
        <v>0</v>
      </c>
      <c r="W134" s="652">
        <f>'far 1 a(for internal use only)'!W133</f>
        <v>0</v>
      </c>
      <c r="X134" s="662">
        <f t="shared" si="191"/>
        <v>0</v>
      </c>
      <c r="Y134" s="662">
        <f t="shared" si="192"/>
        <v>0</v>
      </c>
      <c r="Z134" s="662">
        <f t="shared" si="193"/>
        <v>0</v>
      </c>
      <c r="AA134" s="684">
        <f>'far 1 a(for internal use only)'!AA133</f>
        <v>0</v>
      </c>
      <c r="AB134" s="663">
        <f t="shared" si="194"/>
        <v>0</v>
      </c>
    </row>
    <row r="135" spans="1:28" s="90" customFormat="1" ht="14.1" customHeight="1" x14ac:dyDescent="0.2">
      <c r="A135" s="301"/>
      <c r="B135" s="348" t="s">
        <v>465</v>
      </c>
      <c r="C135" s="608"/>
      <c r="D135" s="608"/>
      <c r="E135" s="608"/>
      <c r="F135" s="370"/>
      <c r="G135" s="664"/>
      <c r="H135" s="652"/>
      <c r="I135" s="664"/>
      <c r="J135" s="664"/>
      <c r="K135" s="652"/>
      <c r="L135" s="652"/>
      <c r="M135" s="652"/>
      <c r="N135" s="665"/>
      <c r="O135" s="652"/>
      <c r="P135" s="652"/>
      <c r="Q135" s="652"/>
      <c r="R135" s="652"/>
      <c r="S135" s="666"/>
      <c r="T135" s="652"/>
      <c r="U135" s="652"/>
      <c r="V135" s="652"/>
      <c r="W135" s="652"/>
      <c r="X135" s="666"/>
      <c r="Y135" s="666"/>
      <c r="Z135" s="666"/>
      <c r="AA135" s="684"/>
      <c r="AB135" s="667"/>
    </row>
    <row r="136" spans="1:28" s="90" customFormat="1" ht="14.1" customHeight="1" x14ac:dyDescent="0.2">
      <c r="A136" s="301"/>
      <c r="B136" s="349" t="s">
        <v>466</v>
      </c>
      <c r="C136" s="608"/>
      <c r="D136" s="608"/>
      <c r="E136" s="608"/>
      <c r="F136" s="370" t="s">
        <v>467</v>
      </c>
      <c r="G136" s="652">
        <f>'far 1 a(for internal use only)'!G135</f>
        <v>1400000</v>
      </c>
      <c r="H136" s="652">
        <f>'far 1 a(for internal use only)'!H135</f>
        <v>0</v>
      </c>
      <c r="I136" s="660">
        <f t="shared" ref="I136:I138" si="195">G136+H136</f>
        <v>1400000</v>
      </c>
      <c r="J136" s="660">
        <f t="shared" ref="J136:J138" si="196">I136</f>
        <v>1400000</v>
      </c>
      <c r="K136" s="652">
        <f>'far 1 a(for internal use only)'!K135</f>
        <v>0</v>
      </c>
      <c r="L136" s="652">
        <f>'far 1 a(for internal use only)'!L135</f>
        <v>0</v>
      </c>
      <c r="M136" s="652">
        <f>'far 1 a(for internal use only)'!M135</f>
        <v>0</v>
      </c>
      <c r="N136" s="661">
        <f t="shared" ref="N136:N138" si="197">J136+K136-L136+M136</f>
        <v>1400000</v>
      </c>
      <c r="O136" s="652">
        <f>'far 1 a(for internal use only)'!O135</f>
        <v>0</v>
      </c>
      <c r="P136" s="652">
        <f>'far 1 a(for internal use only)'!P135</f>
        <v>0</v>
      </c>
      <c r="Q136" s="652">
        <f>'far 1 a(for internal use only)'!Q135</f>
        <v>1400000</v>
      </c>
      <c r="R136" s="652">
        <f>'far 1 a(for internal use only)'!R135</f>
        <v>0</v>
      </c>
      <c r="S136" s="662">
        <f t="shared" ref="S136:S138" si="198">SUM(O136:R136)</f>
        <v>1400000</v>
      </c>
      <c r="T136" s="652">
        <f>'far 1 a(for internal use only)'!T135</f>
        <v>0</v>
      </c>
      <c r="U136" s="652">
        <f>'far 1 a(for internal use only)'!U135</f>
        <v>0</v>
      </c>
      <c r="V136" s="652">
        <f>'far 1 a(for internal use only)'!V135</f>
        <v>1400000</v>
      </c>
      <c r="W136" s="652">
        <f>'far 1 a(for internal use only)'!W135</f>
        <v>0</v>
      </c>
      <c r="X136" s="662">
        <f t="shared" ref="X136:X138" si="199">SUM(T136:W136)</f>
        <v>1400000</v>
      </c>
      <c r="Y136" s="662">
        <f t="shared" ref="Y136:Y138" si="200">I136-N136</f>
        <v>0</v>
      </c>
      <c r="Z136" s="662">
        <f t="shared" ref="Z136:Z138" si="201">N136-S136</f>
        <v>0</v>
      </c>
      <c r="AA136" s="684">
        <f>'far 1 a(for internal use only)'!AA135</f>
        <v>0</v>
      </c>
      <c r="AB136" s="663">
        <f t="shared" ref="AB136:AB138" si="202">+S136-X136-AA136</f>
        <v>0</v>
      </c>
    </row>
    <row r="137" spans="1:28" s="90" customFormat="1" ht="14.1" hidden="1" customHeight="1" x14ac:dyDescent="0.2">
      <c r="A137" s="301"/>
      <c r="B137" s="349" t="s">
        <v>468</v>
      </c>
      <c r="C137" s="608"/>
      <c r="D137" s="608"/>
      <c r="E137" s="608"/>
      <c r="F137" s="370" t="s">
        <v>469</v>
      </c>
      <c r="G137" s="652">
        <f>'far 1 a(for internal use only)'!G136</f>
        <v>0</v>
      </c>
      <c r="H137" s="652">
        <f>'far 1 a(for internal use only)'!H136</f>
        <v>0</v>
      </c>
      <c r="I137" s="660">
        <f t="shared" si="195"/>
        <v>0</v>
      </c>
      <c r="J137" s="660">
        <f t="shared" si="196"/>
        <v>0</v>
      </c>
      <c r="K137" s="652">
        <f>'far 1 a(for internal use only)'!K136</f>
        <v>0</v>
      </c>
      <c r="L137" s="652">
        <f>'far 1 a(for internal use only)'!L136</f>
        <v>0</v>
      </c>
      <c r="M137" s="652">
        <f>'far 1 a(for internal use only)'!M136</f>
        <v>0</v>
      </c>
      <c r="N137" s="661">
        <f t="shared" si="197"/>
        <v>0</v>
      </c>
      <c r="O137" s="652">
        <f>'far 1 a(for internal use only)'!O136</f>
        <v>0</v>
      </c>
      <c r="P137" s="652">
        <f>'far 1 a(for internal use only)'!P136</f>
        <v>0</v>
      </c>
      <c r="Q137" s="652">
        <f>'far 1 a(for internal use only)'!Q136</f>
        <v>0</v>
      </c>
      <c r="R137" s="652">
        <f>'far 1 a(for internal use only)'!R136</f>
        <v>0</v>
      </c>
      <c r="S137" s="662">
        <f t="shared" si="198"/>
        <v>0</v>
      </c>
      <c r="T137" s="652">
        <f>'far 1 a(for internal use only)'!T136</f>
        <v>0</v>
      </c>
      <c r="U137" s="652">
        <f>'far 1 a(for internal use only)'!U136</f>
        <v>0</v>
      </c>
      <c r="V137" s="652">
        <f>'far 1 a(for internal use only)'!V136</f>
        <v>0</v>
      </c>
      <c r="W137" s="652">
        <f>'far 1 a(for internal use only)'!W136</f>
        <v>0</v>
      </c>
      <c r="X137" s="662">
        <f t="shared" si="199"/>
        <v>0</v>
      </c>
      <c r="Y137" s="662">
        <f t="shared" si="200"/>
        <v>0</v>
      </c>
      <c r="Z137" s="662">
        <f t="shared" si="201"/>
        <v>0</v>
      </c>
      <c r="AA137" s="684">
        <f>'far 1 a(for internal use only)'!AA136</f>
        <v>0</v>
      </c>
      <c r="AB137" s="663">
        <f t="shared" si="202"/>
        <v>0</v>
      </c>
    </row>
    <row r="138" spans="1:28" s="90" customFormat="1" ht="14.1" hidden="1" customHeight="1" x14ac:dyDescent="0.2">
      <c r="A138" s="301"/>
      <c r="B138" s="349" t="s">
        <v>470</v>
      </c>
      <c r="C138" s="608"/>
      <c r="D138" s="608"/>
      <c r="E138" s="608"/>
      <c r="F138" s="370" t="s">
        <v>471</v>
      </c>
      <c r="G138" s="652">
        <f>'far 1 a(for internal use only)'!G137</f>
        <v>0</v>
      </c>
      <c r="H138" s="652">
        <f>'far 1 a(for internal use only)'!H137</f>
        <v>0</v>
      </c>
      <c r="I138" s="660">
        <f t="shared" si="195"/>
        <v>0</v>
      </c>
      <c r="J138" s="660">
        <f t="shared" si="196"/>
        <v>0</v>
      </c>
      <c r="K138" s="652">
        <f>'far 1 a(for internal use only)'!K137</f>
        <v>0</v>
      </c>
      <c r="L138" s="652">
        <f>'far 1 a(for internal use only)'!L137</f>
        <v>0</v>
      </c>
      <c r="M138" s="652">
        <f>'far 1 a(for internal use only)'!M137</f>
        <v>0</v>
      </c>
      <c r="N138" s="661">
        <f t="shared" si="197"/>
        <v>0</v>
      </c>
      <c r="O138" s="652">
        <f>'far 1 a(for internal use only)'!O137</f>
        <v>0</v>
      </c>
      <c r="P138" s="652">
        <f>'far 1 a(for internal use only)'!P137</f>
        <v>0</v>
      </c>
      <c r="Q138" s="652">
        <f>'far 1 a(for internal use only)'!Q137</f>
        <v>0</v>
      </c>
      <c r="R138" s="652">
        <f>'far 1 a(for internal use only)'!R137</f>
        <v>0</v>
      </c>
      <c r="S138" s="662">
        <f t="shared" si="198"/>
        <v>0</v>
      </c>
      <c r="T138" s="652">
        <f>'far 1 a(for internal use only)'!T137</f>
        <v>0</v>
      </c>
      <c r="U138" s="652">
        <f>'far 1 a(for internal use only)'!U137</f>
        <v>0</v>
      </c>
      <c r="V138" s="652">
        <f>'far 1 a(for internal use only)'!V137</f>
        <v>0</v>
      </c>
      <c r="W138" s="652">
        <f>'far 1 a(for internal use only)'!W137</f>
        <v>0</v>
      </c>
      <c r="X138" s="662">
        <f t="shared" si="199"/>
        <v>0</v>
      </c>
      <c r="Y138" s="662">
        <f t="shared" si="200"/>
        <v>0</v>
      </c>
      <c r="Z138" s="662">
        <f t="shared" si="201"/>
        <v>0</v>
      </c>
      <c r="AA138" s="684">
        <f>'far 1 a(for internal use only)'!AA137</f>
        <v>0</v>
      </c>
      <c r="AB138" s="663">
        <f t="shared" si="202"/>
        <v>0</v>
      </c>
    </row>
    <row r="139" spans="1:28" s="90" customFormat="1" ht="14.1" hidden="1" customHeight="1" x14ac:dyDescent="0.2">
      <c r="A139" s="301"/>
      <c r="B139" s="348" t="s">
        <v>472</v>
      </c>
      <c r="C139" s="608"/>
      <c r="D139" s="608"/>
      <c r="E139" s="608"/>
      <c r="F139" s="370"/>
      <c r="G139" s="664"/>
      <c r="H139" s="652"/>
      <c r="I139" s="664"/>
      <c r="J139" s="664"/>
      <c r="K139" s="652"/>
      <c r="L139" s="652"/>
      <c r="M139" s="652"/>
      <c r="N139" s="665"/>
      <c r="O139" s="652"/>
      <c r="P139" s="652"/>
      <c r="Q139" s="652"/>
      <c r="R139" s="652"/>
      <c r="S139" s="666"/>
      <c r="T139" s="652"/>
      <c r="U139" s="652"/>
      <c r="V139" s="652"/>
      <c r="W139" s="652"/>
      <c r="X139" s="666"/>
      <c r="Y139" s="666"/>
      <c r="Z139" s="666"/>
      <c r="AA139" s="684"/>
      <c r="AB139" s="667"/>
    </row>
    <row r="140" spans="1:28" s="90" customFormat="1" ht="14.1" hidden="1" customHeight="1" x14ac:dyDescent="0.2">
      <c r="A140" s="301"/>
      <c r="B140" s="349" t="s">
        <v>473</v>
      </c>
      <c r="C140" s="608"/>
      <c r="D140" s="608"/>
      <c r="E140" s="608"/>
      <c r="F140" s="370" t="s">
        <v>474</v>
      </c>
      <c r="G140" s="652">
        <f>'far 1 a(for internal use only)'!G139</f>
        <v>0</v>
      </c>
      <c r="H140" s="652">
        <f>'far 1 a(for internal use only)'!H139</f>
        <v>0</v>
      </c>
      <c r="I140" s="660">
        <f t="shared" ref="I140:I141" si="203">G140+H140</f>
        <v>0</v>
      </c>
      <c r="J140" s="660">
        <f t="shared" ref="J140:J141" si="204">I140</f>
        <v>0</v>
      </c>
      <c r="K140" s="652">
        <f>'far 1 a(for internal use only)'!K139</f>
        <v>0</v>
      </c>
      <c r="L140" s="652">
        <f>'far 1 a(for internal use only)'!L139</f>
        <v>0</v>
      </c>
      <c r="M140" s="652">
        <f>'far 1 a(for internal use only)'!M139</f>
        <v>0</v>
      </c>
      <c r="N140" s="661">
        <f t="shared" ref="N140:N141" si="205">J140+K140-L140+M140</f>
        <v>0</v>
      </c>
      <c r="O140" s="652">
        <f>'far 1 a(for internal use only)'!O139</f>
        <v>0</v>
      </c>
      <c r="P140" s="652">
        <f>'far 1 a(for internal use only)'!P139</f>
        <v>0</v>
      </c>
      <c r="Q140" s="652">
        <f>'far 1 a(for internal use only)'!Q139</f>
        <v>0</v>
      </c>
      <c r="R140" s="652">
        <f>'far 1 a(for internal use only)'!R139</f>
        <v>0</v>
      </c>
      <c r="S140" s="662">
        <f t="shared" ref="S140:S141" si="206">SUM(O140:R140)</f>
        <v>0</v>
      </c>
      <c r="T140" s="652">
        <f>'far 1 a(for internal use only)'!T139</f>
        <v>0</v>
      </c>
      <c r="U140" s="652">
        <f>'far 1 a(for internal use only)'!U139</f>
        <v>0</v>
      </c>
      <c r="V140" s="652">
        <f>'far 1 a(for internal use only)'!V139</f>
        <v>0</v>
      </c>
      <c r="W140" s="652">
        <f>'far 1 a(for internal use only)'!W139</f>
        <v>0</v>
      </c>
      <c r="X140" s="662">
        <f t="shared" ref="X140:X141" si="207">SUM(T140:W140)</f>
        <v>0</v>
      </c>
      <c r="Y140" s="662">
        <f t="shared" ref="Y140:Y141" si="208">I140-N140</f>
        <v>0</v>
      </c>
      <c r="Z140" s="662">
        <f t="shared" ref="Z140:Z141" si="209">N140-S140</f>
        <v>0</v>
      </c>
      <c r="AA140" s="684">
        <f>'far 1 a(for internal use only)'!AA139</f>
        <v>0</v>
      </c>
      <c r="AB140" s="663">
        <f t="shared" ref="AB140:AB141" si="210">+S140-X140-AA140</f>
        <v>0</v>
      </c>
    </row>
    <row r="141" spans="1:28" s="90" customFormat="1" ht="14.1" hidden="1" customHeight="1" x14ac:dyDescent="0.2">
      <c r="A141" s="301"/>
      <c r="B141" s="349" t="s">
        <v>475</v>
      </c>
      <c r="C141" s="608"/>
      <c r="D141" s="608"/>
      <c r="E141" s="608"/>
      <c r="F141" s="370" t="s">
        <v>476</v>
      </c>
      <c r="G141" s="652">
        <f>'far 1 a(for internal use only)'!G140</f>
        <v>0</v>
      </c>
      <c r="H141" s="652">
        <f>'far 1 a(for internal use only)'!H140</f>
        <v>0</v>
      </c>
      <c r="I141" s="660">
        <f t="shared" si="203"/>
        <v>0</v>
      </c>
      <c r="J141" s="660">
        <f t="shared" si="204"/>
        <v>0</v>
      </c>
      <c r="K141" s="652">
        <f>'far 1 a(for internal use only)'!K140</f>
        <v>0</v>
      </c>
      <c r="L141" s="652">
        <f>'far 1 a(for internal use only)'!L140</f>
        <v>0</v>
      </c>
      <c r="M141" s="652">
        <f>'far 1 a(for internal use only)'!M140</f>
        <v>0</v>
      </c>
      <c r="N141" s="661">
        <f t="shared" si="205"/>
        <v>0</v>
      </c>
      <c r="O141" s="652">
        <f>'far 1 a(for internal use only)'!O140</f>
        <v>0</v>
      </c>
      <c r="P141" s="652">
        <f>'far 1 a(for internal use only)'!P140</f>
        <v>0</v>
      </c>
      <c r="Q141" s="652">
        <f>'far 1 a(for internal use only)'!Q140</f>
        <v>0</v>
      </c>
      <c r="R141" s="652">
        <f>'far 1 a(for internal use only)'!R140</f>
        <v>0</v>
      </c>
      <c r="S141" s="662">
        <f t="shared" si="206"/>
        <v>0</v>
      </c>
      <c r="T141" s="652">
        <f>'far 1 a(for internal use only)'!T140</f>
        <v>0</v>
      </c>
      <c r="U141" s="652">
        <f>'far 1 a(for internal use only)'!U140</f>
        <v>0</v>
      </c>
      <c r="V141" s="652">
        <f>'far 1 a(for internal use only)'!V140</f>
        <v>0</v>
      </c>
      <c r="W141" s="652">
        <f>'far 1 a(for internal use only)'!W140</f>
        <v>0</v>
      </c>
      <c r="X141" s="662">
        <f t="shared" si="207"/>
        <v>0</v>
      </c>
      <c r="Y141" s="662">
        <f t="shared" si="208"/>
        <v>0</v>
      </c>
      <c r="Z141" s="662">
        <f t="shared" si="209"/>
        <v>0</v>
      </c>
      <c r="AA141" s="684">
        <f>'far 1 a(for internal use only)'!AA140</f>
        <v>0</v>
      </c>
      <c r="AB141" s="663">
        <f t="shared" si="210"/>
        <v>0</v>
      </c>
    </row>
    <row r="142" spans="1:28" s="90" customFormat="1" ht="14.1" hidden="1" customHeight="1" x14ac:dyDescent="0.2">
      <c r="A142" s="301"/>
      <c r="B142" s="348" t="s">
        <v>477</v>
      </c>
      <c r="C142" s="608"/>
      <c r="D142" s="608"/>
      <c r="E142" s="608"/>
      <c r="F142" s="370"/>
      <c r="G142" s="664"/>
      <c r="H142" s="652"/>
      <c r="I142" s="664"/>
      <c r="J142" s="664"/>
      <c r="K142" s="652"/>
      <c r="L142" s="652"/>
      <c r="M142" s="652"/>
      <c r="N142" s="665"/>
      <c r="O142" s="652"/>
      <c r="P142" s="652"/>
      <c r="Q142" s="652"/>
      <c r="R142" s="652"/>
      <c r="S142" s="666"/>
      <c r="T142" s="652"/>
      <c r="U142" s="652"/>
      <c r="V142" s="652"/>
      <c r="W142" s="652"/>
      <c r="X142" s="666"/>
      <c r="Y142" s="666"/>
      <c r="Z142" s="666"/>
      <c r="AA142" s="684"/>
      <c r="AB142" s="667"/>
    </row>
    <row r="143" spans="1:28" s="90" customFormat="1" ht="14.1" hidden="1" customHeight="1" x14ac:dyDescent="0.2">
      <c r="A143" s="301"/>
      <c r="B143" s="349" t="s">
        <v>478</v>
      </c>
      <c r="C143" s="608"/>
      <c r="D143" s="608"/>
      <c r="E143" s="608"/>
      <c r="F143" s="370" t="s">
        <v>479</v>
      </c>
      <c r="G143" s="652">
        <f>'far 1 a(for internal use only)'!G142</f>
        <v>0</v>
      </c>
      <c r="H143" s="652">
        <f>'far 1 a(for internal use only)'!H142</f>
        <v>0</v>
      </c>
      <c r="I143" s="660">
        <f t="shared" ref="I143" si="211">G143+H143</f>
        <v>0</v>
      </c>
      <c r="J143" s="660">
        <f t="shared" ref="J143" si="212">I143</f>
        <v>0</v>
      </c>
      <c r="K143" s="652">
        <f>'far 1 a(for internal use only)'!K142</f>
        <v>0</v>
      </c>
      <c r="L143" s="652">
        <f>'far 1 a(for internal use only)'!L142</f>
        <v>0</v>
      </c>
      <c r="M143" s="652">
        <f>'far 1 a(for internal use only)'!M142</f>
        <v>0</v>
      </c>
      <c r="N143" s="661">
        <f>J143+K143-L143+M143</f>
        <v>0</v>
      </c>
      <c r="O143" s="652">
        <f>'far 1 a(for internal use only)'!O142</f>
        <v>0</v>
      </c>
      <c r="P143" s="652">
        <f>'far 1 a(for internal use only)'!P142</f>
        <v>0</v>
      </c>
      <c r="Q143" s="652">
        <f>'far 1 a(for internal use only)'!Q142</f>
        <v>0</v>
      </c>
      <c r="R143" s="652">
        <f>'far 1 a(for internal use only)'!R142</f>
        <v>0</v>
      </c>
      <c r="S143" s="662">
        <f t="shared" ref="S143" si="213">SUM(O143:R143)</f>
        <v>0</v>
      </c>
      <c r="T143" s="652">
        <f>'far 1 a(for internal use only)'!T142</f>
        <v>0</v>
      </c>
      <c r="U143" s="652">
        <f>'far 1 a(for internal use only)'!U142</f>
        <v>0</v>
      </c>
      <c r="V143" s="652">
        <f>'far 1 a(for internal use only)'!V142</f>
        <v>0</v>
      </c>
      <c r="W143" s="652">
        <f>'far 1 a(for internal use only)'!W142</f>
        <v>0</v>
      </c>
      <c r="X143" s="662">
        <f t="shared" ref="X143" si="214">SUM(T143:W143)</f>
        <v>0</v>
      </c>
      <c r="Y143" s="662">
        <f t="shared" ref="Y143" si="215">I143-N143</f>
        <v>0</v>
      </c>
      <c r="Z143" s="662">
        <f t="shared" ref="Z143" si="216">N143-S143</f>
        <v>0</v>
      </c>
      <c r="AA143" s="684">
        <f>'far 1 a(for internal use only)'!AA142</f>
        <v>0</v>
      </c>
      <c r="AB143" s="663">
        <f t="shared" ref="AB143" si="217">+S143-X143-AA143</f>
        <v>0</v>
      </c>
    </row>
    <row r="144" spans="1:28" s="90" customFormat="1" ht="14.1" hidden="1" customHeight="1" x14ac:dyDescent="0.2">
      <c r="A144" s="301"/>
      <c r="B144" s="348" t="s">
        <v>480</v>
      </c>
      <c r="C144" s="608"/>
      <c r="D144" s="608"/>
      <c r="E144" s="608"/>
      <c r="F144" s="370"/>
      <c r="G144" s="664"/>
      <c r="H144" s="652"/>
      <c r="I144" s="664"/>
      <c r="J144" s="664"/>
      <c r="K144" s="652"/>
      <c r="L144" s="652"/>
      <c r="M144" s="652"/>
      <c r="N144" s="665"/>
      <c r="O144" s="652"/>
      <c r="P144" s="652"/>
      <c r="Q144" s="652"/>
      <c r="R144" s="652"/>
      <c r="S144" s="666"/>
      <c r="T144" s="652"/>
      <c r="U144" s="652"/>
      <c r="V144" s="652"/>
      <c r="W144" s="652"/>
      <c r="X144" s="666"/>
      <c r="Y144" s="666"/>
      <c r="Z144" s="666"/>
      <c r="AA144" s="684"/>
      <c r="AB144" s="667"/>
    </row>
    <row r="145" spans="1:28" s="90" customFormat="1" ht="14.1" hidden="1" customHeight="1" x14ac:dyDescent="0.2">
      <c r="A145" s="301"/>
      <c r="B145" s="349" t="s">
        <v>481</v>
      </c>
      <c r="C145" s="608"/>
      <c r="D145" s="608"/>
      <c r="E145" s="608"/>
      <c r="F145" s="370" t="s">
        <v>482</v>
      </c>
      <c r="G145" s="652">
        <f>'far 1 a(for internal use only)'!G144</f>
        <v>0</v>
      </c>
      <c r="H145" s="652">
        <f>'far 1 a(for internal use only)'!H144</f>
        <v>0</v>
      </c>
      <c r="I145" s="660">
        <f t="shared" ref="I145" si="218">G145+H145</f>
        <v>0</v>
      </c>
      <c r="J145" s="660">
        <f t="shared" ref="J145" si="219">I145</f>
        <v>0</v>
      </c>
      <c r="K145" s="652">
        <f>'far 1 a(for internal use only)'!K144</f>
        <v>0</v>
      </c>
      <c r="L145" s="652">
        <f>'far 1 a(for internal use only)'!L144</f>
        <v>0</v>
      </c>
      <c r="M145" s="652">
        <f>'far 1 a(for internal use only)'!M144</f>
        <v>0</v>
      </c>
      <c r="N145" s="661">
        <f>J145+K145-L145+M145</f>
        <v>0</v>
      </c>
      <c r="O145" s="652">
        <f>'far 1 a(for internal use only)'!O144</f>
        <v>0</v>
      </c>
      <c r="P145" s="652">
        <f>'far 1 a(for internal use only)'!P144</f>
        <v>0</v>
      </c>
      <c r="Q145" s="652">
        <f>'far 1 a(for internal use only)'!Q144</f>
        <v>0</v>
      </c>
      <c r="R145" s="652">
        <f>'far 1 a(for internal use only)'!R144</f>
        <v>0</v>
      </c>
      <c r="S145" s="662">
        <f t="shared" ref="S145" si="220">SUM(O145:R145)</f>
        <v>0</v>
      </c>
      <c r="T145" s="652">
        <f>'far 1 a(for internal use only)'!T144</f>
        <v>0</v>
      </c>
      <c r="U145" s="652">
        <f>'far 1 a(for internal use only)'!U144</f>
        <v>0</v>
      </c>
      <c r="V145" s="652">
        <f>'far 1 a(for internal use only)'!V144</f>
        <v>0</v>
      </c>
      <c r="W145" s="652">
        <f>'far 1 a(for internal use only)'!W144</f>
        <v>0</v>
      </c>
      <c r="X145" s="662">
        <f t="shared" ref="X145" si="221">SUM(T145:W145)</f>
        <v>0</v>
      </c>
      <c r="Y145" s="662">
        <f t="shared" ref="Y145" si="222">I145-N145</f>
        <v>0</v>
      </c>
      <c r="Z145" s="662">
        <f t="shared" ref="Z145" si="223">N145-S145</f>
        <v>0</v>
      </c>
      <c r="AA145" s="684">
        <f>'far 1 a(for internal use only)'!AA144</f>
        <v>0</v>
      </c>
      <c r="AB145" s="663">
        <f t="shared" ref="AB145" si="224">+S145-X145-AA145</f>
        <v>0</v>
      </c>
    </row>
    <row r="146" spans="1:28" s="90" customFormat="1" ht="14.1" customHeight="1" x14ac:dyDescent="0.2">
      <c r="A146" s="301"/>
      <c r="B146" s="349"/>
      <c r="C146" s="608"/>
      <c r="D146" s="608"/>
      <c r="E146" s="608"/>
      <c r="F146" s="370"/>
      <c r="G146" s="664"/>
      <c r="H146" s="664"/>
      <c r="I146" s="660"/>
      <c r="J146" s="660"/>
      <c r="K146" s="670"/>
      <c r="L146" s="670"/>
      <c r="M146" s="670"/>
      <c r="N146" s="660"/>
      <c r="O146" s="670"/>
      <c r="P146" s="670"/>
      <c r="Q146" s="670"/>
      <c r="R146" s="670"/>
      <c r="S146" s="670"/>
      <c r="T146" s="670"/>
      <c r="U146" s="670"/>
      <c r="V146" s="670"/>
      <c r="W146" s="670"/>
      <c r="X146" s="670"/>
      <c r="Y146" s="670"/>
      <c r="Z146" s="670"/>
      <c r="AA146" s="662"/>
      <c r="AB146" s="663"/>
    </row>
    <row r="147" spans="1:28" s="87" customFormat="1" ht="14.1" customHeight="1" x14ac:dyDescent="0.2">
      <c r="A147" s="279" t="s">
        <v>682</v>
      </c>
      <c r="B147" s="671"/>
      <c r="C147" s="672"/>
      <c r="D147" s="673"/>
      <c r="E147" s="672"/>
      <c r="F147" s="674"/>
      <c r="G147" s="648">
        <f t="shared" ref="G147:AB147" si="225">G149+G159</f>
        <v>1659000</v>
      </c>
      <c r="H147" s="648">
        <f t="shared" si="225"/>
        <v>0</v>
      </c>
      <c r="I147" s="648">
        <f t="shared" si="225"/>
        <v>1659000</v>
      </c>
      <c r="J147" s="648">
        <f t="shared" si="225"/>
        <v>1659000</v>
      </c>
      <c r="K147" s="648">
        <f t="shared" si="225"/>
        <v>0</v>
      </c>
      <c r="L147" s="648">
        <f t="shared" si="225"/>
        <v>0</v>
      </c>
      <c r="M147" s="648">
        <f t="shared" si="225"/>
        <v>367000</v>
      </c>
      <c r="N147" s="649">
        <f t="shared" si="225"/>
        <v>2026000</v>
      </c>
      <c r="O147" s="648">
        <f t="shared" si="225"/>
        <v>537358.32000000007</v>
      </c>
      <c r="P147" s="648">
        <f t="shared" si="225"/>
        <v>404773.9</v>
      </c>
      <c r="Q147" s="648">
        <f t="shared" si="225"/>
        <v>455706.95999999996</v>
      </c>
      <c r="R147" s="648">
        <f t="shared" si="225"/>
        <v>298388.15000000002</v>
      </c>
      <c r="S147" s="648">
        <f t="shared" si="225"/>
        <v>1696227.33</v>
      </c>
      <c r="T147" s="648">
        <f t="shared" si="225"/>
        <v>402512.64000000001</v>
      </c>
      <c r="U147" s="648">
        <f t="shared" si="225"/>
        <v>539439.35999999999</v>
      </c>
      <c r="V147" s="648">
        <f t="shared" si="225"/>
        <v>455887.18</v>
      </c>
      <c r="W147" s="648">
        <f t="shared" si="225"/>
        <v>298387.15000000002</v>
      </c>
      <c r="X147" s="648">
        <f t="shared" si="225"/>
        <v>1696226.3299999998</v>
      </c>
      <c r="Y147" s="648">
        <f t="shared" si="225"/>
        <v>-367000</v>
      </c>
      <c r="Z147" s="648">
        <f t="shared" si="225"/>
        <v>329772.67000000004</v>
      </c>
      <c r="AA147" s="725">
        <f t="shared" si="225"/>
        <v>1</v>
      </c>
      <c r="AB147" s="720">
        <f t="shared" si="225"/>
        <v>1.1641532182693481E-10</v>
      </c>
    </row>
    <row r="148" spans="1:28" s="287" customFormat="1" ht="14.1" customHeight="1" x14ac:dyDescent="0.2">
      <c r="A148" s="313"/>
      <c r="B148" s="286" t="s">
        <v>266</v>
      </c>
      <c r="D148" s="286"/>
      <c r="F148" s="675" t="s">
        <v>483</v>
      </c>
      <c r="G148" s="656"/>
      <c r="H148" s="656"/>
      <c r="I148" s="656"/>
      <c r="J148" s="656"/>
      <c r="K148" s="657"/>
      <c r="L148" s="657"/>
      <c r="M148" s="657"/>
      <c r="N148" s="658"/>
      <c r="O148" s="657"/>
      <c r="P148" s="657"/>
      <c r="Q148" s="657"/>
      <c r="R148" s="657"/>
      <c r="S148" s="657"/>
      <c r="T148" s="657"/>
      <c r="U148" s="657"/>
      <c r="V148" s="657"/>
      <c r="W148" s="657"/>
      <c r="X148" s="657"/>
      <c r="Y148" s="657"/>
      <c r="Z148" s="657"/>
      <c r="AA148" s="657"/>
      <c r="AB148" s="659"/>
    </row>
    <row r="149" spans="1:28" s="87" customFormat="1" ht="14.1" customHeight="1" x14ac:dyDescent="0.2">
      <c r="A149" s="313"/>
      <c r="B149" s="286"/>
      <c r="C149" s="287"/>
      <c r="D149" s="286" t="s">
        <v>266</v>
      </c>
      <c r="E149" s="287"/>
      <c r="F149" s="252" t="s">
        <v>484</v>
      </c>
      <c r="G149" s="676">
        <f t="shared" ref="G149" si="226">SUM(G150:G158)</f>
        <v>1659000</v>
      </c>
      <c r="H149" s="676">
        <f t="shared" ref="H149:AB149" si="227">SUM(H150:H158)</f>
        <v>0</v>
      </c>
      <c r="I149" s="676">
        <f t="shared" si="227"/>
        <v>1659000</v>
      </c>
      <c r="J149" s="676">
        <f t="shared" si="227"/>
        <v>1659000</v>
      </c>
      <c r="K149" s="677">
        <f t="shared" si="227"/>
        <v>0</v>
      </c>
      <c r="L149" s="677">
        <f t="shared" si="227"/>
        <v>0</v>
      </c>
      <c r="M149" s="677">
        <f t="shared" si="227"/>
        <v>119000</v>
      </c>
      <c r="N149" s="678">
        <f t="shared" si="227"/>
        <v>1778000</v>
      </c>
      <c r="O149" s="677">
        <f t="shared" si="227"/>
        <v>537358.32000000007</v>
      </c>
      <c r="P149" s="677">
        <f t="shared" si="227"/>
        <v>404773.9</v>
      </c>
      <c r="Q149" s="677">
        <f t="shared" si="227"/>
        <v>404706.95999999996</v>
      </c>
      <c r="R149" s="677">
        <f t="shared" si="227"/>
        <v>269994.68</v>
      </c>
      <c r="S149" s="677">
        <f t="shared" si="227"/>
        <v>1616833.86</v>
      </c>
      <c r="T149" s="677">
        <f t="shared" si="227"/>
        <v>402512.64000000001</v>
      </c>
      <c r="U149" s="677">
        <f t="shared" si="227"/>
        <v>539439.35999999999</v>
      </c>
      <c r="V149" s="677">
        <f t="shared" si="227"/>
        <v>404887.18</v>
      </c>
      <c r="W149" s="677">
        <f t="shared" si="227"/>
        <v>269993.68000000005</v>
      </c>
      <c r="X149" s="677">
        <f t="shared" si="227"/>
        <v>1616832.8599999999</v>
      </c>
      <c r="Y149" s="677">
        <f t="shared" si="227"/>
        <v>-119000</v>
      </c>
      <c r="Z149" s="677">
        <f t="shared" si="227"/>
        <v>161166.14000000001</v>
      </c>
      <c r="AA149" s="677">
        <f t="shared" si="227"/>
        <v>1</v>
      </c>
      <c r="AB149" s="679">
        <f t="shared" si="227"/>
        <v>1.1641532182693481E-10</v>
      </c>
    </row>
    <row r="150" spans="1:28" ht="14.1" customHeight="1" x14ac:dyDescent="0.2">
      <c r="A150" s="140"/>
      <c r="B150" s="606"/>
      <c r="C150" s="69" t="s">
        <v>101</v>
      </c>
      <c r="D150" s="109" t="s">
        <v>102</v>
      </c>
      <c r="E150" s="109"/>
      <c r="G150" s="681">
        <f>'far 1 a(for internal use only)'!G618</f>
        <v>658000</v>
      </c>
      <c r="H150" s="681">
        <f>'far 1 a(for internal use only)'!H618</f>
        <v>0</v>
      </c>
      <c r="I150" s="660">
        <f t="shared" ref="I150" si="228">G150+H150</f>
        <v>658000</v>
      </c>
      <c r="J150" s="660">
        <f t="shared" ref="J150" si="229">I150</f>
        <v>658000</v>
      </c>
      <c r="K150" s="681">
        <f>'far 1 a(for internal use only)'!K618</f>
        <v>0</v>
      </c>
      <c r="L150" s="681">
        <f>'far 1 a(for internal use only)'!L618</f>
        <v>0</v>
      </c>
      <c r="M150" s="681">
        <f>'far 1 a(for internal use only)'!M618</f>
        <v>119000</v>
      </c>
      <c r="N150" s="661">
        <f>J150+K150-L150+M150</f>
        <v>777000</v>
      </c>
      <c r="O150" s="681">
        <f>'far 1 a(for internal use only)'!O618</f>
        <v>117657.12</v>
      </c>
      <c r="P150" s="681">
        <f>'far 1 a(for internal use only)'!P618</f>
        <v>88242.84</v>
      </c>
      <c r="Q150" s="681">
        <f>'far 1 a(for internal use only)'!Q618</f>
        <v>88242.84</v>
      </c>
      <c r="R150" s="681">
        <f>'far 1 a(for internal use only)'!R618</f>
        <v>321691.06</v>
      </c>
      <c r="S150" s="662">
        <f t="shared" ref="S150" si="230">SUM(O150:R150)</f>
        <v>615833.86</v>
      </c>
      <c r="T150" s="681">
        <f>'far 1 a(for internal use only)'!T618</f>
        <v>88242.84</v>
      </c>
      <c r="U150" s="681">
        <f>'far 1 a(for internal use only)'!U618</f>
        <v>117657.12</v>
      </c>
      <c r="V150" s="681">
        <f>'far 1 a(for internal use only)'!V618</f>
        <v>88242.84</v>
      </c>
      <c r="W150" s="681">
        <f>'far 1 a(for internal use only)'!W618</f>
        <v>321690.06</v>
      </c>
      <c r="X150" s="662">
        <f t="shared" ref="X150" si="231">SUM(T150:W150)</f>
        <v>615832.86</v>
      </c>
      <c r="Y150" s="662">
        <f t="shared" ref="Y150" si="232">I150-N150</f>
        <v>-119000</v>
      </c>
      <c r="Z150" s="662">
        <f t="shared" ref="Z150" si="233">N150-S150</f>
        <v>161166.14000000001</v>
      </c>
      <c r="AA150" s="682">
        <f>'far 1 a(for internal use only)'!AA618</f>
        <v>1</v>
      </c>
      <c r="AB150" s="663">
        <f t="shared" ref="AB150" si="234">+S150-X150-AA150</f>
        <v>0</v>
      </c>
    </row>
    <row r="151" spans="1:28" ht="14.1" customHeight="1" x14ac:dyDescent="0.2">
      <c r="A151" s="140"/>
      <c r="B151" s="78"/>
      <c r="C151" s="69" t="s">
        <v>112</v>
      </c>
      <c r="D151" s="109" t="s">
        <v>532</v>
      </c>
      <c r="E151" s="109"/>
      <c r="G151" s="681"/>
      <c r="H151" s="681"/>
      <c r="I151" s="681"/>
      <c r="J151" s="681"/>
      <c r="K151" s="681"/>
      <c r="L151" s="682"/>
      <c r="M151" s="681"/>
      <c r="N151" s="683"/>
      <c r="O151" s="681"/>
      <c r="P151" s="681"/>
      <c r="Q151" s="681"/>
      <c r="R151" s="681"/>
      <c r="S151" s="340"/>
      <c r="T151" s="681"/>
      <c r="U151" s="681"/>
      <c r="V151" s="681"/>
      <c r="W151" s="681"/>
      <c r="X151" s="340"/>
      <c r="Y151" s="340"/>
      <c r="Z151" s="340"/>
      <c r="AA151" s="340"/>
      <c r="AB151" s="300"/>
    </row>
    <row r="152" spans="1:28" ht="14.1" customHeight="1" x14ac:dyDescent="0.2">
      <c r="A152" s="140"/>
      <c r="B152" s="78"/>
      <c r="C152" s="69"/>
      <c r="D152" s="109" t="s">
        <v>114</v>
      </c>
      <c r="E152" s="109" t="s">
        <v>115</v>
      </c>
      <c r="G152" s="681">
        <f>'far 1 a(for internal use only)'!G620</f>
        <v>0</v>
      </c>
      <c r="H152" s="681">
        <f>'far 1 a(for internal use only)'!H620</f>
        <v>0</v>
      </c>
      <c r="I152" s="660">
        <f t="shared" ref="I152:I154" si="235">G152+H152</f>
        <v>0</v>
      </c>
      <c r="J152" s="660">
        <f t="shared" ref="J152:J154" si="236">I152</f>
        <v>0</v>
      </c>
      <c r="K152" s="681">
        <f>'far 1 a(for internal use only)'!K620</f>
        <v>0</v>
      </c>
      <c r="L152" s="681">
        <f>'far 1 a(for internal use only)'!L620</f>
        <v>0</v>
      </c>
      <c r="M152" s="681">
        <f>'far 1 a(for internal use only)'!M620</f>
        <v>0</v>
      </c>
      <c r="N152" s="661">
        <f t="shared" ref="N152:N154" si="237">J152+K152-L152+M152</f>
        <v>0</v>
      </c>
      <c r="O152" s="681">
        <f>'far 1 a(for internal use only)'!O620</f>
        <v>0</v>
      </c>
      <c r="P152" s="681">
        <f>'far 1 a(for internal use only)'!P620</f>
        <v>0</v>
      </c>
      <c r="Q152" s="681">
        <f>'far 1 a(for internal use only)'!Q620</f>
        <v>0</v>
      </c>
      <c r="R152" s="681">
        <f>'far 1 a(for internal use only)'!R620</f>
        <v>0</v>
      </c>
      <c r="S152" s="662">
        <f t="shared" ref="S152:S154" si="238">SUM(O152:R152)</f>
        <v>0</v>
      </c>
      <c r="T152" s="681">
        <f>'far 1 a(for internal use only)'!T620</f>
        <v>0</v>
      </c>
      <c r="U152" s="681">
        <f>'far 1 a(for internal use only)'!U620</f>
        <v>0</v>
      </c>
      <c r="V152" s="681">
        <f>'far 1 a(for internal use only)'!V620</f>
        <v>0</v>
      </c>
      <c r="W152" s="681">
        <f>'far 1 a(for internal use only)'!W620</f>
        <v>0</v>
      </c>
      <c r="X152" s="662">
        <f t="shared" ref="X152:X154" si="239">SUM(T152:W152)</f>
        <v>0</v>
      </c>
      <c r="Y152" s="662">
        <f t="shared" ref="Y152:Y154" si="240">I152-N152</f>
        <v>0</v>
      </c>
      <c r="Z152" s="662">
        <f t="shared" ref="Z152:Z154" si="241">N152-S152</f>
        <v>0</v>
      </c>
      <c r="AA152" s="682">
        <f>'far 1 a(for internal use only)'!AA620</f>
        <v>0</v>
      </c>
      <c r="AB152" s="663">
        <f t="shared" ref="AB152:AB154" si="242">+S152-X152-AA152</f>
        <v>0</v>
      </c>
    </row>
    <row r="153" spans="1:28" ht="14.1" customHeight="1" x14ac:dyDescent="0.2">
      <c r="A153" s="140"/>
      <c r="B153" s="78"/>
      <c r="C153" s="69"/>
      <c r="D153" s="109" t="s">
        <v>116</v>
      </c>
      <c r="E153" s="109" t="s">
        <v>252</v>
      </c>
      <c r="G153" s="681">
        <f>'far 1 a(for internal use only)'!G621</f>
        <v>0</v>
      </c>
      <c r="H153" s="681">
        <f>'far 1 a(for internal use only)'!H621</f>
        <v>0</v>
      </c>
      <c r="I153" s="660">
        <f t="shared" si="235"/>
        <v>0</v>
      </c>
      <c r="J153" s="660">
        <f t="shared" si="236"/>
        <v>0</v>
      </c>
      <c r="K153" s="681">
        <f>'far 1 a(for internal use only)'!K621</f>
        <v>0</v>
      </c>
      <c r="L153" s="681">
        <f>'far 1 a(for internal use only)'!L621</f>
        <v>0</v>
      </c>
      <c r="M153" s="681">
        <f>'far 1 a(for internal use only)'!M621</f>
        <v>0</v>
      </c>
      <c r="N153" s="661">
        <f t="shared" si="237"/>
        <v>0</v>
      </c>
      <c r="O153" s="681">
        <f>'far 1 a(for internal use only)'!O621</f>
        <v>0</v>
      </c>
      <c r="P153" s="681">
        <f>'far 1 a(for internal use only)'!P621</f>
        <v>0</v>
      </c>
      <c r="Q153" s="681">
        <f>'far 1 a(for internal use only)'!Q621</f>
        <v>0</v>
      </c>
      <c r="R153" s="681">
        <f>'far 1 a(for internal use only)'!R621</f>
        <v>0</v>
      </c>
      <c r="S153" s="662">
        <f t="shared" si="238"/>
        <v>0</v>
      </c>
      <c r="T153" s="681">
        <f>'far 1 a(for internal use only)'!T621</f>
        <v>0</v>
      </c>
      <c r="U153" s="681">
        <f>'far 1 a(for internal use only)'!U621</f>
        <v>0</v>
      </c>
      <c r="V153" s="681">
        <f>'far 1 a(for internal use only)'!V621</f>
        <v>0</v>
      </c>
      <c r="W153" s="681">
        <f>'far 1 a(for internal use only)'!W621</f>
        <v>0</v>
      </c>
      <c r="X153" s="662">
        <f t="shared" si="239"/>
        <v>0</v>
      </c>
      <c r="Y153" s="662">
        <f t="shared" si="240"/>
        <v>0</v>
      </c>
      <c r="Z153" s="662">
        <f t="shared" si="241"/>
        <v>0</v>
      </c>
      <c r="AA153" s="682">
        <f>'far 1 a(for internal use only)'!AA621</f>
        <v>0</v>
      </c>
      <c r="AB153" s="663">
        <f t="shared" si="242"/>
        <v>0</v>
      </c>
    </row>
    <row r="154" spans="1:28" ht="14.1" customHeight="1" x14ac:dyDescent="0.2">
      <c r="A154" s="140"/>
      <c r="B154" s="78"/>
      <c r="C154" s="69"/>
      <c r="D154" s="109" t="s">
        <v>117</v>
      </c>
      <c r="E154" s="109" t="s">
        <v>118</v>
      </c>
      <c r="G154" s="681">
        <f>'far 1 a(for internal use only)'!G622</f>
        <v>0</v>
      </c>
      <c r="H154" s="681">
        <f>'far 1 a(for internal use only)'!H622</f>
        <v>0</v>
      </c>
      <c r="I154" s="660">
        <f t="shared" si="235"/>
        <v>0</v>
      </c>
      <c r="J154" s="660">
        <f t="shared" si="236"/>
        <v>0</v>
      </c>
      <c r="K154" s="681">
        <f>'far 1 a(for internal use only)'!K622</f>
        <v>0</v>
      </c>
      <c r="L154" s="681">
        <f>'far 1 a(for internal use only)'!L622</f>
        <v>0</v>
      </c>
      <c r="M154" s="681">
        <f>'far 1 a(for internal use only)'!M622</f>
        <v>0</v>
      </c>
      <c r="N154" s="661">
        <f t="shared" si="237"/>
        <v>0</v>
      </c>
      <c r="O154" s="681">
        <f>'far 1 a(for internal use only)'!O622</f>
        <v>0</v>
      </c>
      <c r="P154" s="681">
        <f>'far 1 a(for internal use only)'!P622</f>
        <v>0</v>
      </c>
      <c r="Q154" s="681">
        <f>'far 1 a(for internal use only)'!Q622</f>
        <v>0</v>
      </c>
      <c r="R154" s="681">
        <f>'far 1 a(for internal use only)'!R622</f>
        <v>0</v>
      </c>
      <c r="S154" s="662">
        <f t="shared" si="238"/>
        <v>0</v>
      </c>
      <c r="T154" s="681">
        <f>'far 1 a(for internal use only)'!T622</f>
        <v>0</v>
      </c>
      <c r="U154" s="681">
        <f>'far 1 a(for internal use only)'!U622</f>
        <v>0</v>
      </c>
      <c r="V154" s="681">
        <f>'far 1 a(for internal use only)'!V622</f>
        <v>0</v>
      </c>
      <c r="W154" s="681">
        <f>'far 1 a(for internal use only)'!W622</f>
        <v>0</v>
      </c>
      <c r="X154" s="662">
        <f t="shared" si="239"/>
        <v>0</v>
      </c>
      <c r="Y154" s="662">
        <f t="shared" si="240"/>
        <v>0</v>
      </c>
      <c r="Z154" s="662">
        <f t="shared" si="241"/>
        <v>0</v>
      </c>
      <c r="AA154" s="682">
        <f>'far 1 a(for internal use only)'!AA622</f>
        <v>0</v>
      </c>
      <c r="AB154" s="663">
        <f t="shared" si="242"/>
        <v>0</v>
      </c>
    </row>
    <row r="155" spans="1:28" ht="14.1" customHeight="1" x14ac:dyDescent="0.2">
      <c r="A155" s="140"/>
      <c r="B155" s="78"/>
      <c r="C155" s="69" t="s">
        <v>119</v>
      </c>
      <c r="D155" s="109" t="s">
        <v>120</v>
      </c>
      <c r="E155" s="109"/>
      <c r="G155" s="681"/>
      <c r="H155" s="681"/>
      <c r="I155" s="681"/>
      <c r="J155" s="681"/>
      <c r="K155" s="681"/>
      <c r="L155" s="682"/>
      <c r="M155" s="681"/>
      <c r="N155" s="683"/>
      <c r="O155" s="681"/>
      <c r="P155" s="681"/>
      <c r="Q155" s="681"/>
      <c r="R155" s="681"/>
      <c r="S155" s="340"/>
      <c r="T155" s="681"/>
      <c r="U155" s="681"/>
      <c r="V155" s="681"/>
      <c r="W155" s="681"/>
      <c r="X155" s="340"/>
      <c r="Y155" s="340"/>
      <c r="Z155" s="340"/>
      <c r="AA155" s="340"/>
      <c r="AB155" s="300"/>
    </row>
    <row r="156" spans="1:28" ht="14.1" customHeight="1" x14ac:dyDescent="0.2">
      <c r="A156" s="140"/>
      <c r="B156" s="78"/>
      <c r="C156" s="69"/>
      <c r="D156" s="109" t="s">
        <v>121</v>
      </c>
      <c r="E156" s="109" t="s">
        <v>122</v>
      </c>
      <c r="G156" s="681">
        <f>'far 1 a(for internal use only)'!G624</f>
        <v>0</v>
      </c>
      <c r="H156" s="681">
        <f>'far 1 a(for internal use only)'!H624</f>
        <v>0</v>
      </c>
      <c r="I156" s="660">
        <f t="shared" ref="I156:I158" si="243">G156+H156</f>
        <v>0</v>
      </c>
      <c r="J156" s="660">
        <f t="shared" ref="J156:J158" si="244">I156</f>
        <v>0</v>
      </c>
      <c r="K156" s="681">
        <f>'far 1 a(for internal use only)'!K624</f>
        <v>0</v>
      </c>
      <c r="L156" s="681">
        <f>'far 1 a(for internal use only)'!L624</f>
        <v>0</v>
      </c>
      <c r="M156" s="681">
        <f>'far 1 a(for internal use only)'!M624</f>
        <v>0</v>
      </c>
      <c r="N156" s="661">
        <f t="shared" ref="N156:N158" si="245">J156+K156-L156+M156</f>
        <v>0</v>
      </c>
      <c r="O156" s="681">
        <f>'far 1 a(for internal use only)'!O624</f>
        <v>0</v>
      </c>
      <c r="P156" s="681">
        <f>'far 1 a(for internal use only)'!P624</f>
        <v>0</v>
      </c>
      <c r="Q156" s="681">
        <f>'far 1 a(for internal use only)'!Q624</f>
        <v>0</v>
      </c>
      <c r="R156" s="681">
        <f>'far 1 a(for internal use only)'!R624</f>
        <v>0</v>
      </c>
      <c r="S156" s="662">
        <f t="shared" ref="S156:S158" si="246">SUM(O156:R156)</f>
        <v>0</v>
      </c>
      <c r="T156" s="681">
        <f>'far 1 a(for internal use only)'!T624</f>
        <v>0</v>
      </c>
      <c r="U156" s="681">
        <f>'far 1 a(for internal use only)'!U624</f>
        <v>0</v>
      </c>
      <c r="V156" s="681">
        <f>'far 1 a(for internal use only)'!V624</f>
        <v>0</v>
      </c>
      <c r="W156" s="681">
        <f>'far 1 a(for internal use only)'!W624</f>
        <v>0</v>
      </c>
      <c r="X156" s="662">
        <f t="shared" ref="X156:X158" si="247">SUM(T156:W156)</f>
        <v>0</v>
      </c>
      <c r="Y156" s="662">
        <f t="shared" ref="Y156:Y158" si="248">I156-N156</f>
        <v>0</v>
      </c>
      <c r="Z156" s="662">
        <f t="shared" ref="Z156:Z158" si="249">N156-S156</f>
        <v>0</v>
      </c>
      <c r="AA156" s="682">
        <f>'far 1 a(for internal use only)'!AA624</f>
        <v>0</v>
      </c>
      <c r="AB156" s="663">
        <f t="shared" ref="AB156:AB158" si="250">+S156-X156-AA156</f>
        <v>0</v>
      </c>
    </row>
    <row r="157" spans="1:28" ht="14.1" customHeight="1" x14ac:dyDescent="0.2">
      <c r="A157" s="140"/>
      <c r="B157" s="78"/>
      <c r="C157" s="69"/>
      <c r="D157" s="109" t="s">
        <v>151</v>
      </c>
      <c r="E157" s="109" t="s">
        <v>152</v>
      </c>
      <c r="G157" s="681">
        <f>'far 1 a(for internal use only)'!G625</f>
        <v>160000</v>
      </c>
      <c r="H157" s="681">
        <f>'far 1 a(for internal use only)'!H625</f>
        <v>0</v>
      </c>
      <c r="I157" s="660">
        <f t="shared" si="243"/>
        <v>160000</v>
      </c>
      <c r="J157" s="660">
        <f t="shared" si="244"/>
        <v>160000</v>
      </c>
      <c r="K157" s="681">
        <f>'far 1 a(for internal use only)'!K625</f>
        <v>0</v>
      </c>
      <c r="L157" s="681">
        <f>'far 1 a(for internal use only)'!L625</f>
        <v>0</v>
      </c>
      <c r="M157" s="681">
        <f>'far 1 a(for internal use only)'!M625</f>
        <v>0</v>
      </c>
      <c r="N157" s="661">
        <f t="shared" si="245"/>
        <v>160000</v>
      </c>
      <c r="O157" s="681">
        <f>'far 1 a(for internal use only)'!O625</f>
        <v>117933.36</v>
      </c>
      <c r="P157" s="681">
        <f>'far 1 a(for internal use only)'!P625</f>
        <v>89968.319999999992</v>
      </c>
      <c r="Q157" s="681">
        <f>'far 1 a(for internal use only)'!Q625</f>
        <v>89968.319999999992</v>
      </c>
      <c r="R157" s="681">
        <f>'far 1 a(for internal use only)'!R625</f>
        <v>-137870</v>
      </c>
      <c r="S157" s="662">
        <f t="shared" si="246"/>
        <v>160000</v>
      </c>
      <c r="T157" s="681">
        <f>'far 1 a(for internal use only)'!T625</f>
        <v>87943.92</v>
      </c>
      <c r="U157" s="681">
        <f>'far 1 a(for internal use only)'!U625</f>
        <v>119957.75999999999</v>
      </c>
      <c r="V157" s="681">
        <f>'far 1 a(for internal use only)'!V625</f>
        <v>89968.319999999992</v>
      </c>
      <c r="W157" s="681">
        <f>'far 1 a(for internal use only)'!W625</f>
        <v>-137870</v>
      </c>
      <c r="X157" s="662">
        <f t="shared" si="247"/>
        <v>160000</v>
      </c>
      <c r="Y157" s="662">
        <f t="shared" si="248"/>
        <v>0</v>
      </c>
      <c r="Z157" s="662">
        <f t="shared" si="249"/>
        <v>0</v>
      </c>
      <c r="AA157" s="682">
        <f>'far 1 a(for internal use only)'!AA625</f>
        <v>0</v>
      </c>
      <c r="AB157" s="663">
        <f t="shared" si="250"/>
        <v>0</v>
      </c>
    </row>
    <row r="158" spans="1:28" ht="14.1" customHeight="1" x14ac:dyDescent="0.2">
      <c r="A158" s="140"/>
      <c r="B158" s="78"/>
      <c r="C158" s="69"/>
      <c r="D158" s="109" t="s">
        <v>193</v>
      </c>
      <c r="E158" s="109" t="s">
        <v>194</v>
      </c>
      <c r="G158" s="681">
        <f>'far 1 a(for internal use only)'!G626</f>
        <v>841000</v>
      </c>
      <c r="H158" s="681">
        <f>'far 1 a(for internal use only)'!H626</f>
        <v>0</v>
      </c>
      <c r="I158" s="660">
        <f t="shared" si="243"/>
        <v>841000</v>
      </c>
      <c r="J158" s="660">
        <f t="shared" si="244"/>
        <v>841000</v>
      </c>
      <c r="K158" s="681">
        <f>'far 1 a(for internal use only)'!K626</f>
        <v>0</v>
      </c>
      <c r="L158" s="681">
        <f>'far 1 a(for internal use only)'!L626</f>
        <v>0</v>
      </c>
      <c r="M158" s="681">
        <f>'far 1 a(for internal use only)'!M626</f>
        <v>0</v>
      </c>
      <c r="N158" s="661">
        <f t="shared" si="245"/>
        <v>841000</v>
      </c>
      <c r="O158" s="681">
        <f>'far 1 a(for internal use only)'!O626</f>
        <v>301767.84000000003</v>
      </c>
      <c r="P158" s="681">
        <f>'far 1 a(for internal use only)'!P626</f>
        <v>226562.74000000002</v>
      </c>
      <c r="Q158" s="681">
        <f>'far 1 a(for internal use only)'!Q626</f>
        <v>226495.80000000002</v>
      </c>
      <c r="R158" s="681">
        <f>'far 1 a(for internal use only)'!R626</f>
        <v>86173.62</v>
      </c>
      <c r="S158" s="662">
        <f t="shared" si="246"/>
        <v>841000.00000000012</v>
      </c>
      <c r="T158" s="681">
        <f>'far 1 a(for internal use only)'!T626</f>
        <v>226325.88</v>
      </c>
      <c r="U158" s="681">
        <f>'far 1 a(for internal use only)'!U626</f>
        <v>301824.48</v>
      </c>
      <c r="V158" s="681">
        <f>'far 1 a(for internal use only)'!V626</f>
        <v>226676.02000000002</v>
      </c>
      <c r="W158" s="681">
        <f>'far 1 a(for internal use only)'!W626</f>
        <v>86173.620000000024</v>
      </c>
      <c r="X158" s="662">
        <f t="shared" si="247"/>
        <v>841000</v>
      </c>
      <c r="Y158" s="662">
        <f t="shared" si="248"/>
        <v>0</v>
      </c>
      <c r="Z158" s="662">
        <f t="shared" si="249"/>
        <v>0</v>
      </c>
      <c r="AA158" s="682">
        <f>'far 1 a(for internal use only)'!AA626</f>
        <v>0</v>
      </c>
      <c r="AB158" s="663">
        <f t="shared" si="250"/>
        <v>1.1641532182693481E-10</v>
      </c>
    </row>
    <row r="159" spans="1:28" s="87" customFormat="1" ht="14.1" customHeight="1" x14ac:dyDescent="0.2">
      <c r="A159" s="314"/>
      <c r="B159" s="608" t="s">
        <v>145</v>
      </c>
      <c r="C159" s="73"/>
      <c r="D159" s="288"/>
      <c r="E159" s="288"/>
      <c r="F159" s="252" t="s">
        <v>280</v>
      </c>
      <c r="G159" s="362">
        <f t="shared" ref="G159" si="251">SUM(G162:G233)</f>
        <v>0</v>
      </c>
      <c r="H159" s="362">
        <f t="shared" ref="H159:AB159" si="252">SUM(H162:H233)</f>
        <v>0</v>
      </c>
      <c r="I159" s="362">
        <f t="shared" si="252"/>
        <v>0</v>
      </c>
      <c r="J159" s="362">
        <f t="shared" si="252"/>
        <v>0</v>
      </c>
      <c r="K159" s="362">
        <f t="shared" si="252"/>
        <v>0</v>
      </c>
      <c r="L159" s="362">
        <f t="shared" si="252"/>
        <v>0</v>
      </c>
      <c r="M159" s="362">
        <f t="shared" si="252"/>
        <v>248000</v>
      </c>
      <c r="N159" s="362">
        <f t="shared" si="252"/>
        <v>248000</v>
      </c>
      <c r="O159" s="362">
        <f t="shared" si="252"/>
        <v>0</v>
      </c>
      <c r="P159" s="362">
        <f t="shared" si="252"/>
        <v>0</v>
      </c>
      <c r="Q159" s="362">
        <f t="shared" si="252"/>
        <v>51000</v>
      </c>
      <c r="R159" s="362">
        <f t="shared" si="252"/>
        <v>28393.47</v>
      </c>
      <c r="S159" s="362">
        <f t="shared" si="252"/>
        <v>79393.47</v>
      </c>
      <c r="T159" s="362">
        <f t="shared" si="252"/>
        <v>0</v>
      </c>
      <c r="U159" s="362">
        <f t="shared" si="252"/>
        <v>0</v>
      </c>
      <c r="V159" s="362">
        <f t="shared" si="252"/>
        <v>51000</v>
      </c>
      <c r="W159" s="362">
        <f t="shared" si="252"/>
        <v>28393.47</v>
      </c>
      <c r="X159" s="362">
        <f t="shared" si="252"/>
        <v>79393.47</v>
      </c>
      <c r="Y159" s="362">
        <f t="shared" si="252"/>
        <v>-248000</v>
      </c>
      <c r="Z159" s="362">
        <f t="shared" si="252"/>
        <v>168606.53</v>
      </c>
      <c r="AA159" s="726">
        <f t="shared" si="252"/>
        <v>0</v>
      </c>
      <c r="AB159" s="721">
        <f t="shared" si="252"/>
        <v>0</v>
      </c>
    </row>
    <row r="160" spans="1:28" s="90" customFormat="1" ht="14.1" customHeight="1" x14ac:dyDescent="0.2">
      <c r="A160" s="301"/>
      <c r="B160" s="347" t="s">
        <v>316</v>
      </c>
      <c r="C160" s="608"/>
      <c r="D160" s="608"/>
      <c r="E160" s="608"/>
      <c r="F160" s="370"/>
      <c r="G160" s="652"/>
      <c r="H160" s="652"/>
      <c r="I160" s="652"/>
      <c r="J160" s="652"/>
      <c r="K160" s="652"/>
      <c r="L160" s="652"/>
      <c r="M160" s="652"/>
      <c r="N160" s="653"/>
      <c r="O160" s="652"/>
      <c r="P160" s="652"/>
      <c r="Q160" s="652"/>
      <c r="R160" s="652"/>
      <c r="S160" s="652"/>
      <c r="T160" s="652"/>
      <c r="U160" s="652"/>
      <c r="V160" s="652"/>
      <c r="W160" s="652"/>
      <c r="X160" s="652"/>
      <c r="Y160" s="652"/>
      <c r="Z160" s="652"/>
      <c r="AA160" s="684"/>
      <c r="AB160" s="686"/>
    </row>
    <row r="161" spans="1:28" s="90" customFormat="1" ht="14.1" customHeight="1" x14ac:dyDescent="0.2">
      <c r="A161" s="301"/>
      <c r="B161" s="348" t="s">
        <v>317</v>
      </c>
      <c r="C161" s="608"/>
      <c r="D161" s="608"/>
      <c r="E161" s="608"/>
      <c r="F161" s="370"/>
      <c r="G161" s="664"/>
      <c r="H161" s="664"/>
      <c r="I161" s="664"/>
      <c r="J161" s="664"/>
      <c r="K161" s="666"/>
      <c r="L161" s="666"/>
      <c r="M161" s="666"/>
      <c r="N161" s="665"/>
      <c r="O161" s="666"/>
      <c r="P161" s="666"/>
      <c r="Q161" s="666"/>
      <c r="R161" s="666"/>
      <c r="S161" s="666"/>
      <c r="T161" s="666"/>
      <c r="U161" s="666"/>
      <c r="V161" s="666"/>
      <c r="W161" s="666"/>
      <c r="X161" s="666"/>
      <c r="Y161" s="666"/>
      <c r="Z161" s="666"/>
      <c r="AA161" s="666"/>
      <c r="AB161" s="667"/>
    </row>
    <row r="162" spans="1:28" s="90" customFormat="1" ht="14.1" customHeight="1" x14ac:dyDescent="0.2">
      <c r="A162" s="301"/>
      <c r="B162" s="350" t="s">
        <v>318</v>
      </c>
      <c r="C162" s="608"/>
      <c r="D162" s="608"/>
      <c r="E162" s="608"/>
      <c r="F162" s="370" t="s">
        <v>319</v>
      </c>
      <c r="G162" s="681">
        <f>'far 1 a(for internal use only)'!G630</f>
        <v>0</v>
      </c>
      <c r="H162" s="681">
        <f>'far 1 a(for internal use only)'!H630</f>
        <v>0</v>
      </c>
      <c r="I162" s="660">
        <f t="shared" ref="I162:I163" si="253">G162+H162</f>
        <v>0</v>
      </c>
      <c r="J162" s="660">
        <f t="shared" ref="J162:J163" si="254">I162</f>
        <v>0</v>
      </c>
      <c r="K162" s="681">
        <f>'far 1 a(for internal use only)'!K630</f>
        <v>0</v>
      </c>
      <c r="L162" s="681">
        <f>'far 1 a(for internal use only)'!L630</f>
        <v>0</v>
      </c>
      <c r="M162" s="681">
        <f>'far 1 a(for internal use only)'!M630</f>
        <v>120000</v>
      </c>
      <c r="N162" s="661">
        <f t="shared" ref="N162:N163" si="255">J162+K162-L162+M162</f>
        <v>120000</v>
      </c>
      <c r="O162" s="681">
        <f>'far 1 a(for internal use only)'!O630</f>
        <v>0</v>
      </c>
      <c r="P162" s="681">
        <f>'far 1 a(for internal use only)'!P630</f>
        <v>0</v>
      </c>
      <c r="Q162" s="681">
        <f>'far 1 a(for internal use only)'!Q630</f>
        <v>0</v>
      </c>
      <c r="R162" s="681">
        <f>'far 1 a(for internal use only)'!R630</f>
        <v>25393.47</v>
      </c>
      <c r="S162" s="662">
        <f t="shared" ref="S162:S163" si="256">SUM(O162:R162)</f>
        <v>25393.47</v>
      </c>
      <c r="T162" s="681">
        <f>'far 1 a(for internal use only)'!T630</f>
        <v>0</v>
      </c>
      <c r="U162" s="681">
        <f>'far 1 a(for internal use only)'!U630</f>
        <v>0</v>
      </c>
      <c r="V162" s="681">
        <f>'far 1 a(for internal use only)'!V630</f>
        <v>0</v>
      </c>
      <c r="W162" s="681">
        <f>'far 1 a(for internal use only)'!W630</f>
        <v>25393.47</v>
      </c>
      <c r="X162" s="662">
        <f t="shared" ref="X162:X163" si="257">SUM(T162:W162)</f>
        <v>25393.47</v>
      </c>
      <c r="Y162" s="662">
        <f t="shared" ref="Y162:Y163" si="258">I162-N162</f>
        <v>-120000</v>
      </c>
      <c r="Z162" s="662">
        <f t="shared" ref="Z162:Z163" si="259">N162-S162</f>
        <v>94606.53</v>
      </c>
      <c r="AA162" s="682">
        <f>'far 1 a(for internal use only)'!AA630</f>
        <v>0</v>
      </c>
      <c r="AB162" s="663">
        <f t="shared" ref="AB162:AB163" si="260">+S162-X162-AA162</f>
        <v>0</v>
      </c>
    </row>
    <row r="163" spans="1:28" s="90" customFormat="1" ht="14.1" customHeight="1" x14ac:dyDescent="0.2">
      <c r="A163" s="301"/>
      <c r="B163" s="350" t="s">
        <v>320</v>
      </c>
      <c r="C163" s="608"/>
      <c r="D163" s="608"/>
      <c r="E163" s="608"/>
      <c r="F163" s="370" t="s">
        <v>321</v>
      </c>
      <c r="G163" s="681">
        <f>'far 1 a(for internal use only)'!G631</f>
        <v>0</v>
      </c>
      <c r="H163" s="681">
        <f>'far 1 a(for internal use only)'!H631</f>
        <v>0</v>
      </c>
      <c r="I163" s="660">
        <f t="shared" si="253"/>
        <v>0</v>
      </c>
      <c r="J163" s="660">
        <f t="shared" si="254"/>
        <v>0</v>
      </c>
      <c r="K163" s="681">
        <f>'far 1 a(for internal use only)'!K631</f>
        <v>0</v>
      </c>
      <c r="L163" s="681">
        <f>'far 1 a(for internal use only)'!L631</f>
        <v>0</v>
      </c>
      <c r="M163" s="681">
        <f>'far 1 a(for internal use only)'!M631</f>
        <v>0</v>
      </c>
      <c r="N163" s="661">
        <f t="shared" si="255"/>
        <v>0</v>
      </c>
      <c r="O163" s="681">
        <f>'far 1 a(for internal use only)'!O631</f>
        <v>0</v>
      </c>
      <c r="P163" s="681">
        <f>'far 1 a(for internal use only)'!P631</f>
        <v>0</v>
      </c>
      <c r="Q163" s="681">
        <f>'far 1 a(for internal use only)'!Q631</f>
        <v>0</v>
      </c>
      <c r="R163" s="681">
        <f>'far 1 a(for internal use only)'!R631</f>
        <v>0</v>
      </c>
      <c r="S163" s="662">
        <f t="shared" si="256"/>
        <v>0</v>
      </c>
      <c r="T163" s="681">
        <f>'far 1 a(for internal use only)'!T631</f>
        <v>0</v>
      </c>
      <c r="U163" s="681">
        <f>'far 1 a(for internal use only)'!U631</f>
        <v>0</v>
      </c>
      <c r="V163" s="681">
        <f>'far 1 a(for internal use only)'!V631</f>
        <v>0</v>
      </c>
      <c r="W163" s="681">
        <f>'far 1 a(for internal use only)'!W631</f>
        <v>0</v>
      </c>
      <c r="X163" s="662">
        <f t="shared" si="257"/>
        <v>0</v>
      </c>
      <c r="Y163" s="662">
        <f t="shared" si="258"/>
        <v>0</v>
      </c>
      <c r="Z163" s="662">
        <f t="shared" si="259"/>
        <v>0</v>
      </c>
      <c r="AA163" s="682">
        <f>'far 1 a(for internal use only)'!AA631</f>
        <v>0</v>
      </c>
      <c r="AB163" s="663">
        <f t="shared" si="260"/>
        <v>0</v>
      </c>
    </row>
    <row r="164" spans="1:28" s="90" customFormat="1" ht="14.1" customHeight="1" x14ac:dyDescent="0.2">
      <c r="A164" s="301"/>
      <c r="B164" s="351" t="s">
        <v>322</v>
      </c>
      <c r="C164" s="608"/>
      <c r="D164" s="608"/>
      <c r="E164" s="608"/>
      <c r="F164" s="370"/>
      <c r="G164" s="652"/>
      <c r="H164" s="652"/>
      <c r="I164" s="652"/>
      <c r="J164" s="652"/>
      <c r="K164" s="684"/>
      <c r="L164" s="684"/>
      <c r="M164" s="684"/>
      <c r="N164" s="685"/>
      <c r="O164" s="684"/>
      <c r="P164" s="684"/>
      <c r="Q164" s="684"/>
      <c r="R164" s="684"/>
      <c r="S164" s="684"/>
      <c r="T164" s="684"/>
      <c r="U164" s="684"/>
      <c r="V164" s="684"/>
      <c r="W164" s="684"/>
      <c r="X164" s="684"/>
      <c r="Y164" s="684"/>
      <c r="Z164" s="684"/>
      <c r="AA164" s="684"/>
      <c r="AB164" s="686"/>
    </row>
    <row r="165" spans="1:28" s="90" customFormat="1" ht="14.1" customHeight="1" x14ac:dyDescent="0.2">
      <c r="A165" s="301"/>
      <c r="B165" s="350" t="s">
        <v>323</v>
      </c>
      <c r="C165" s="608"/>
      <c r="D165" s="608"/>
      <c r="E165" s="608"/>
      <c r="F165" s="370" t="s">
        <v>324</v>
      </c>
      <c r="G165" s="681">
        <f>'far 1 a(for internal use only)'!G633</f>
        <v>0</v>
      </c>
      <c r="H165" s="681">
        <f>'far 1 a(for internal use only)'!H633</f>
        <v>0</v>
      </c>
      <c r="I165" s="660">
        <f t="shared" ref="I165:I167" si="261">G165+H165</f>
        <v>0</v>
      </c>
      <c r="J165" s="660">
        <f t="shared" ref="J165:J167" si="262">I165</f>
        <v>0</v>
      </c>
      <c r="K165" s="681">
        <f>'far 1 a(for internal use only)'!K633</f>
        <v>0</v>
      </c>
      <c r="L165" s="681">
        <f>'far 1 a(for internal use only)'!L633</f>
        <v>0</v>
      </c>
      <c r="M165" s="681">
        <f>'far 1 a(for internal use only)'!M633</f>
        <v>0</v>
      </c>
      <c r="N165" s="661">
        <f t="shared" ref="N165:N167" si="263">J165+K165-L165+M165</f>
        <v>0</v>
      </c>
      <c r="O165" s="681">
        <f>'far 1 a(for internal use only)'!O633</f>
        <v>0</v>
      </c>
      <c r="P165" s="681">
        <f>'far 1 a(for internal use only)'!P633</f>
        <v>0</v>
      </c>
      <c r="Q165" s="681">
        <f>'far 1 a(for internal use only)'!Q633</f>
        <v>0</v>
      </c>
      <c r="R165" s="681">
        <f>'far 1 a(for internal use only)'!R633</f>
        <v>0</v>
      </c>
      <c r="S165" s="662">
        <f t="shared" ref="S165:S167" si="264">SUM(O165:R165)</f>
        <v>0</v>
      </c>
      <c r="T165" s="681">
        <f>'far 1 a(for internal use only)'!T633</f>
        <v>0</v>
      </c>
      <c r="U165" s="681">
        <f>'far 1 a(for internal use only)'!U633</f>
        <v>0</v>
      </c>
      <c r="V165" s="681">
        <f>'far 1 a(for internal use only)'!V633</f>
        <v>0</v>
      </c>
      <c r="W165" s="681">
        <f>'far 1 a(for internal use only)'!W633</f>
        <v>0</v>
      </c>
      <c r="X165" s="662">
        <f t="shared" ref="X165:X167" si="265">SUM(T165:W165)</f>
        <v>0</v>
      </c>
      <c r="Y165" s="662">
        <f t="shared" ref="Y165:Y167" si="266">I165-N165</f>
        <v>0</v>
      </c>
      <c r="Z165" s="662">
        <f t="shared" ref="Z165:Z167" si="267">N165-S165</f>
        <v>0</v>
      </c>
      <c r="AA165" s="682">
        <f>'far 1 a(for internal use only)'!AA633</f>
        <v>0</v>
      </c>
      <c r="AB165" s="663">
        <f t="shared" ref="AB165:AB167" si="268">+S165-X165-AA165</f>
        <v>0</v>
      </c>
    </row>
    <row r="166" spans="1:28" s="90" customFormat="1" ht="14.1" customHeight="1" x14ac:dyDescent="0.2">
      <c r="A166" s="301"/>
      <c r="B166" s="350" t="s">
        <v>720</v>
      </c>
      <c r="C166" s="718"/>
      <c r="D166" s="718"/>
      <c r="E166" s="718"/>
      <c r="F166" s="370" t="s">
        <v>721</v>
      </c>
      <c r="G166" s="681">
        <f>'far 1 a(for internal use only)'!G634</f>
        <v>0</v>
      </c>
      <c r="H166" s="681">
        <f>'far 1 a(for internal use only)'!H634</f>
        <v>0</v>
      </c>
      <c r="I166" s="660">
        <f t="shared" ref="I166" si="269">G166+H166</f>
        <v>0</v>
      </c>
      <c r="J166" s="660">
        <f t="shared" ref="J166" si="270">I166</f>
        <v>0</v>
      </c>
      <c r="K166" s="681">
        <f>'far 1 a(for internal use only)'!K634</f>
        <v>0</v>
      </c>
      <c r="L166" s="681">
        <f>'far 1 a(for internal use only)'!L634</f>
        <v>0</v>
      </c>
      <c r="M166" s="681">
        <f>'far 1 a(for internal use only)'!M634</f>
        <v>0</v>
      </c>
      <c r="N166" s="661">
        <f t="shared" ref="N166" si="271">J166+K166-L166+M166</f>
        <v>0</v>
      </c>
      <c r="O166" s="681">
        <f>'far 1 a(for internal use only)'!O634</f>
        <v>0</v>
      </c>
      <c r="P166" s="681">
        <f>'far 1 a(for internal use only)'!P634</f>
        <v>0</v>
      </c>
      <c r="Q166" s="681">
        <f>'far 1 a(for internal use only)'!Q634</f>
        <v>0</v>
      </c>
      <c r="R166" s="681">
        <f>'far 1 a(for internal use only)'!R634</f>
        <v>0</v>
      </c>
      <c r="S166" s="662">
        <f t="shared" ref="S166" si="272">SUM(O166:R166)</f>
        <v>0</v>
      </c>
      <c r="T166" s="681">
        <f>'far 1 a(for internal use only)'!T634</f>
        <v>0</v>
      </c>
      <c r="U166" s="681">
        <f>'far 1 a(for internal use only)'!U634</f>
        <v>0</v>
      </c>
      <c r="V166" s="681">
        <f>'far 1 a(for internal use only)'!V634</f>
        <v>0</v>
      </c>
      <c r="W166" s="681">
        <f>'far 1 a(for internal use only)'!W634</f>
        <v>0</v>
      </c>
      <c r="X166" s="662">
        <f t="shared" ref="X166" si="273">SUM(T166:W166)</f>
        <v>0</v>
      </c>
      <c r="Y166" s="662">
        <f t="shared" ref="Y166" si="274">I166-N166</f>
        <v>0</v>
      </c>
      <c r="Z166" s="662">
        <f t="shared" ref="Z166" si="275">N166-S166</f>
        <v>0</v>
      </c>
      <c r="AA166" s="682">
        <f>'far 1 a(for internal use only)'!AA634</f>
        <v>0</v>
      </c>
      <c r="AB166" s="663">
        <f t="shared" ref="AB166" si="276">+S166-X166-AA166</f>
        <v>0</v>
      </c>
    </row>
    <row r="167" spans="1:28" s="90" customFormat="1" ht="14.1" customHeight="1" x14ac:dyDescent="0.2">
      <c r="A167" s="301"/>
      <c r="B167" s="350" t="s">
        <v>325</v>
      </c>
      <c r="C167" s="608"/>
      <c r="D167" s="608"/>
      <c r="E167" s="608"/>
      <c r="F167" s="370" t="s">
        <v>326</v>
      </c>
      <c r="G167" s="681">
        <f>'far 1 a(for internal use only)'!G635</f>
        <v>0</v>
      </c>
      <c r="H167" s="681">
        <f>'far 1 a(for internal use only)'!H635</f>
        <v>0</v>
      </c>
      <c r="I167" s="660">
        <f t="shared" si="261"/>
        <v>0</v>
      </c>
      <c r="J167" s="660">
        <f t="shared" si="262"/>
        <v>0</v>
      </c>
      <c r="K167" s="681">
        <f>'far 1 a(for internal use only)'!K635</f>
        <v>0</v>
      </c>
      <c r="L167" s="681">
        <f>'far 1 a(for internal use only)'!L635</f>
        <v>0</v>
      </c>
      <c r="M167" s="681">
        <f>'far 1 a(for internal use only)'!M635</f>
        <v>0</v>
      </c>
      <c r="N167" s="661">
        <f t="shared" si="263"/>
        <v>0</v>
      </c>
      <c r="O167" s="681">
        <f>'far 1 a(for internal use only)'!O635</f>
        <v>0</v>
      </c>
      <c r="P167" s="681">
        <f>'far 1 a(for internal use only)'!P635</f>
        <v>0</v>
      </c>
      <c r="Q167" s="681">
        <f>'far 1 a(for internal use only)'!Q635</f>
        <v>0</v>
      </c>
      <c r="R167" s="681">
        <f>'far 1 a(for internal use only)'!R635</f>
        <v>0</v>
      </c>
      <c r="S167" s="662">
        <f t="shared" si="264"/>
        <v>0</v>
      </c>
      <c r="T167" s="681">
        <f>'far 1 a(for internal use only)'!T635</f>
        <v>0</v>
      </c>
      <c r="U167" s="681">
        <f>'far 1 a(for internal use only)'!U635</f>
        <v>0</v>
      </c>
      <c r="V167" s="681">
        <f>'far 1 a(for internal use only)'!V635</f>
        <v>0</v>
      </c>
      <c r="W167" s="681">
        <f>'far 1 a(for internal use only)'!W635</f>
        <v>0</v>
      </c>
      <c r="X167" s="662">
        <f t="shared" si="265"/>
        <v>0</v>
      </c>
      <c r="Y167" s="662">
        <f t="shared" si="266"/>
        <v>0</v>
      </c>
      <c r="Z167" s="662">
        <f t="shared" si="267"/>
        <v>0</v>
      </c>
      <c r="AA167" s="682">
        <f>'far 1 a(for internal use only)'!AA635</f>
        <v>0</v>
      </c>
      <c r="AB167" s="663">
        <f t="shared" si="268"/>
        <v>0</v>
      </c>
    </row>
    <row r="168" spans="1:28" s="90" customFormat="1" ht="14.1" customHeight="1" x14ac:dyDescent="0.2">
      <c r="A168" s="301"/>
      <c r="B168" s="351" t="s">
        <v>327</v>
      </c>
      <c r="C168" s="608"/>
      <c r="D168" s="608"/>
      <c r="E168" s="608"/>
      <c r="F168" s="370"/>
      <c r="G168" s="652"/>
      <c r="H168" s="652"/>
      <c r="I168" s="652"/>
      <c r="J168" s="652"/>
      <c r="K168" s="684"/>
      <c r="L168" s="684"/>
      <c r="M168" s="684"/>
      <c r="N168" s="685"/>
      <c r="O168" s="684"/>
      <c r="P168" s="684"/>
      <c r="Q168" s="684"/>
      <c r="R168" s="684"/>
      <c r="S168" s="684"/>
      <c r="T168" s="684"/>
      <c r="U168" s="684"/>
      <c r="V168" s="684"/>
      <c r="W168" s="684"/>
      <c r="X168" s="684"/>
      <c r="Y168" s="684"/>
      <c r="Z168" s="684"/>
      <c r="AA168" s="684"/>
      <c r="AB168" s="686"/>
    </row>
    <row r="169" spans="1:28" s="90" customFormat="1" ht="14.1" customHeight="1" x14ac:dyDescent="0.2">
      <c r="A169" s="301"/>
      <c r="B169" s="350" t="s">
        <v>328</v>
      </c>
      <c r="C169" s="608"/>
      <c r="D169" s="608"/>
      <c r="E169" s="608"/>
      <c r="F169" s="370" t="s">
        <v>329</v>
      </c>
      <c r="G169" s="681">
        <f>'far 1 a(for internal use only)'!G637</f>
        <v>0</v>
      </c>
      <c r="H169" s="681">
        <f>'far 1 a(for internal use only)'!H637</f>
        <v>0</v>
      </c>
      <c r="I169" s="660">
        <f t="shared" ref="I169:I174" si="277">G169+H169</f>
        <v>0</v>
      </c>
      <c r="J169" s="660">
        <f t="shared" ref="J169:J174" si="278">I169</f>
        <v>0</v>
      </c>
      <c r="K169" s="681">
        <f>'far 1 a(for internal use only)'!K637</f>
        <v>0</v>
      </c>
      <c r="L169" s="681">
        <f>'far 1 a(for internal use only)'!L637</f>
        <v>0</v>
      </c>
      <c r="M169" s="681">
        <f>'far 1 a(for internal use only)'!M637</f>
        <v>10000</v>
      </c>
      <c r="N169" s="661">
        <f t="shared" ref="N169:N174" si="279">J169+K169-L169+M169</f>
        <v>10000</v>
      </c>
      <c r="O169" s="681">
        <f>'far 1 a(for internal use only)'!O637</f>
        <v>0</v>
      </c>
      <c r="P169" s="681">
        <f>'far 1 a(for internal use only)'!P637</f>
        <v>0</v>
      </c>
      <c r="Q169" s="681">
        <f>'far 1 a(for internal use only)'!Q637</f>
        <v>10000</v>
      </c>
      <c r="R169" s="681">
        <f>'far 1 a(for internal use only)'!R637</f>
        <v>0</v>
      </c>
      <c r="S169" s="662">
        <f t="shared" ref="S169:S174" si="280">SUM(O169:R169)</f>
        <v>10000</v>
      </c>
      <c r="T169" s="681">
        <f>'far 1 a(for internal use only)'!T637</f>
        <v>0</v>
      </c>
      <c r="U169" s="681">
        <f>'far 1 a(for internal use only)'!U637</f>
        <v>0</v>
      </c>
      <c r="V169" s="681">
        <f>'far 1 a(for internal use only)'!V637</f>
        <v>10000</v>
      </c>
      <c r="W169" s="681">
        <f>'far 1 a(for internal use only)'!W637</f>
        <v>0</v>
      </c>
      <c r="X169" s="662">
        <f t="shared" ref="X169:X174" si="281">SUM(T169:W169)</f>
        <v>10000</v>
      </c>
      <c r="Y169" s="662">
        <f t="shared" ref="Y169:Y174" si="282">I169-N169</f>
        <v>-10000</v>
      </c>
      <c r="Z169" s="662">
        <f t="shared" ref="Z169:Z174" si="283">N169-S169</f>
        <v>0</v>
      </c>
      <c r="AA169" s="682">
        <f>'far 1 a(for internal use only)'!AA637</f>
        <v>0</v>
      </c>
      <c r="AB169" s="663">
        <f t="shared" ref="AB169:AB174" si="284">+S169-X169-AA169</f>
        <v>0</v>
      </c>
    </row>
    <row r="170" spans="1:28" s="90" customFormat="1" ht="14.1" customHeight="1" x14ac:dyDescent="0.2">
      <c r="A170" s="301"/>
      <c r="B170" s="350" t="s">
        <v>330</v>
      </c>
      <c r="C170" s="608"/>
      <c r="D170" s="608"/>
      <c r="E170" s="608"/>
      <c r="F170" s="370" t="s">
        <v>331</v>
      </c>
      <c r="G170" s="681">
        <f>'far 1 a(for internal use only)'!G638</f>
        <v>0</v>
      </c>
      <c r="H170" s="681">
        <f>'far 1 a(for internal use only)'!H638</f>
        <v>0</v>
      </c>
      <c r="I170" s="660">
        <f t="shared" si="277"/>
        <v>0</v>
      </c>
      <c r="J170" s="660">
        <f t="shared" si="278"/>
        <v>0</v>
      </c>
      <c r="K170" s="681">
        <f>'far 1 a(for internal use only)'!K638</f>
        <v>0</v>
      </c>
      <c r="L170" s="681">
        <f>'far 1 a(for internal use only)'!L638</f>
        <v>0</v>
      </c>
      <c r="M170" s="681">
        <f>'far 1 a(for internal use only)'!M638</f>
        <v>0</v>
      </c>
      <c r="N170" s="661">
        <f t="shared" si="279"/>
        <v>0</v>
      </c>
      <c r="O170" s="681">
        <f>'far 1 a(for internal use only)'!O638</f>
        <v>0</v>
      </c>
      <c r="P170" s="681">
        <f>'far 1 a(for internal use only)'!P638</f>
        <v>0</v>
      </c>
      <c r="Q170" s="681">
        <f>'far 1 a(for internal use only)'!Q638</f>
        <v>0</v>
      </c>
      <c r="R170" s="681">
        <f>'far 1 a(for internal use only)'!R638</f>
        <v>0</v>
      </c>
      <c r="S170" s="662">
        <f t="shared" si="280"/>
        <v>0</v>
      </c>
      <c r="T170" s="681">
        <f>'far 1 a(for internal use only)'!T638</f>
        <v>0</v>
      </c>
      <c r="U170" s="681">
        <f>'far 1 a(for internal use only)'!U638</f>
        <v>0</v>
      </c>
      <c r="V170" s="681">
        <f>'far 1 a(for internal use only)'!V638</f>
        <v>0</v>
      </c>
      <c r="W170" s="681">
        <f>'far 1 a(for internal use only)'!W638</f>
        <v>0</v>
      </c>
      <c r="X170" s="662">
        <f t="shared" si="281"/>
        <v>0</v>
      </c>
      <c r="Y170" s="662">
        <f t="shared" si="282"/>
        <v>0</v>
      </c>
      <c r="Z170" s="662">
        <f t="shared" si="283"/>
        <v>0</v>
      </c>
      <c r="AA170" s="682">
        <f>'far 1 a(for internal use only)'!AA638</f>
        <v>0</v>
      </c>
      <c r="AB170" s="663">
        <f t="shared" si="284"/>
        <v>0</v>
      </c>
    </row>
    <row r="171" spans="1:28" s="90" customFormat="1" ht="14.1" customHeight="1" x14ac:dyDescent="0.2">
      <c r="A171" s="301"/>
      <c r="B171" s="350" t="s">
        <v>332</v>
      </c>
      <c r="C171" s="608"/>
      <c r="D171" s="608"/>
      <c r="E171" s="608"/>
      <c r="F171" s="370" t="s">
        <v>333</v>
      </c>
      <c r="G171" s="681">
        <f>'far 1 a(for internal use only)'!G639</f>
        <v>0</v>
      </c>
      <c r="H171" s="681">
        <f>'far 1 a(for internal use only)'!H639</f>
        <v>0</v>
      </c>
      <c r="I171" s="660">
        <f t="shared" si="277"/>
        <v>0</v>
      </c>
      <c r="J171" s="660">
        <f t="shared" si="278"/>
        <v>0</v>
      </c>
      <c r="K171" s="681">
        <f>'far 1 a(for internal use only)'!K639</f>
        <v>0</v>
      </c>
      <c r="L171" s="681">
        <f>'far 1 a(for internal use only)'!L639</f>
        <v>0</v>
      </c>
      <c r="M171" s="681">
        <f>'far 1 a(for internal use only)'!M639</f>
        <v>0</v>
      </c>
      <c r="N171" s="661">
        <f t="shared" si="279"/>
        <v>0</v>
      </c>
      <c r="O171" s="681">
        <f>'far 1 a(for internal use only)'!O639</f>
        <v>0</v>
      </c>
      <c r="P171" s="681">
        <f>'far 1 a(for internal use only)'!P639</f>
        <v>0</v>
      </c>
      <c r="Q171" s="681">
        <f>'far 1 a(for internal use only)'!Q639</f>
        <v>0</v>
      </c>
      <c r="R171" s="681">
        <f>'far 1 a(for internal use only)'!R639</f>
        <v>0</v>
      </c>
      <c r="S171" s="662">
        <f t="shared" si="280"/>
        <v>0</v>
      </c>
      <c r="T171" s="681">
        <f>'far 1 a(for internal use only)'!T639</f>
        <v>0</v>
      </c>
      <c r="U171" s="681">
        <f>'far 1 a(for internal use only)'!U639</f>
        <v>0</v>
      </c>
      <c r="V171" s="681">
        <f>'far 1 a(for internal use only)'!V639</f>
        <v>0</v>
      </c>
      <c r="W171" s="681">
        <f>'far 1 a(for internal use only)'!W639</f>
        <v>0</v>
      </c>
      <c r="X171" s="662">
        <f t="shared" si="281"/>
        <v>0</v>
      </c>
      <c r="Y171" s="662">
        <f t="shared" si="282"/>
        <v>0</v>
      </c>
      <c r="Z171" s="662">
        <f t="shared" si="283"/>
        <v>0</v>
      </c>
      <c r="AA171" s="682">
        <f>'far 1 a(for internal use only)'!AA639</f>
        <v>0</v>
      </c>
      <c r="AB171" s="663">
        <f t="shared" si="284"/>
        <v>0</v>
      </c>
    </row>
    <row r="172" spans="1:28" s="90" customFormat="1" ht="14.1" customHeight="1" x14ac:dyDescent="0.2">
      <c r="A172" s="301"/>
      <c r="B172" s="350" t="s">
        <v>334</v>
      </c>
      <c r="C172" s="608"/>
      <c r="D172" s="608"/>
      <c r="E172" s="608"/>
      <c r="F172" s="370" t="s">
        <v>335</v>
      </c>
      <c r="G172" s="681">
        <f>'far 1 a(for internal use only)'!G640</f>
        <v>0</v>
      </c>
      <c r="H172" s="681">
        <f>'far 1 a(for internal use only)'!H640</f>
        <v>0</v>
      </c>
      <c r="I172" s="660">
        <f t="shared" si="277"/>
        <v>0</v>
      </c>
      <c r="J172" s="660">
        <f t="shared" si="278"/>
        <v>0</v>
      </c>
      <c r="K172" s="681">
        <f>'far 1 a(for internal use only)'!K640</f>
        <v>0</v>
      </c>
      <c r="L172" s="681">
        <f>'far 1 a(for internal use only)'!L640</f>
        <v>0</v>
      </c>
      <c r="M172" s="681">
        <f>'far 1 a(for internal use only)'!M640</f>
        <v>0</v>
      </c>
      <c r="N172" s="661">
        <f t="shared" si="279"/>
        <v>0</v>
      </c>
      <c r="O172" s="681">
        <f>'far 1 a(for internal use only)'!O640</f>
        <v>0</v>
      </c>
      <c r="P172" s="681">
        <f>'far 1 a(for internal use only)'!P640</f>
        <v>0</v>
      </c>
      <c r="Q172" s="681">
        <f>'far 1 a(for internal use only)'!Q640</f>
        <v>0</v>
      </c>
      <c r="R172" s="681">
        <f>'far 1 a(for internal use only)'!R640</f>
        <v>0</v>
      </c>
      <c r="S172" s="662">
        <f t="shared" si="280"/>
        <v>0</v>
      </c>
      <c r="T172" s="681">
        <f>'far 1 a(for internal use only)'!T640</f>
        <v>0</v>
      </c>
      <c r="U172" s="681">
        <f>'far 1 a(for internal use only)'!U640</f>
        <v>0</v>
      </c>
      <c r="V172" s="681">
        <f>'far 1 a(for internal use only)'!V640</f>
        <v>0</v>
      </c>
      <c r="W172" s="681">
        <f>'far 1 a(for internal use only)'!W640</f>
        <v>0</v>
      </c>
      <c r="X172" s="662">
        <f t="shared" si="281"/>
        <v>0</v>
      </c>
      <c r="Y172" s="662">
        <f t="shared" si="282"/>
        <v>0</v>
      </c>
      <c r="Z172" s="662">
        <f t="shared" si="283"/>
        <v>0</v>
      </c>
      <c r="AA172" s="682">
        <f>'far 1 a(for internal use only)'!AA640</f>
        <v>0</v>
      </c>
      <c r="AB172" s="663">
        <f t="shared" si="284"/>
        <v>0</v>
      </c>
    </row>
    <row r="173" spans="1:28" s="90" customFormat="1" ht="14.1" customHeight="1" x14ac:dyDescent="0.2">
      <c r="A173" s="301"/>
      <c r="B173" s="350" t="s">
        <v>336</v>
      </c>
      <c r="C173" s="608"/>
      <c r="D173" s="608"/>
      <c r="E173" s="608"/>
      <c r="F173" s="370" t="s">
        <v>337</v>
      </c>
      <c r="G173" s="681">
        <f>'far 1 a(for internal use only)'!G641</f>
        <v>0</v>
      </c>
      <c r="H173" s="681">
        <f>'far 1 a(for internal use only)'!H641</f>
        <v>0</v>
      </c>
      <c r="I173" s="660">
        <f t="shared" si="277"/>
        <v>0</v>
      </c>
      <c r="J173" s="660">
        <f t="shared" si="278"/>
        <v>0</v>
      </c>
      <c r="K173" s="681">
        <f>'far 1 a(for internal use only)'!K641</f>
        <v>0</v>
      </c>
      <c r="L173" s="681">
        <f>'far 1 a(for internal use only)'!L641</f>
        <v>0</v>
      </c>
      <c r="M173" s="681">
        <f>'far 1 a(for internal use only)'!M641</f>
        <v>20000</v>
      </c>
      <c r="N173" s="661">
        <f t="shared" si="279"/>
        <v>20000</v>
      </c>
      <c r="O173" s="681">
        <f>'far 1 a(for internal use only)'!O641</f>
        <v>0</v>
      </c>
      <c r="P173" s="681">
        <f>'far 1 a(for internal use only)'!P641</f>
        <v>0</v>
      </c>
      <c r="Q173" s="681">
        <f>'far 1 a(for internal use only)'!Q641</f>
        <v>20000</v>
      </c>
      <c r="R173" s="681">
        <f>'far 1 a(for internal use only)'!R641</f>
        <v>0</v>
      </c>
      <c r="S173" s="662">
        <f t="shared" si="280"/>
        <v>20000</v>
      </c>
      <c r="T173" s="681">
        <f>'far 1 a(for internal use only)'!T641</f>
        <v>0</v>
      </c>
      <c r="U173" s="681">
        <f>'far 1 a(for internal use only)'!U641</f>
        <v>0</v>
      </c>
      <c r="V173" s="681">
        <f>'far 1 a(for internal use only)'!V641</f>
        <v>20000</v>
      </c>
      <c r="W173" s="681">
        <f>'far 1 a(for internal use only)'!W641</f>
        <v>0</v>
      </c>
      <c r="X173" s="662">
        <f t="shared" si="281"/>
        <v>20000</v>
      </c>
      <c r="Y173" s="662">
        <f t="shared" si="282"/>
        <v>-20000</v>
      </c>
      <c r="Z173" s="662">
        <f t="shared" si="283"/>
        <v>0</v>
      </c>
      <c r="AA173" s="682">
        <f>'far 1 a(for internal use only)'!AA641</f>
        <v>0</v>
      </c>
      <c r="AB173" s="663">
        <f t="shared" si="284"/>
        <v>0</v>
      </c>
    </row>
    <row r="174" spans="1:28" s="90" customFormat="1" ht="14.1" customHeight="1" x14ac:dyDescent="0.2">
      <c r="A174" s="301"/>
      <c r="B174" s="350" t="s">
        <v>338</v>
      </c>
      <c r="C174" s="608"/>
      <c r="D174" s="608"/>
      <c r="E174" s="608"/>
      <c r="F174" s="370" t="s">
        <v>339</v>
      </c>
      <c r="G174" s="681">
        <f>'far 1 a(for internal use only)'!G642</f>
        <v>0</v>
      </c>
      <c r="H174" s="681">
        <f>'far 1 a(for internal use only)'!H642</f>
        <v>0</v>
      </c>
      <c r="I174" s="660">
        <f t="shared" si="277"/>
        <v>0</v>
      </c>
      <c r="J174" s="660">
        <f t="shared" si="278"/>
        <v>0</v>
      </c>
      <c r="K174" s="681">
        <f>'far 1 a(for internal use only)'!K642</f>
        <v>0</v>
      </c>
      <c r="L174" s="681">
        <f>'far 1 a(for internal use only)'!L642</f>
        <v>0</v>
      </c>
      <c r="M174" s="681">
        <f>'far 1 a(for internal use only)'!M642</f>
        <v>0</v>
      </c>
      <c r="N174" s="661">
        <f t="shared" si="279"/>
        <v>0</v>
      </c>
      <c r="O174" s="681">
        <f>'far 1 a(for internal use only)'!O642</f>
        <v>0</v>
      </c>
      <c r="P174" s="681">
        <f>'far 1 a(for internal use only)'!P642</f>
        <v>0</v>
      </c>
      <c r="Q174" s="681">
        <f>'far 1 a(for internal use only)'!Q642</f>
        <v>0</v>
      </c>
      <c r="R174" s="681">
        <f>'far 1 a(for internal use only)'!R642</f>
        <v>0</v>
      </c>
      <c r="S174" s="662">
        <f t="shared" si="280"/>
        <v>0</v>
      </c>
      <c r="T174" s="681">
        <f>'far 1 a(for internal use only)'!T642</f>
        <v>0</v>
      </c>
      <c r="U174" s="681">
        <f>'far 1 a(for internal use only)'!U642</f>
        <v>0</v>
      </c>
      <c r="V174" s="681">
        <f>'far 1 a(for internal use only)'!V642</f>
        <v>0</v>
      </c>
      <c r="W174" s="681">
        <f>'far 1 a(for internal use only)'!W642</f>
        <v>0</v>
      </c>
      <c r="X174" s="662">
        <f t="shared" si="281"/>
        <v>0</v>
      </c>
      <c r="Y174" s="662">
        <f t="shared" si="282"/>
        <v>0</v>
      </c>
      <c r="Z174" s="662">
        <f t="shared" si="283"/>
        <v>0</v>
      </c>
      <c r="AA174" s="682">
        <f>'far 1 a(for internal use only)'!AA642</f>
        <v>0</v>
      </c>
      <c r="AB174" s="663">
        <f t="shared" si="284"/>
        <v>0</v>
      </c>
    </row>
    <row r="175" spans="1:28" s="90" customFormat="1" ht="14.1" customHeight="1" x14ac:dyDescent="0.2">
      <c r="A175" s="301"/>
      <c r="B175" s="351" t="s">
        <v>340</v>
      </c>
      <c r="C175" s="608"/>
      <c r="D175" s="608"/>
      <c r="E175" s="608"/>
      <c r="F175" s="370"/>
      <c r="G175" s="652"/>
      <c r="H175" s="652"/>
      <c r="I175" s="652"/>
      <c r="J175" s="652"/>
      <c r="K175" s="684"/>
      <c r="L175" s="684"/>
      <c r="M175" s="684"/>
      <c r="N175" s="685"/>
      <c r="O175" s="684"/>
      <c r="P175" s="684"/>
      <c r="Q175" s="684"/>
      <c r="R175" s="684"/>
      <c r="S175" s="684"/>
      <c r="T175" s="684"/>
      <c r="U175" s="684"/>
      <c r="V175" s="684"/>
      <c r="W175" s="684"/>
      <c r="X175" s="684"/>
      <c r="Y175" s="684"/>
      <c r="Z175" s="684"/>
      <c r="AA175" s="684"/>
      <c r="AB175" s="686"/>
    </row>
    <row r="176" spans="1:28" s="90" customFormat="1" ht="14.1" customHeight="1" x14ac:dyDescent="0.2">
      <c r="A176" s="301"/>
      <c r="B176" s="350" t="s">
        <v>341</v>
      </c>
      <c r="C176" s="608"/>
      <c r="D176" s="608"/>
      <c r="E176" s="608"/>
      <c r="F176" s="370" t="s">
        <v>342</v>
      </c>
      <c r="G176" s="681">
        <f>'far 1 a(for internal use only)'!G644</f>
        <v>0</v>
      </c>
      <c r="H176" s="681">
        <f>'far 1 a(for internal use only)'!H644</f>
        <v>0</v>
      </c>
      <c r="I176" s="660">
        <f t="shared" ref="I176:I177" si="285">G176+H176</f>
        <v>0</v>
      </c>
      <c r="J176" s="660">
        <f t="shared" ref="J176:J177" si="286">I176</f>
        <v>0</v>
      </c>
      <c r="K176" s="681">
        <f>'far 1 a(for internal use only)'!K644</f>
        <v>0</v>
      </c>
      <c r="L176" s="681">
        <f>'far 1 a(for internal use only)'!L644</f>
        <v>0</v>
      </c>
      <c r="M176" s="681">
        <f>'far 1 a(for internal use only)'!M644</f>
        <v>0</v>
      </c>
      <c r="N176" s="661">
        <f t="shared" ref="N176:N177" si="287">J176+K176-L176+M176</f>
        <v>0</v>
      </c>
      <c r="O176" s="681">
        <f>'far 1 a(for internal use only)'!O644</f>
        <v>0</v>
      </c>
      <c r="P176" s="681">
        <f>'far 1 a(for internal use only)'!P644</f>
        <v>0</v>
      </c>
      <c r="Q176" s="681">
        <f>'far 1 a(for internal use only)'!Q644</f>
        <v>0</v>
      </c>
      <c r="R176" s="681">
        <f>'far 1 a(for internal use only)'!R644</f>
        <v>0</v>
      </c>
      <c r="S176" s="662">
        <f t="shared" ref="S176:S177" si="288">SUM(O176:R176)</f>
        <v>0</v>
      </c>
      <c r="T176" s="681">
        <f>'far 1 a(for internal use only)'!T644</f>
        <v>0</v>
      </c>
      <c r="U176" s="681">
        <f>'far 1 a(for internal use only)'!U644</f>
        <v>0</v>
      </c>
      <c r="V176" s="681">
        <f>'far 1 a(for internal use only)'!V644</f>
        <v>0</v>
      </c>
      <c r="W176" s="681">
        <f>'far 1 a(for internal use only)'!W644</f>
        <v>0</v>
      </c>
      <c r="X176" s="662">
        <f t="shared" ref="X176:X177" si="289">SUM(T176:W176)</f>
        <v>0</v>
      </c>
      <c r="Y176" s="662">
        <f t="shared" ref="Y176:Y177" si="290">I176-N176</f>
        <v>0</v>
      </c>
      <c r="Z176" s="662">
        <f t="shared" ref="Z176:Z177" si="291">N176-S176</f>
        <v>0</v>
      </c>
      <c r="AA176" s="682">
        <f>'far 1 a(for internal use only)'!AA644</f>
        <v>0</v>
      </c>
      <c r="AB176" s="663">
        <f t="shared" ref="AB176:AB177" si="292">+S176-X176-AA176</f>
        <v>0</v>
      </c>
    </row>
    <row r="177" spans="1:28" s="90" customFormat="1" ht="14.1" customHeight="1" x14ac:dyDescent="0.2">
      <c r="A177" s="301"/>
      <c r="B177" s="350" t="s">
        <v>343</v>
      </c>
      <c r="C177" s="608"/>
      <c r="D177" s="608"/>
      <c r="E177" s="608"/>
      <c r="F177" s="370" t="s">
        <v>344</v>
      </c>
      <c r="G177" s="681">
        <f>'far 1 a(for internal use only)'!G645</f>
        <v>0</v>
      </c>
      <c r="H177" s="681">
        <f>'far 1 a(for internal use only)'!H645</f>
        <v>0</v>
      </c>
      <c r="I177" s="660">
        <f t="shared" si="285"/>
        <v>0</v>
      </c>
      <c r="J177" s="660">
        <f t="shared" si="286"/>
        <v>0</v>
      </c>
      <c r="K177" s="681">
        <f>'far 1 a(for internal use only)'!K645</f>
        <v>0</v>
      </c>
      <c r="L177" s="681">
        <f>'far 1 a(for internal use only)'!L645</f>
        <v>0</v>
      </c>
      <c r="M177" s="681">
        <f>'far 1 a(for internal use only)'!M645</f>
        <v>0</v>
      </c>
      <c r="N177" s="661">
        <f t="shared" si="287"/>
        <v>0</v>
      </c>
      <c r="O177" s="681">
        <f>'far 1 a(for internal use only)'!O645</f>
        <v>0</v>
      </c>
      <c r="P177" s="681">
        <f>'far 1 a(for internal use only)'!P645</f>
        <v>0</v>
      </c>
      <c r="Q177" s="681">
        <f>'far 1 a(for internal use only)'!Q645</f>
        <v>0</v>
      </c>
      <c r="R177" s="681">
        <f>'far 1 a(for internal use only)'!R645</f>
        <v>0</v>
      </c>
      <c r="S177" s="662">
        <f t="shared" si="288"/>
        <v>0</v>
      </c>
      <c r="T177" s="681">
        <f>'far 1 a(for internal use only)'!T645</f>
        <v>0</v>
      </c>
      <c r="U177" s="681">
        <f>'far 1 a(for internal use only)'!U645</f>
        <v>0</v>
      </c>
      <c r="V177" s="681">
        <f>'far 1 a(for internal use only)'!V645</f>
        <v>0</v>
      </c>
      <c r="W177" s="681">
        <f>'far 1 a(for internal use only)'!W645</f>
        <v>0</v>
      </c>
      <c r="X177" s="662">
        <f t="shared" si="289"/>
        <v>0</v>
      </c>
      <c r="Y177" s="662">
        <f t="shared" si="290"/>
        <v>0</v>
      </c>
      <c r="Z177" s="662">
        <f t="shared" si="291"/>
        <v>0</v>
      </c>
      <c r="AA177" s="682">
        <f>'far 1 a(for internal use only)'!AA645</f>
        <v>0</v>
      </c>
      <c r="AB177" s="663">
        <f t="shared" si="292"/>
        <v>0</v>
      </c>
    </row>
    <row r="178" spans="1:28" s="90" customFormat="1" ht="14.1" customHeight="1" x14ac:dyDescent="0.2">
      <c r="A178" s="301"/>
      <c r="B178" s="351" t="s">
        <v>345</v>
      </c>
      <c r="C178" s="608"/>
      <c r="D178" s="608"/>
      <c r="E178" s="608"/>
      <c r="F178" s="370"/>
      <c r="G178" s="652"/>
      <c r="H178" s="652"/>
      <c r="I178" s="652"/>
      <c r="J178" s="652"/>
      <c r="K178" s="684"/>
      <c r="L178" s="684"/>
      <c r="M178" s="684"/>
      <c r="N178" s="685"/>
      <c r="O178" s="684"/>
      <c r="P178" s="684"/>
      <c r="Q178" s="684"/>
      <c r="R178" s="684"/>
      <c r="S178" s="684"/>
      <c r="T178" s="684"/>
      <c r="U178" s="684"/>
      <c r="V178" s="684"/>
      <c r="W178" s="684"/>
      <c r="X178" s="684"/>
      <c r="Y178" s="684"/>
      <c r="Z178" s="684"/>
      <c r="AA178" s="684"/>
      <c r="AB178" s="686"/>
    </row>
    <row r="179" spans="1:28" s="90" customFormat="1" ht="14.1" customHeight="1" x14ac:dyDescent="0.2">
      <c r="A179" s="301"/>
      <c r="B179" s="350" t="s">
        <v>346</v>
      </c>
      <c r="C179" s="608"/>
      <c r="D179" s="608"/>
      <c r="E179" s="608"/>
      <c r="F179" s="370" t="s">
        <v>744</v>
      </c>
      <c r="G179" s="681">
        <f>'far 1 a(for internal use only)'!G647</f>
        <v>0</v>
      </c>
      <c r="H179" s="681">
        <f>'far 1 a(for internal use only)'!H647</f>
        <v>0</v>
      </c>
      <c r="I179" s="660">
        <f t="shared" ref="I179:I183" si="293">G179+H179</f>
        <v>0</v>
      </c>
      <c r="J179" s="660">
        <f t="shared" ref="J179:J183" si="294">I179</f>
        <v>0</v>
      </c>
      <c r="K179" s="681">
        <f>'far 1 a(for internal use only)'!K647</f>
        <v>0</v>
      </c>
      <c r="L179" s="681">
        <f>'far 1 a(for internal use only)'!L647</f>
        <v>0</v>
      </c>
      <c r="M179" s="681">
        <f>'far 1 a(for internal use only)'!M647</f>
        <v>0</v>
      </c>
      <c r="N179" s="661">
        <f t="shared" ref="N179:N183" si="295">J179+K179-L179+M179</f>
        <v>0</v>
      </c>
      <c r="O179" s="681">
        <f>'far 1 a(for internal use only)'!O647</f>
        <v>0</v>
      </c>
      <c r="P179" s="681">
        <f>'far 1 a(for internal use only)'!P647</f>
        <v>0</v>
      </c>
      <c r="Q179" s="681">
        <f>'far 1 a(for internal use only)'!Q647</f>
        <v>0</v>
      </c>
      <c r="R179" s="681">
        <f>'far 1 a(for internal use only)'!R647</f>
        <v>0</v>
      </c>
      <c r="S179" s="662">
        <f t="shared" ref="S179:S183" si="296">SUM(O179:R179)</f>
        <v>0</v>
      </c>
      <c r="T179" s="681">
        <f>'far 1 a(for internal use only)'!T647</f>
        <v>0</v>
      </c>
      <c r="U179" s="681">
        <f>'far 1 a(for internal use only)'!U647</f>
        <v>0</v>
      </c>
      <c r="V179" s="681">
        <f>'far 1 a(for internal use only)'!V647</f>
        <v>0</v>
      </c>
      <c r="W179" s="681">
        <f>'far 1 a(for internal use only)'!W647</f>
        <v>0</v>
      </c>
      <c r="X179" s="662">
        <f t="shared" ref="X179:X183" si="297">SUM(T179:W179)</f>
        <v>0</v>
      </c>
      <c r="Y179" s="662">
        <f t="shared" ref="Y179:Y183" si="298">I179-N179</f>
        <v>0</v>
      </c>
      <c r="Z179" s="662">
        <f t="shared" ref="Z179:Z183" si="299">N179-S179</f>
        <v>0</v>
      </c>
      <c r="AA179" s="682">
        <f>'far 1 a(for internal use only)'!AA647</f>
        <v>0</v>
      </c>
      <c r="AB179" s="663">
        <f t="shared" ref="AB179:AB183" si="300">+S179-X179-AA179</f>
        <v>0</v>
      </c>
    </row>
    <row r="180" spans="1:28" s="90" customFormat="1" ht="14.1" customHeight="1" x14ac:dyDescent="0.2">
      <c r="A180" s="301"/>
      <c r="B180" s="350" t="s">
        <v>348</v>
      </c>
      <c r="C180" s="608"/>
      <c r="D180" s="608"/>
      <c r="E180" s="608"/>
      <c r="F180" s="370" t="s">
        <v>349</v>
      </c>
      <c r="G180" s="681">
        <f>'far 1 a(for internal use only)'!G648</f>
        <v>0</v>
      </c>
      <c r="H180" s="681">
        <f>'far 1 a(for internal use only)'!H648</f>
        <v>0</v>
      </c>
      <c r="I180" s="660">
        <f t="shared" si="293"/>
        <v>0</v>
      </c>
      <c r="J180" s="660">
        <f t="shared" si="294"/>
        <v>0</v>
      </c>
      <c r="K180" s="681">
        <f>'far 1 a(for internal use only)'!K648</f>
        <v>0</v>
      </c>
      <c r="L180" s="681">
        <f>'far 1 a(for internal use only)'!L648</f>
        <v>0</v>
      </c>
      <c r="M180" s="681">
        <f>'far 1 a(for internal use only)'!M648</f>
        <v>4000</v>
      </c>
      <c r="N180" s="661">
        <f t="shared" si="295"/>
        <v>4000</v>
      </c>
      <c r="O180" s="681">
        <f>'far 1 a(for internal use only)'!O648</f>
        <v>0</v>
      </c>
      <c r="P180" s="681">
        <f>'far 1 a(for internal use only)'!P648</f>
        <v>0</v>
      </c>
      <c r="Q180" s="681">
        <f>'far 1 a(for internal use only)'!Q648</f>
        <v>1000</v>
      </c>
      <c r="R180" s="681">
        <f>'far 1 a(for internal use only)'!R648</f>
        <v>3000</v>
      </c>
      <c r="S180" s="662">
        <f t="shared" si="296"/>
        <v>4000</v>
      </c>
      <c r="T180" s="681">
        <f>'far 1 a(for internal use only)'!T648</f>
        <v>0</v>
      </c>
      <c r="U180" s="681">
        <f>'far 1 a(for internal use only)'!U648</f>
        <v>0</v>
      </c>
      <c r="V180" s="681">
        <f>'far 1 a(for internal use only)'!V648</f>
        <v>1000</v>
      </c>
      <c r="W180" s="681">
        <f>'far 1 a(for internal use only)'!W648</f>
        <v>3000</v>
      </c>
      <c r="X180" s="662">
        <f t="shared" si="297"/>
        <v>4000</v>
      </c>
      <c r="Y180" s="662">
        <f t="shared" si="298"/>
        <v>-4000</v>
      </c>
      <c r="Z180" s="662">
        <f t="shared" si="299"/>
        <v>0</v>
      </c>
      <c r="AA180" s="682">
        <f>'far 1 a(for internal use only)'!AA648</f>
        <v>0</v>
      </c>
      <c r="AB180" s="663">
        <f t="shared" si="300"/>
        <v>0</v>
      </c>
    </row>
    <row r="181" spans="1:28" s="90" customFormat="1" ht="14.1" customHeight="1" x14ac:dyDescent="0.2">
      <c r="A181" s="301"/>
      <c r="B181" s="350" t="s">
        <v>350</v>
      </c>
      <c r="C181" s="608"/>
      <c r="D181" s="608"/>
      <c r="E181" s="608"/>
      <c r="F181" s="370" t="s">
        <v>351</v>
      </c>
      <c r="G181" s="681">
        <f>'far 1 a(for internal use only)'!G649</f>
        <v>0</v>
      </c>
      <c r="H181" s="681">
        <f>'far 1 a(for internal use only)'!H649</f>
        <v>0</v>
      </c>
      <c r="I181" s="660">
        <f t="shared" si="293"/>
        <v>0</v>
      </c>
      <c r="J181" s="660">
        <f t="shared" si="294"/>
        <v>0</v>
      </c>
      <c r="K181" s="681">
        <f>'far 1 a(for internal use only)'!K649</f>
        <v>0</v>
      </c>
      <c r="L181" s="681">
        <f>'far 1 a(for internal use only)'!L649</f>
        <v>0</v>
      </c>
      <c r="M181" s="681">
        <f>'far 1 a(for internal use only)'!M649</f>
        <v>0</v>
      </c>
      <c r="N181" s="661">
        <f t="shared" si="295"/>
        <v>0</v>
      </c>
      <c r="O181" s="681">
        <f>'far 1 a(for internal use only)'!O649</f>
        <v>0</v>
      </c>
      <c r="P181" s="681">
        <f>'far 1 a(for internal use only)'!P649</f>
        <v>0</v>
      </c>
      <c r="Q181" s="681">
        <f>'far 1 a(for internal use only)'!Q649</f>
        <v>0</v>
      </c>
      <c r="R181" s="681">
        <f>'far 1 a(for internal use only)'!R649</f>
        <v>0</v>
      </c>
      <c r="S181" s="662">
        <f t="shared" si="296"/>
        <v>0</v>
      </c>
      <c r="T181" s="681">
        <f>'far 1 a(for internal use only)'!T649</f>
        <v>0</v>
      </c>
      <c r="U181" s="681">
        <f>'far 1 a(for internal use only)'!U649</f>
        <v>0</v>
      </c>
      <c r="V181" s="681">
        <f>'far 1 a(for internal use only)'!V649</f>
        <v>0</v>
      </c>
      <c r="W181" s="681">
        <f>'far 1 a(for internal use only)'!W649</f>
        <v>0</v>
      </c>
      <c r="X181" s="662">
        <f t="shared" si="297"/>
        <v>0</v>
      </c>
      <c r="Y181" s="662">
        <f t="shared" si="298"/>
        <v>0</v>
      </c>
      <c r="Z181" s="662">
        <f t="shared" si="299"/>
        <v>0</v>
      </c>
      <c r="AA181" s="682">
        <f>'far 1 a(for internal use only)'!AA649</f>
        <v>0</v>
      </c>
      <c r="AB181" s="663">
        <f t="shared" si="300"/>
        <v>0</v>
      </c>
    </row>
    <row r="182" spans="1:28" s="90" customFormat="1" ht="14.1" customHeight="1" x14ac:dyDescent="0.2">
      <c r="A182" s="301"/>
      <c r="B182" s="350" t="s">
        <v>352</v>
      </c>
      <c r="C182" s="608"/>
      <c r="D182" s="608"/>
      <c r="E182" s="608"/>
      <c r="F182" s="370" t="s">
        <v>353</v>
      </c>
      <c r="G182" s="681">
        <f>'far 1 a(for internal use only)'!G650</f>
        <v>0</v>
      </c>
      <c r="H182" s="681">
        <f>'far 1 a(for internal use only)'!H650</f>
        <v>0</v>
      </c>
      <c r="I182" s="660">
        <f t="shared" si="293"/>
        <v>0</v>
      </c>
      <c r="J182" s="660">
        <f t="shared" si="294"/>
        <v>0</v>
      </c>
      <c r="K182" s="681">
        <f>'far 1 a(for internal use only)'!K650</f>
        <v>0</v>
      </c>
      <c r="L182" s="681">
        <f>'far 1 a(for internal use only)'!L650</f>
        <v>0</v>
      </c>
      <c r="M182" s="681">
        <f>'far 1 a(for internal use only)'!M650</f>
        <v>0</v>
      </c>
      <c r="N182" s="661">
        <f t="shared" si="295"/>
        <v>0</v>
      </c>
      <c r="O182" s="681">
        <f>'far 1 a(for internal use only)'!O650</f>
        <v>0</v>
      </c>
      <c r="P182" s="681">
        <f>'far 1 a(for internal use only)'!P650</f>
        <v>0</v>
      </c>
      <c r="Q182" s="681">
        <f>'far 1 a(for internal use only)'!Q650</f>
        <v>0</v>
      </c>
      <c r="R182" s="681">
        <f>'far 1 a(for internal use only)'!R650</f>
        <v>0</v>
      </c>
      <c r="S182" s="662">
        <f t="shared" si="296"/>
        <v>0</v>
      </c>
      <c r="T182" s="681">
        <f>'far 1 a(for internal use only)'!T650</f>
        <v>0</v>
      </c>
      <c r="U182" s="681">
        <f>'far 1 a(for internal use only)'!U650</f>
        <v>0</v>
      </c>
      <c r="V182" s="681">
        <f>'far 1 a(for internal use only)'!V650</f>
        <v>0</v>
      </c>
      <c r="W182" s="681">
        <f>'far 1 a(for internal use only)'!W650</f>
        <v>0</v>
      </c>
      <c r="X182" s="662">
        <f t="shared" si="297"/>
        <v>0</v>
      </c>
      <c r="Y182" s="662">
        <f t="shared" si="298"/>
        <v>0</v>
      </c>
      <c r="Z182" s="662">
        <f t="shared" si="299"/>
        <v>0</v>
      </c>
      <c r="AA182" s="682">
        <f>'far 1 a(for internal use only)'!AA650</f>
        <v>0</v>
      </c>
      <c r="AB182" s="663">
        <f t="shared" si="300"/>
        <v>0</v>
      </c>
    </row>
    <row r="183" spans="1:28" s="90" customFormat="1" ht="14.1" customHeight="1" x14ac:dyDescent="0.2">
      <c r="A183" s="301"/>
      <c r="B183" s="350" t="s">
        <v>354</v>
      </c>
      <c r="C183" s="608"/>
      <c r="D183" s="608"/>
      <c r="E183" s="608"/>
      <c r="F183" s="370" t="s">
        <v>355</v>
      </c>
      <c r="G183" s="681">
        <f>'far 1 a(for internal use only)'!G651</f>
        <v>0</v>
      </c>
      <c r="H183" s="681">
        <f>'far 1 a(for internal use only)'!H651</f>
        <v>0</v>
      </c>
      <c r="I183" s="660">
        <f t="shared" si="293"/>
        <v>0</v>
      </c>
      <c r="J183" s="660">
        <f t="shared" si="294"/>
        <v>0</v>
      </c>
      <c r="K183" s="681">
        <f>'far 1 a(for internal use only)'!K651</f>
        <v>0</v>
      </c>
      <c r="L183" s="681">
        <f>'far 1 a(for internal use only)'!L651</f>
        <v>0</v>
      </c>
      <c r="M183" s="681">
        <f>'far 1 a(for internal use only)'!M651</f>
        <v>0</v>
      </c>
      <c r="N183" s="661">
        <f t="shared" si="295"/>
        <v>0</v>
      </c>
      <c r="O183" s="681">
        <f>'far 1 a(for internal use only)'!O651</f>
        <v>0</v>
      </c>
      <c r="P183" s="681">
        <f>'far 1 a(for internal use only)'!P651</f>
        <v>0</v>
      </c>
      <c r="Q183" s="681">
        <f>'far 1 a(for internal use only)'!Q651</f>
        <v>0</v>
      </c>
      <c r="R183" s="681">
        <f>'far 1 a(for internal use only)'!R651</f>
        <v>0</v>
      </c>
      <c r="S183" s="662">
        <f t="shared" si="296"/>
        <v>0</v>
      </c>
      <c r="T183" s="681">
        <f>'far 1 a(for internal use only)'!T651</f>
        <v>0</v>
      </c>
      <c r="U183" s="681">
        <f>'far 1 a(for internal use only)'!U651</f>
        <v>0</v>
      </c>
      <c r="V183" s="681">
        <f>'far 1 a(for internal use only)'!V651</f>
        <v>0</v>
      </c>
      <c r="W183" s="681">
        <f>'far 1 a(for internal use only)'!W651</f>
        <v>0</v>
      </c>
      <c r="X183" s="662">
        <f t="shared" si="297"/>
        <v>0</v>
      </c>
      <c r="Y183" s="662">
        <f t="shared" si="298"/>
        <v>0</v>
      </c>
      <c r="Z183" s="662">
        <f t="shared" si="299"/>
        <v>0</v>
      </c>
      <c r="AA183" s="682">
        <f>'far 1 a(for internal use only)'!AA651</f>
        <v>0</v>
      </c>
      <c r="AB183" s="663">
        <f t="shared" si="300"/>
        <v>0</v>
      </c>
    </row>
    <row r="184" spans="1:28" s="90" customFormat="1" ht="14.1" customHeight="1" x14ac:dyDescent="0.2">
      <c r="A184" s="301"/>
      <c r="B184" s="351" t="s">
        <v>356</v>
      </c>
      <c r="C184" s="608"/>
      <c r="D184" s="608"/>
      <c r="E184" s="608"/>
      <c r="F184" s="370"/>
      <c r="G184" s="652"/>
      <c r="H184" s="652"/>
      <c r="I184" s="652"/>
      <c r="J184" s="652"/>
      <c r="K184" s="684"/>
      <c r="L184" s="684"/>
      <c r="M184" s="684"/>
      <c r="N184" s="685"/>
      <c r="O184" s="684"/>
      <c r="P184" s="684"/>
      <c r="Q184" s="684"/>
      <c r="R184" s="684"/>
      <c r="S184" s="684"/>
      <c r="T184" s="684"/>
      <c r="U184" s="684"/>
      <c r="V184" s="684"/>
      <c r="W184" s="684"/>
      <c r="X184" s="684"/>
      <c r="Y184" s="684"/>
      <c r="Z184" s="684"/>
      <c r="AA184" s="684"/>
      <c r="AB184" s="686"/>
    </row>
    <row r="185" spans="1:28" s="90" customFormat="1" ht="14.1" customHeight="1" x14ac:dyDescent="0.2">
      <c r="A185" s="301"/>
      <c r="B185" s="350" t="s">
        <v>357</v>
      </c>
      <c r="C185" s="608"/>
      <c r="D185" s="608"/>
      <c r="E185" s="608"/>
      <c r="F185" s="370" t="s">
        <v>358</v>
      </c>
      <c r="G185" s="681">
        <f>'far 1 a(for internal use only)'!G653</f>
        <v>0</v>
      </c>
      <c r="H185" s="681">
        <f>'far 1 a(for internal use only)'!H653</f>
        <v>0</v>
      </c>
      <c r="I185" s="660">
        <f t="shared" ref="I185" si="301">G185+H185</f>
        <v>0</v>
      </c>
      <c r="J185" s="660">
        <f t="shared" ref="J185" si="302">I185</f>
        <v>0</v>
      </c>
      <c r="K185" s="681">
        <f>'far 1 a(for internal use only)'!K653</f>
        <v>0</v>
      </c>
      <c r="L185" s="681">
        <f>'far 1 a(for internal use only)'!L653</f>
        <v>0</v>
      </c>
      <c r="M185" s="681">
        <f>'far 1 a(for internal use only)'!M653</f>
        <v>0</v>
      </c>
      <c r="N185" s="661">
        <f>J185+K185-L185+M185</f>
        <v>0</v>
      </c>
      <c r="O185" s="681">
        <f>'far 1 a(for internal use only)'!O653</f>
        <v>0</v>
      </c>
      <c r="P185" s="681">
        <f>'far 1 a(for internal use only)'!P653</f>
        <v>0</v>
      </c>
      <c r="Q185" s="681">
        <f>'far 1 a(for internal use only)'!Q653</f>
        <v>0</v>
      </c>
      <c r="R185" s="681">
        <f>'far 1 a(for internal use only)'!R653</f>
        <v>0</v>
      </c>
      <c r="S185" s="662">
        <f t="shared" ref="S185" si="303">SUM(O185:R185)</f>
        <v>0</v>
      </c>
      <c r="T185" s="681">
        <f>'far 1 a(for internal use only)'!T653</f>
        <v>0</v>
      </c>
      <c r="U185" s="681">
        <f>'far 1 a(for internal use only)'!U653</f>
        <v>0</v>
      </c>
      <c r="V185" s="681">
        <f>'far 1 a(for internal use only)'!V653</f>
        <v>0</v>
      </c>
      <c r="W185" s="681">
        <f>'far 1 a(for internal use only)'!W653</f>
        <v>0</v>
      </c>
      <c r="X185" s="662">
        <f t="shared" ref="X185" si="304">SUM(T185:W185)</f>
        <v>0</v>
      </c>
      <c r="Y185" s="662">
        <f t="shared" ref="Y185" si="305">I185-N185</f>
        <v>0</v>
      </c>
      <c r="Z185" s="662">
        <f t="shared" ref="Z185" si="306">N185-S185</f>
        <v>0</v>
      </c>
      <c r="AA185" s="682">
        <f>'far 1 a(for internal use only)'!AA653</f>
        <v>0</v>
      </c>
      <c r="AB185" s="663">
        <f t="shared" ref="AB185" si="307">+S185-X185-AA185</f>
        <v>0</v>
      </c>
    </row>
    <row r="186" spans="1:28" s="90" customFormat="1" ht="14.1" customHeight="1" x14ac:dyDescent="0.2">
      <c r="A186" s="301"/>
      <c r="B186" s="351" t="s">
        <v>359</v>
      </c>
      <c r="C186" s="608"/>
      <c r="D186" s="608"/>
      <c r="E186" s="608"/>
      <c r="F186" s="370"/>
      <c r="G186" s="652"/>
      <c r="H186" s="652"/>
      <c r="I186" s="652"/>
      <c r="J186" s="652"/>
      <c r="K186" s="684"/>
      <c r="L186" s="684"/>
      <c r="M186" s="684"/>
      <c r="N186" s="685"/>
      <c r="O186" s="684"/>
      <c r="P186" s="684"/>
      <c r="Q186" s="684"/>
      <c r="R186" s="684"/>
      <c r="S186" s="684"/>
      <c r="T186" s="684"/>
      <c r="U186" s="684"/>
      <c r="V186" s="684"/>
      <c r="W186" s="684"/>
      <c r="X186" s="684"/>
      <c r="Y186" s="684"/>
      <c r="Z186" s="684"/>
      <c r="AA186" s="684"/>
      <c r="AB186" s="686"/>
    </row>
    <row r="187" spans="1:28" s="90" customFormat="1" ht="14.1" customHeight="1" x14ac:dyDescent="0.2">
      <c r="A187" s="301"/>
      <c r="B187" s="350" t="s">
        <v>360</v>
      </c>
      <c r="C187" s="608"/>
      <c r="D187" s="608"/>
      <c r="E187" s="608"/>
      <c r="F187" s="370" t="s">
        <v>361</v>
      </c>
      <c r="G187" s="681">
        <f>'far 1 a(for internal use only)'!G655</f>
        <v>0</v>
      </c>
      <c r="H187" s="681">
        <f>'far 1 a(for internal use only)'!H655</f>
        <v>0</v>
      </c>
      <c r="I187" s="660">
        <f t="shared" ref="I187:I190" si="308">G187+H187</f>
        <v>0</v>
      </c>
      <c r="J187" s="660">
        <f t="shared" ref="J187:J190" si="309">I187</f>
        <v>0</v>
      </c>
      <c r="K187" s="681">
        <f>'far 1 a(for internal use only)'!K655</f>
        <v>0</v>
      </c>
      <c r="L187" s="681">
        <f>'far 1 a(for internal use only)'!L655</f>
        <v>0</v>
      </c>
      <c r="M187" s="681">
        <f>'far 1 a(for internal use only)'!M655</f>
        <v>0</v>
      </c>
      <c r="N187" s="661">
        <f t="shared" ref="N187:N190" si="310">J187+K187-L187+M187</f>
        <v>0</v>
      </c>
      <c r="O187" s="681">
        <f>'far 1 a(for internal use only)'!O655</f>
        <v>0</v>
      </c>
      <c r="P187" s="681">
        <f>'far 1 a(for internal use only)'!P655</f>
        <v>0</v>
      </c>
      <c r="Q187" s="681">
        <f>'far 1 a(for internal use only)'!Q655</f>
        <v>0</v>
      </c>
      <c r="R187" s="681">
        <f>'far 1 a(for internal use only)'!R655</f>
        <v>0</v>
      </c>
      <c r="S187" s="662">
        <f t="shared" ref="S187:S190" si="311">SUM(O187:R187)</f>
        <v>0</v>
      </c>
      <c r="T187" s="681">
        <f>'far 1 a(for internal use only)'!T655</f>
        <v>0</v>
      </c>
      <c r="U187" s="681">
        <f>'far 1 a(for internal use only)'!U655</f>
        <v>0</v>
      </c>
      <c r="V187" s="681">
        <f>'far 1 a(for internal use only)'!V655</f>
        <v>0</v>
      </c>
      <c r="W187" s="681">
        <f>'far 1 a(for internal use only)'!W655</f>
        <v>0</v>
      </c>
      <c r="X187" s="662">
        <f t="shared" ref="X187:X190" si="312">SUM(T187:W187)</f>
        <v>0</v>
      </c>
      <c r="Y187" s="662">
        <f t="shared" ref="Y187:Y190" si="313">I187-N187</f>
        <v>0</v>
      </c>
      <c r="Z187" s="662">
        <f t="shared" ref="Z187:Z190" si="314">N187-S187</f>
        <v>0</v>
      </c>
      <c r="AA187" s="682">
        <f>'far 1 a(for internal use only)'!AA655</f>
        <v>0</v>
      </c>
      <c r="AB187" s="663">
        <f t="shared" ref="AB187:AB190" si="315">+S187-X187-AA187</f>
        <v>0</v>
      </c>
    </row>
    <row r="188" spans="1:28" s="90" customFormat="1" ht="14.1" customHeight="1" x14ac:dyDescent="0.2">
      <c r="A188" s="301"/>
      <c r="B188" s="350" t="s">
        <v>362</v>
      </c>
      <c r="C188" s="608"/>
      <c r="D188" s="608"/>
      <c r="E188" s="608"/>
      <c r="F188" s="370" t="s">
        <v>363</v>
      </c>
      <c r="G188" s="681">
        <f>'far 1 a(for internal use only)'!G656</f>
        <v>0</v>
      </c>
      <c r="H188" s="681">
        <f>'far 1 a(for internal use only)'!H656</f>
        <v>0</v>
      </c>
      <c r="I188" s="660">
        <f t="shared" si="308"/>
        <v>0</v>
      </c>
      <c r="J188" s="660">
        <f t="shared" si="309"/>
        <v>0</v>
      </c>
      <c r="K188" s="681">
        <f>'far 1 a(for internal use only)'!K656</f>
        <v>0</v>
      </c>
      <c r="L188" s="681">
        <f>'far 1 a(for internal use only)'!L656</f>
        <v>0</v>
      </c>
      <c r="M188" s="681">
        <f>'far 1 a(for internal use only)'!M656</f>
        <v>0</v>
      </c>
      <c r="N188" s="661">
        <f t="shared" si="310"/>
        <v>0</v>
      </c>
      <c r="O188" s="681">
        <f>'far 1 a(for internal use only)'!O656</f>
        <v>0</v>
      </c>
      <c r="P188" s="681">
        <f>'far 1 a(for internal use only)'!P656</f>
        <v>0</v>
      </c>
      <c r="Q188" s="681">
        <f>'far 1 a(for internal use only)'!Q656</f>
        <v>0</v>
      </c>
      <c r="R188" s="681">
        <f>'far 1 a(for internal use only)'!R656</f>
        <v>0</v>
      </c>
      <c r="S188" s="662">
        <f t="shared" si="311"/>
        <v>0</v>
      </c>
      <c r="T188" s="681">
        <f>'far 1 a(for internal use only)'!T656</f>
        <v>0</v>
      </c>
      <c r="U188" s="681">
        <f>'far 1 a(for internal use only)'!U656</f>
        <v>0</v>
      </c>
      <c r="V188" s="681">
        <f>'far 1 a(for internal use only)'!V656</f>
        <v>0</v>
      </c>
      <c r="W188" s="681">
        <f>'far 1 a(for internal use only)'!W656</f>
        <v>0</v>
      </c>
      <c r="X188" s="662">
        <f t="shared" si="312"/>
        <v>0</v>
      </c>
      <c r="Y188" s="662">
        <f t="shared" si="313"/>
        <v>0</v>
      </c>
      <c r="Z188" s="662">
        <f t="shared" si="314"/>
        <v>0</v>
      </c>
      <c r="AA188" s="682">
        <f>'far 1 a(for internal use only)'!AA656</f>
        <v>0</v>
      </c>
      <c r="AB188" s="663">
        <f t="shared" si="315"/>
        <v>0</v>
      </c>
    </row>
    <row r="189" spans="1:28" s="90" customFormat="1" ht="14.1" customHeight="1" x14ac:dyDescent="0.2">
      <c r="A189" s="301"/>
      <c r="B189" s="350" t="s">
        <v>722</v>
      </c>
      <c r="C189" s="718"/>
      <c r="D189" s="718"/>
      <c r="E189" s="718"/>
      <c r="F189" s="370" t="s">
        <v>723</v>
      </c>
      <c r="G189" s="681">
        <f>'far 1 a(for internal use only)'!G657</f>
        <v>0</v>
      </c>
      <c r="H189" s="681">
        <f>'far 1 a(for internal use only)'!H657</f>
        <v>0</v>
      </c>
      <c r="I189" s="660">
        <f t="shared" si="308"/>
        <v>0</v>
      </c>
      <c r="J189" s="660">
        <f t="shared" si="309"/>
        <v>0</v>
      </c>
      <c r="K189" s="681">
        <f>'far 1 a(for internal use only)'!K657</f>
        <v>0</v>
      </c>
      <c r="L189" s="681">
        <f>'far 1 a(for internal use only)'!L657</f>
        <v>0</v>
      </c>
      <c r="M189" s="681">
        <f>'far 1 a(for internal use only)'!M657</f>
        <v>0</v>
      </c>
      <c r="N189" s="661">
        <f t="shared" si="310"/>
        <v>0</v>
      </c>
      <c r="O189" s="681">
        <f>'far 1 a(for internal use only)'!O657</f>
        <v>0</v>
      </c>
      <c r="P189" s="681">
        <f>'far 1 a(for internal use only)'!P657</f>
        <v>0</v>
      </c>
      <c r="Q189" s="681">
        <f>'far 1 a(for internal use only)'!Q657</f>
        <v>0</v>
      </c>
      <c r="R189" s="681">
        <f>'far 1 a(for internal use only)'!R657</f>
        <v>0</v>
      </c>
      <c r="S189" s="662">
        <f t="shared" si="311"/>
        <v>0</v>
      </c>
      <c r="T189" s="681">
        <f>'far 1 a(for internal use only)'!T657</f>
        <v>0</v>
      </c>
      <c r="U189" s="681">
        <f>'far 1 a(for internal use only)'!U657</f>
        <v>0</v>
      </c>
      <c r="V189" s="681">
        <f>'far 1 a(for internal use only)'!V657</f>
        <v>0</v>
      </c>
      <c r="W189" s="681">
        <f>'far 1 a(for internal use only)'!W657</f>
        <v>0</v>
      </c>
      <c r="X189" s="662">
        <f t="shared" si="312"/>
        <v>0</v>
      </c>
      <c r="Y189" s="662">
        <f t="shared" si="313"/>
        <v>0</v>
      </c>
      <c r="Z189" s="662">
        <f t="shared" si="314"/>
        <v>0</v>
      </c>
      <c r="AA189" s="682">
        <f>'far 1 a(for internal use only)'!AA657</f>
        <v>0</v>
      </c>
      <c r="AB189" s="663">
        <f t="shared" si="315"/>
        <v>0</v>
      </c>
    </row>
    <row r="190" spans="1:28" s="90" customFormat="1" ht="14.1" customHeight="1" x14ac:dyDescent="0.2">
      <c r="A190" s="301"/>
      <c r="B190" s="350" t="s">
        <v>364</v>
      </c>
      <c r="C190" s="608"/>
      <c r="D190" s="608"/>
      <c r="E190" s="608"/>
      <c r="F190" s="370" t="s">
        <v>365</v>
      </c>
      <c r="G190" s="681">
        <f>'far 1 a(for internal use only)'!G658</f>
        <v>0</v>
      </c>
      <c r="H190" s="681">
        <f>'far 1 a(for internal use only)'!H658</f>
        <v>0</v>
      </c>
      <c r="I190" s="660">
        <f t="shared" si="308"/>
        <v>0</v>
      </c>
      <c r="J190" s="660">
        <f t="shared" si="309"/>
        <v>0</v>
      </c>
      <c r="K190" s="681">
        <f>'far 1 a(for internal use only)'!K658</f>
        <v>0</v>
      </c>
      <c r="L190" s="681">
        <f>'far 1 a(for internal use only)'!L658</f>
        <v>0</v>
      </c>
      <c r="M190" s="681">
        <f>'far 1 a(for internal use only)'!M658</f>
        <v>0</v>
      </c>
      <c r="N190" s="661">
        <f t="shared" si="310"/>
        <v>0</v>
      </c>
      <c r="O190" s="681">
        <f>'far 1 a(for internal use only)'!O658</f>
        <v>0</v>
      </c>
      <c r="P190" s="681">
        <f>'far 1 a(for internal use only)'!P658</f>
        <v>0</v>
      </c>
      <c r="Q190" s="681">
        <f>'far 1 a(for internal use only)'!Q658</f>
        <v>0</v>
      </c>
      <c r="R190" s="681">
        <f>'far 1 a(for internal use only)'!R658</f>
        <v>0</v>
      </c>
      <c r="S190" s="662">
        <f t="shared" si="311"/>
        <v>0</v>
      </c>
      <c r="T190" s="681">
        <f>'far 1 a(for internal use only)'!T658</f>
        <v>0</v>
      </c>
      <c r="U190" s="681">
        <f>'far 1 a(for internal use only)'!U658</f>
        <v>0</v>
      </c>
      <c r="V190" s="681">
        <f>'far 1 a(for internal use only)'!V658</f>
        <v>0</v>
      </c>
      <c r="W190" s="681">
        <f>'far 1 a(for internal use only)'!W658</f>
        <v>0</v>
      </c>
      <c r="X190" s="662">
        <f t="shared" si="312"/>
        <v>0</v>
      </c>
      <c r="Y190" s="662">
        <f t="shared" si="313"/>
        <v>0</v>
      </c>
      <c r="Z190" s="662">
        <f t="shared" si="314"/>
        <v>0</v>
      </c>
      <c r="AA190" s="682">
        <f>'far 1 a(for internal use only)'!AA658</f>
        <v>0</v>
      </c>
      <c r="AB190" s="663">
        <f t="shared" si="315"/>
        <v>0</v>
      </c>
    </row>
    <row r="191" spans="1:28" s="90" customFormat="1" ht="14.1" customHeight="1" x14ac:dyDescent="0.2">
      <c r="A191" s="301"/>
      <c r="B191" s="351" t="s">
        <v>366</v>
      </c>
      <c r="C191" s="608"/>
      <c r="D191" s="608"/>
      <c r="E191" s="608"/>
      <c r="F191" s="370"/>
      <c r="G191" s="652"/>
      <c r="H191" s="652"/>
      <c r="I191" s="652"/>
      <c r="J191" s="652"/>
      <c r="K191" s="684"/>
      <c r="L191" s="684"/>
      <c r="M191" s="684"/>
      <c r="N191" s="685"/>
      <c r="O191" s="684"/>
      <c r="P191" s="684"/>
      <c r="Q191" s="684"/>
      <c r="R191" s="684"/>
      <c r="S191" s="684"/>
      <c r="T191" s="684"/>
      <c r="U191" s="684"/>
      <c r="V191" s="684"/>
      <c r="W191" s="684"/>
      <c r="X191" s="684"/>
      <c r="Y191" s="684"/>
      <c r="Z191" s="684"/>
      <c r="AA191" s="684"/>
      <c r="AB191" s="686"/>
    </row>
    <row r="192" spans="1:28" s="90" customFormat="1" ht="14.1" customHeight="1" x14ac:dyDescent="0.2">
      <c r="A192" s="301"/>
      <c r="B192" s="350" t="s">
        <v>366</v>
      </c>
      <c r="C192" s="608"/>
      <c r="D192" s="608"/>
      <c r="E192" s="608"/>
      <c r="F192" s="370" t="s">
        <v>367</v>
      </c>
      <c r="G192" s="681">
        <f>'far 1 a(for internal use only)'!G660</f>
        <v>0</v>
      </c>
      <c r="H192" s="681">
        <f>'far 1 a(for internal use only)'!H660</f>
        <v>0</v>
      </c>
      <c r="I192" s="660">
        <f t="shared" ref="I192:I196" si="316">G192+H192</f>
        <v>0</v>
      </c>
      <c r="J192" s="660">
        <f t="shared" ref="J192:J196" si="317">I192</f>
        <v>0</v>
      </c>
      <c r="K192" s="681">
        <f>'far 1 a(for internal use only)'!K660</f>
        <v>0</v>
      </c>
      <c r="L192" s="681">
        <f>'far 1 a(for internal use only)'!L660</f>
        <v>0</v>
      </c>
      <c r="M192" s="681">
        <f>'far 1 a(for internal use only)'!M660</f>
        <v>0</v>
      </c>
      <c r="N192" s="661">
        <f t="shared" ref="N192:N196" si="318">J192+K192-L192+M192</f>
        <v>0</v>
      </c>
      <c r="O192" s="681">
        <f>'far 1 a(for internal use only)'!O660</f>
        <v>0</v>
      </c>
      <c r="P192" s="681">
        <f>'far 1 a(for internal use only)'!P660</f>
        <v>0</v>
      </c>
      <c r="Q192" s="681">
        <f>'far 1 a(for internal use only)'!Q660</f>
        <v>0</v>
      </c>
      <c r="R192" s="681">
        <f>'far 1 a(for internal use only)'!R660</f>
        <v>0</v>
      </c>
      <c r="S192" s="662">
        <f t="shared" ref="S192:S196" si="319">SUM(O192:R192)</f>
        <v>0</v>
      </c>
      <c r="T192" s="681">
        <f>'far 1 a(for internal use only)'!T660</f>
        <v>0</v>
      </c>
      <c r="U192" s="681">
        <f>'far 1 a(for internal use only)'!U660</f>
        <v>0</v>
      </c>
      <c r="V192" s="681">
        <f>'far 1 a(for internal use only)'!V660</f>
        <v>0</v>
      </c>
      <c r="W192" s="681">
        <f>'far 1 a(for internal use only)'!W660</f>
        <v>0</v>
      </c>
      <c r="X192" s="662">
        <f t="shared" ref="X192:X196" si="320">SUM(T192:W192)</f>
        <v>0</v>
      </c>
      <c r="Y192" s="662">
        <f t="shared" ref="Y192:Y196" si="321">I192-N192</f>
        <v>0</v>
      </c>
      <c r="Z192" s="662">
        <f t="shared" ref="Z192:Z196" si="322">N192-S192</f>
        <v>0</v>
      </c>
      <c r="AA192" s="682">
        <f>'far 1 a(for internal use only)'!AA660</f>
        <v>0</v>
      </c>
      <c r="AB192" s="663">
        <f t="shared" ref="AB192:AB196" si="323">+S192-X192-AA192</f>
        <v>0</v>
      </c>
    </row>
    <row r="193" spans="1:28" s="90" customFormat="1" ht="14.1" customHeight="1" x14ac:dyDescent="0.2">
      <c r="A193" s="301"/>
      <c r="B193" s="350" t="s">
        <v>724</v>
      </c>
      <c r="C193" s="718"/>
      <c r="D193" s="718"/>
      <c r="E193" s="718"/>
      <c r="F193" s="370" t="s">
        <v>725</v>
      </c>
      <c r="G193" s="681">
        <f>'far 1 a(for internal use only)'!G661</f>
        <v>0</v>
      </c>
      <c r="H193" s="681">
        <f>'far 1 a(for internal use only)'!H661</f>
        <v>0</v>
      </c>
      <c r="I193" s="660">
        <f t="shared" ref="I193" si="324">G193+H193</f>
        <v>0</v>
      </c>
      <c r="J193" s="660">
        <f t="shared" ref="J193" si="325">I193</f>
        <v>0</v>
      </c>
      <c r="K193" s="681">
        <f>'far 1 a(for internal use only)'!K661</f>
        <v>0</v>
      </c>
      <c r="L193" s="681">
        <f>'far 1 a(for internal use only)'!L661</f>
        <v>0</v>
      </c>
      <c r="M193" s="681">
        <f>'far 1 a(for internal use only)'!M661</f>
        <v>0</v>
      </c>
      <c r="N193" s="661">
        <f t="shared" ref="N193" si="326">J193+K193-L193+M193</f>
        <v>0</v>
      </c>
      <c r="O193" s="681">
        <f>'far 1 a(for internal use only)'!O661</f>
        <v>0</v>
      </c>
      <c r="P193" s="681">
        <f>'far 1 a(for internal use only)'!P661</f>
        <v>0</v>
      </c>
      <c r="Q193" s="681">
        <f>'far 1 a(for internal use only)'!Q661</f>
        <v>0</v>
      </c>
      <c r="R193" s="681">
        <f>'far 1 a(for internal use only)'!R661</f>
        <v>0</v>
      </c>
      <c r="S193" s="662">
        <f t="shared" ref="S193" si="327">SUM(O193:R193)</f>
        <v>0</v>
      </c>
      <c r="T193" s="681">
        <f>'far 1 a(for internal use only)'!T661</f>
        <v>0</v>
      </c>
      <c r="U193" s="681">
        <f>'far 1 a(for internal use only)'!U661</f>
        <v>0</v>
      </c>
      <c r="V193" s="681">
        <f>'far 1 a(for internal use only)'!V661</f>
        <v>0</v>
      </c>
      <c r="W193" s="681">
        <f>'far 1 a(for internal use only)'!W661</f>
        <v>0</v>
      </c>
      <c r="X193" s="662">
        <f t="shared" ref="X193" si="328">SUM(T193:W193)</f>
        <v>0</v>
      </c>
      <c r="Y193" s="662">
        <f t="shared" ref="Y193" si="329">I193-N193</f>
        <v>0</v>
      </c>
      <c r="Z193" s="662">
        <f t="shared" ref="Z193" si="330">N193-S193</f>
        <v>0</v>
      </c>
      <c r="AA193" s="682">
        <f>'far 1 a(for internal use only)'!AA661</f>
        <v>0</v>
      </c>
      <c r="AB193" s="663">
        <f t="shared" ref="AB193" si="331">+S193-X193-AA193</f>
        <v>0</v>
      </c>
    </row>
    <row r="194" spans="1:28" s="90" customFormat="1" ht="14.1" customHeight="1" x14ac:dyDescent="0.2">
      <c r="A194" s="301"/>
      <c r="B194" s="350" t="s">
        <v>368</v>
      </c>
      <c r="C194" s="608"/>
      <c r="D194" s="608"/>
      <c r="E194" s="608"/>
      <c r="F194" s="370" t="s">
        <v>369</v>
      </c>
      <c r="G194" s="681">
        <f>'far 1 a(for internal use only)'!G662</f>
        <v>0</v>
      </c>
      <c r="H194" s="681">
        <f>'far 1 a(for internal use only)'!H662</f>
        <v>0</v>
      </c>
      <c r="I194" s="660">
        <f t="shared" si="316"/>
        <v>0</v>
      </c>
      <c r="J194" s="660">
        <f t="shared" si="317"/>
        <v>0</v>
      </c>
      <c r="K194" s="681">
        <f>'far 1 a(for internal use only)'!K662</f>
        <v>0</v>
      </c>
      <c r="L194" s="681">
        <f>'far 1 a(for internal use only)'!L662</f>
        <v>0</v>
      </c>
      <c r="M194" s="681">
        <f>'far 1 a(for internal use only)'!M662</f>
        <v>0</v>
      </c>
      <c r="N194" s="661">
        <f t="shared" si="318"/>
        <v>0</v>
      </c>
      <c r="O194" s="681">
        <f>'far 1 a(for internal use only)'!O662</f>
        <v>0</v>
      </c>
      <c r="P194" s="681">
        <f>'far 1 a(for internal use only)'!P662</f>
        <v>0</v>
      </c>
      <c r="Q194" s="681">
        <f>'far 1 a(for internal use only)'!Q662</f>
        <v>0</v>
      </c>
      <c r="R194" s="681">
        <f>'far 1 a(for internal use only)'!R662</f>
        <v>0</v>
      </c>
      <c r="S194" s="662">
        <f t="shared" si="319"/>
        <v>0</v>
      </c>
      <c r="T194" s="681">
        <f>'far 1 a(for internal use only)'!T662</f>
        <v>0</v>
      </c>
      <c r="U194" s="681">
        <f>'far 1 a(for internal use only)'!U662</f>
        <v>0</v>
      </c>
      <c r="V194" s="681">
        <f>'far 1 a(for internal use only)'!V662</f>
        <v>0</v>
      </c>
      <c r="W194" s="681">
        <f>'far 1 a(for internal use only)'!W662</f>
        <v>0</v>
      </c>
      <c r="X194" s="662">
        <f t="shared" si="320"/>
        <v>0</v>
      </c>
      <c r="Y194" s="662">
        <f t="shared" si="321"/>
        <v>0</v>
      </c>
      <c r="Z194" s="662">
        <f t="shared" si="322"/>
        <v>0</v>
      </c>
      <c r="AA194" s="682">
        <f>'far 1 a(for internal use only)'!AA662</f>
        <v>0</v>
      </c>
      <c r="AB194" s="663">
        <f t="shared" si="323"/>
        <v>0</v>
      </c>
    </row>
    <row r="195" spans="1:28" s="90" customFormat="1" ht="14.1" customHeight="1" x14ac:dyDescent="0.2">
      <c r="A195" s="301"/>
      <c r="B195" s="350" t="s">
        <v>370</v>
      </c>
      <c r="C195" s="608"/>
      <c r="D195" s="608"/>
      <c r="E195" s="608"/>
      <c r="F195" s="370" t="s">
        <v>371</v>
      </c>
      <c r="G195" s="681">
        <f>'far 1 a(for internal use only)'!G663</f>
        <v>0</v>
      </c>
      <c r="H195" s="681">
        <f>'far 1 a(for internal use only)'!H663</f>
        <v>0</v>
      </c>
      <c r="I195" s="660">
        <f t="shared" si="316"/>
        <v>0</v>
      </c>
      <c r="J195" s="660">
        <f t="shared" si="317"/>
        <v>0</v>
      </c>
      <c r="K195" s="681">
        <f>'far 1 a(for internal use only)'!K663</f>
        <v>0</v>
      </c>
      <c r="L195" s="681">
        <f>'far 1 a(for internal use only)'!L663</f>
        <v>0</v>
      </c>
      <c r="M195" s="681">
        <f>'far 1 a(for internal use only)'!M663</f>
        <v>0</v>
      </c>
      <c r="N195" s="661">
        <f t="shared" si="318"/>
        <v>0</v>
      </c>
      <c r="O195" s="681">
        <f>'far 1 a(for internal use only)'!O663</f>
        <v>0</v>
      </c>
      <c r="P195" s="681">
        <f>'far 1 a(for internal use only)'!P663</f>
        <v>0</v>
      </c>
      <c r="Q195" s="681">
        <f>'far 1 a(for internal use only)'!Q663</f>
        <v>0</v>
      </c>
      <c r="R195" s="681">
        <f>'far 1 a(for internal use only)'!R663</f>
        <v>0</v>
      </c>
      <c r="S195" s="662">
        <f t="shared" si="319"/>
        <v>0</v>
      </c>
      <c r="T195" s="681">
        <f>'far 1 a(for internal use only)'!T663</f>
        <v>0</v>
      </c>
      <c r="U195" s="681">
        <f>'far 1 a(for internal use only)'!U663</f>
        <v>0</v>
      </c>
      <c r="V195" s="681">
        <f>'far 1 a(for internal use only)'!V663</f>
        <v>0</v>
      </c>
      <c r="W195" s="681">
        <f>'far 1 a(for internal use only)'!W663</f>
        <v>0</v>
      </c>
      <c r="X195" s="662">
        <f t="shared" si="320"/>
        <v>0</v>
      </c>
      <c r="Y195" s="662">
        <f t="shared" si="321"/>
        <v>0</v>
      </c>
      <c r="Z195" s="662">
        <f t="shared" si="322"/>
        <v>0</v>
      </c>
      <c r="AA195" s="682">
        <f>'far 1 a(for internal use only)'!AA663</f>
        <v>0</v>
      </c>
      <c r="AB195" s="663">
        <f t="shared" si="323"/>
        <v>0</v>
      </c>
    </row>
    <row r="196" spans="1:28" s="90" customFormat="1" ht="14.1" customHeight="1" x14ac:dyDescent="0.2">
      <c r="A196" s="301"/>
      <c r="B196" s="350" t="s">
        <v>372</v>
      </c>
      <c r="C196" s="608"/>
      <c r="D196" s="608"/>
      <c r="E196" s="608"/>
      <c r="F196" s="370" t="s">
        <v>373</v>
      </c>
      <c r="G196" s="681">
        <f>'far 1 a(for internal use only)'!G664</f>
        <v>0</v>
      </c>
      <c r="H196" s="681">
        <f>'far 1 a(for internal use only)'!H664</f>
        <v>0</v>
      </c>
      <c r="I196" s="660">
        <f t="shared" si="316"/>
        <v>0</v>
      </c>
      <c r="J196" s="660">
        <f t="shared" si="317"/>
        <v>0</v>
      </c>
      <c r="K196" s="681">
        <f>'far 1 a(for internal use only)'!K664</f>
        <v>0</v>
      </c>
      <c r="L196" s="681">
        <f>'far 1 a(for internal use only)'!L664</f>
        <v>0</v>
      </c>
      <c r="M196" s="681">
        <f>'far 1 a(for internal use only)'!M664</f>
        <v>10000</v>
      </c>
      <c r="N196" s="661">
        <f t="shared" si="318"/>
        <v>10000</v>
      </c>
      <c r="O196" s="681">
        <f>'far 1 a(for internal use only)'!O664</f>
        <v>0</v>
      </c>
      <c r="P196" s="681">
        <f>'far 1 a(for internal use only)'!P664</f>
        <v>0</v>
      </c>
      <c r="Q196" s="681">
        <f>'far 1 a(for internal use only)'!Q664</f>
        <v>0</v>
      </c>
      <c r="R196" s="681">
        <f>'far 1 a(for internal use only)'!R664</f>
        <v>0</v>
      </c>
      <c r="S196" s="662">
        <f t="shared" si="319"/>
        <v>0</v>
      </c>
      <c r="T196" s="681">
        <f>'far 1 a(for internal use only)'!T664</f>
        <v>0</v>
      </c>
      <c r="U196" s="681">
        <f>'far 1 a(for internal use only)'!U664</f>
        <v>0</v>
      </c>
      <c r="V196" s="681">
        <f>'far 1 a(for internal use only)'!V664</f>
        <v>0</v>
      </c>
      <c r="W196" s="681">
        <f>'far 1 a(for internal use only)'!W664</f>
        <v>0</v>
      </c>
      <c r="X196" s="662">
        <f t="shared" si="320"/>
        <v>0</v>
      </c>
      <c r="Y196" s="662">
        <f t="shared" si="321"/>
        <v>-10000</v>
      </c>
      <c r="Z196" s="662">
        <f t="shared" si="322"/>
        <v>10000</v>
      </c>
      <c r="AA196" s="682">
        <f>'far 1 a(for internal use only)'!AA664</f>
        <v>0</v>
      </c>
      <c r="AB196" s="663">
        <f t="shared" si="323"/>
        <v>0</v>
      </c>
    </row>
    <row r="197" spans="1:28" s="90" customFormat="1" ht="14.1" customHeight="1" x14ac:dyDescent="0.2">
      <c r="A197" s="301"/>
      <c r="B197" s="351" t="s">
        <v>374</v>
      </c>
      <c r="C197" s="608"/>
      <c r="D197" s="608"/>
      <c r="E197" s="608"/>
      <c r="F197" s="370"/>
      <c r="G197" s="652"/>
      <c r="H197" s="652"/>
      <c r="I197" s="652"/>
      <c r="J197" s="652"/>
      <c r="K197" s="684"/>
      <c r="L197" s="684"/>
      <c r="M197" s="684"/>
      <c r="N197" s="685"/>
      <c r="O197" s="684"/>
      <c r="P197" s="684"/>
      <c r="Q197" s="684"/>
      <c r="R197" s="684"/>
      <c r="S197" s="684"/>
      <c r="T197" s="684"/>
      <c r="U197" s="684"/>
      <c r="V197" s="684"/>
      <c r="W197" s="684"/>
      <c r="X197" s="684"/>
      <c r="Y197" s="684"/>
      <c r="Z197" s="684"/>
      <c r="AA197" s="684"/>
      <c r="AB197" s="686"/>
    </row>
    <row r="198" spans="1:28" s="90" customFormat="1" ht="14.1" customHeight="1" x14ac:dyDescent="0.2">
      <c r="A198" s="301"/>
      <c r="B198" s="350" t="s">
        <v>375</v>
      </c>
      <c r="C198" s="608"/>
      <c r="D198" s="608"/>
      <c r="E198" s="608"/>
      <c r="F198" s="370" t="s">
        <v>376</v>
      </c>
      <c r="G198" s="681">
        <f>'far 1 a(for internal use only)'!G666</f>
        <v>0</v>
      </c>
      <c r="H198" s="681">
        <f>'far 1 a(for internal use only)'!H666</f>
        <v>0</v>
      </c>
      <c r="I198" s="660">
        <f t="shared" ref="I198:I215" si="332">G198+H198</f>
        <v>0</v>
      </c>
      <c r="J198" s="660">
        <f t="shared" ref="J198:J215" si="333">I198</f>
        <v>0</v>
      </c>
      <c r="K198" s="681">
        <f>'far 1 a(for internal use only)'!K666</f>
        <v>0</v>
      </c>
      <c r="L198" s="681">
        <f>'far 1 a(for internal use only)'!L666</f>
        <v>0</v>
      </c>
      <c r="M198" s="681">
        <f>'far 1 a(for internal use only)'!M666</f>
        <v>0</v>
      </c>
      <c r="N198" s="661">
        <f t="shared" ref="N198:N215" si="334">J198+K198-L198+M198</f>
        <v>0</v>
      </c>
      <c r="O198" s="681">
        <f>'far 1 a(for internal use only)'!O666</f>
        <v>0</v>
      </c>
      <c r="P198" s="681">
        <f>'far 1 a(for internal use only)'!P666</f>
        <v>0</v>
      </c>
      <c r="Q198" s="681">
        <f>'far 1 a(for internal use only)'!Q666</f>
        <v>0</v>
      </c>
      <c r="R198" s="681">
        <f>'far 1 a(for internal use only)'!R666</f>
        <v>0</v>
      </c>
      <c r="S198" s="662">
        <f t="shared" ref="S198:S215" si="335">SUM(O198:R198)</f>
        <v>0</v>
      </c>
      <c r="T198" s="681">
        <f>'far 1 a(for internal use only)'!T666</f>
        <v>0</v>
      </c>
      <c r="U198" s="681">
        <f>'far 1 a(for internal use only)'!U666</f>
        <v>0</v>
      </c>
      <c r="V198" s="681">
        <f>'far 1 a(for internal use only)'!V666</f>
        <v>0</v>
      </c>
      <c r="W198" s="681">
        <f>'far 1 a(for internal use only)'!W666</f>
        <v>0</v>
      </c>
      <c r="X198" s="662">
        <f t="shared" ref="X198:X215" si="336">SUM(T198:W198)</f>
        <v>0</v>
      </c>
      <c r="Y198" s="662">
        <f t="shared" ref="Y198:Y215" si="337">I198-N198</f>
        <v>0</v>
      </c>
      <c r="Z198" s="662">
        <f t="shared" ref="Z198:Z215" si="338">N198-S198</f>
        <v>0</v>
      </c>
      <c r="AA198" s="682">
        <f>'far 1 a(for internal use only)'!AA666</f>
        <v>0</v>
      </c>
      <c r="AB198" s="663">
        <f t="shared" ref="AB198:AB215" si="339">+S198-X198-AA198</f>
        <v>0</v>
      </c>
    </row>
    <row r="199" spans="1:28" s="90" customFormat="1" ht="14.1" customHeight="1" x14ac:dyDescent="0.2">
      <c r="A199" s="301"/>
      <c r="B199" s="350" t="s">
        <v>377</v>
      </c>
      <c r="C199" s="608"/>
      <c r="D199" s="608"/>
      <c r="E199" s="608"/>
      <c r="F199" s="370" t="s">
        <v>378</v>
      </c>
      <c r="G199" s="681">
        <f>'far 1 a(for internal use only)'!G667</f>
        <v>0</v>
      </c>
      <c r="H199" s="681">
        <f>'far 1 a(for internal use only)'!H667</f>
        <v>0</v>
      </c>
      <c r="I199" s="660">
        <f t="shared" si="332"/>
        <v>0</v>
      </c>
      <c r="J199" s="660">
        <f t="shared" si="333"/>
        <v>0</v>
      </c>
      <c r="K199" s="681">
        <f>'far 1 a(for internal use only)'!K667</f>
        <v>0</v>
      </c>
      <c r="L199" s="681">
        <f>'far 1 a(for internal use only)'!L667</f>
        <v>0</v>
      </c>
      <c r="M199" s="681">
        <f>'far 1 a(for internal use only)'!M667</f>
        <v>0</v>
      </c>
      <c r="N199" s="661">
        <f t="shared" si="334"/>
        <v>0</v>
      </c>
      <c r="O199" s="681">
        <f>'far 1 a(for internal use only)'!O667</f>
        <v>0</v>
      </c>
      <c r="P199" s="681">
        <f>'far 1 a(for internal use only)'!P667</f>
        <v>0</v>
      </c>
      <c r="Q199" s="681">
        <f>'far 1 a(for internal use only)'!Q667</f>
        <v>0</v>
      </c>
      <c r="R199" s="681">
        <f>'far 1 a(for internal use only)'!R667</f>
        <v>0</v>
      </c>
      <c r="S199" s="662">
        <f t="shared" si="335"/>
        <v>0</v>
      </c>
      <c r="T199" s="681">
        <f>'far 1 a(for internal use only)'!T667</f>
        <v>0</v>
      </c>
      <c r="U199" s="681">
        <f>'far 1 a(for internal use only)'!U667</f>
        <v>0</v>
      </c>
      <c r="V199" s="681">
        <f>'far 1 a(for internal use only)'!V667</f>
        <v>0</v>
      </c>
      <c r="W199" s="681">
        <f>'far 1 a(for internal use only)'!W667</f>
        <v>0</v>
      </c>
      <c r="X199" s="662">
        <f t="shared" si="336"/>
        <v>0</v>
      </c>
      <c r="Y199" s="662">
        <f t="shared" si="337"/>
        <v>0</v>
      </c>
      <c r="Z199" s="662">
        <f t="shared" si="338"/>
        <v>0</v>
      </c>
      <c r="AA199" s="682">
        <f>'far 1 a(for internal use only)'!AA667</f>
        <v>0</v>
      </c>
      <c r="AB199" s="663">
        <f t="shared" si="339"/>
        <v>0</v>
      </c>
    </row>
    <row r="200" spans="1:28" s="90" customFormat="1" ht="14.1" customHeight="1" x14ac:dyDescent="0.2">
      <c r="A200" s="301"/>
      <c r="B200" s="350" t="s">
        <v>379</v>
      </c>
      <c r="C200" s="608"/>
      <c r="D200" s="608"/>
      <c r="E200" s="608"/>
      <c r="F200" s="370" t="s">
        <v>380</v>
      </c>
      <c r="G200" s="681">
        <f>'far 1 a(for internal use only)'!G668</f>
        <v>0</v>
      </c>
      <c r="H200" s="681">
        <f>'far 1 a(for internal use only)'!H668</f>
        <v>0</v>
      </c>
      <c r="I200" s="660">
        <f t="shared" si="332"/>
        <v>0</v>
      </c>
      <c r="J200" s="660">
        <f t="shared" si="333"/>
        <v>0</v>
      </c>
      <c r="K200" s="681">
        <f>'far 1 a(for internal use only)'!K668</f>
        <v>0</v>
      </c>
      <c r="L200" s="681">
        <f>'far 1 a(for internal use only)'!L668</f>
        <v>0</v>
      </c>
      <c r="M200" s="681">
        <f>'far 1 a(for internal use only)'!M668</f>
        <v>0</v>
      </c>
      <c r="N200" s="661">
        <f t="shared" si="334"/>
        <v>0</v>
      </c>
      <c r="O200" s="681">
        <f>'far 1 a(for internal use only)'!O668</f>
        <v>0</v>
      </c>
      <c r="P200" s="681">
        <f>'far 1 a(for internal use only)'!P668</f>
        <v>0</v>
      </c>
      <c r="Q200" s="681">
        <f>'far 1 a(for internal use only)'!Q668</f>
        <v>0</v>
      </c>
      <c r="R200" s="681">
        <f>'far 1 a(for internal use only)'!R668</f>
        <v>0</v>
      </c>
      <c r="S200" s="662">
        <f t="shared" si="335"/>
        <v>0</v>
      </c>
      <c r="T200" s="681">
        <f>'far 1 a(for internal use only)'!T668</f>
        <v>0</v>
      </c>
      <c r="U200" s="681">
        <f>'far 1 a(for internal use only)'!U668</f>
        <v>0</v>
      </c>
      <c r="V200" s="681">
        <f>'far 1 a(for internal use only)'!V668</f>
        <v>0</v>
      </c>
      <c r="W200" s="681">
        <f>'far 1 a(for internal use only)'!W668</f>
        <v>0</v>
      </c>
      <c r="X200" s="662">
        <f t="shared" si="336"/>
        <v>0</v>
      </c>
      <c r="Y200" s="662">
        <f t="shared" si="337"/>
        <v>0</v>
      </c>
      <c r="Z200" s="662">
        <f t="shared" si="338"/>
        <v>0</v>
      </c>
      <c r="AA200" s="682">
        <f>'far 1 a(for internal use only)'!AA668</f>
        <v>0</v>
      </c>
      <c r="AB200" s="663">
        <f t="shared" si="339"/>
        <v>0</v>
      </c>
    </row>
    <row r="201" spans="1:28" s="90" customFormat="1" ht="14.1" customHeight="1" x14ac:dyDescent="0.2">
      <c r="A201" s="301"/>
      <c r="B201" s="350" t="s">
        <v>381</v>
      </c>
      <c r="C201" s="608"/>
      <c r="D201" s="608"/>
      <c r="E201" s="608"/>
      <c r="F201" s="370" t="s">
        <v>382</v>
      </c>
      <c r="G201" s="681">
        <f>'far 1 a(for internal use only)'!G669</f>
        <v>0</v>
      </c>
      <c r="H201" s="681">
        <f>'far 1 a(for internal use only)'!H669</f>
        <v>0</v>
      </c>
      <c r="I201" s="660">
        <f t="shared" si="332"/>
        <v>0</v>
      </c>
      <c r="J201" s="660">
        <f t="shared" si="333"/>
        <v>0</v>
      </c>
      <c r="K201" s="681">
        <f>'far 1 a(for internal use only)'!K669</f>
        <v>0</v>
      </c>
      <c r="L201" s="681">
        <f>'far 1 a(for internal use only)'!L669</f>
        <v>0</v>
      </c>
      <c r="M201" s="681">
        <f>'far 1 a(for internal use only)'!M669</f>
        <v>0</v>
      </c>
      <c r="N201" s="661">
        <f t="shared" si="334"/>
        <v>0</v>
      </c>
      <c r="O201" s="681">
        <f>'far 1 a(for internal use only)'!O669</f>
        <v>0</v>
      </c>
      <c r="P201" s="681">
        <f>'far 1 a(for internal use only)'!P669</f>
        <v>0</v>
      </c>
      <c r="Q201" s="681">
        <f>'far 1 a(for internal use only)'!Q669</f>
        <v>0</v>
      </c>
      <c r="R201" s="681">
        <f>'far 1 a(for internal use only)'!R669</f>
        <v>0</v>
      </c>
      <c r="S201" s="662">
        <f t="shared" si="335"/>
        <v>0</v>
      </c>
      <c r="T201" s="681">
        <f>'far 1 a(for internal use only)'!T669</f>
        <v>0</v>
      </c>
      <c r="U201" s="681">
        <f>'far 1 a(for internal use only)'!U669</f>
        <v>0</v>
      </c>
      <c r="V201" s="681">
        <f>'far 1 a(for internal use only)'!V669</f>
        <v>0</v>
      </c>
      <c r="W201" s="681">
        <f>'far 1 a(for internal use only)'!W669</f>
        <v>0</v>
      </c>
      <c r="X201" s="662">
        <f t="shared" si="336"/>
        <v>0</v>
      </c>
      <c r="Y201" s="662">
        <f t="shared" si="337"/>
        <v>0</v>
      </c>
      <c r="Z201" s="662">
        <f t="shared" si="338"/>
        <v>0</v>
      </c>
      <c r="AA201" s="682">
        <f>'far 1 a(for internal use only)'!AA669</f>
        <v>0</v>
      </c>
      <c r="AB201" s="663">
        <f t="shared" si="339"/>
        <v>0</v>
      </c>
    </row>
    <row r="202" spans="1:28" s="90" customFormat="1" ht="14.1" customHeight="1" x14ac:dyDescent="0.2">
      <c r="A202" s="301"/>
      <c r="B202" s="350" t="s">
        <v>383</v>
      </c>
      <c r="C202" s="608"/>
      <c r="D202" s="608"/>
      <c r="E202" s="608"/>
      <c r="F202" s="370" t="s">
        <v>384</v>
      </c>
      <c r="G202" s="681">
        <f>'far 1 a(for internal use only)'!G670</f>
        <v>0</v>
      </c>
      <c r="H202" s="681">
        <f>'far 1 a(for internal use only)'!H670</f>
        <v>0</v>
      </c>
      <c r="I202" s="660">
        <f t="shared" si="332"/>
        <v>0</v>
      </c>
      <c r="J202" s="660">
        <f t="shared" si="333"/>
        <v>0</v>
      </c>
      <c r="K202" s="681">
        <f>'far 1 a(for internal use only)'!K670</f>
        <v>0</v>
      </c>
      <c r="L202" s="681">
        <f>'far 1 a(for internal use only)'!L670</f>
        <v>0</v>
      </c>
      <c r="M202" s="681">
        <f>'far 1 a(for internal use only)'!M670</f>
        <v>0</v>
      </c>
      <c r="N202" s="661">
        <f t="shared" si="334"/>
        <v>0</v>
      </c>
      <c r="O202" s="681">
        <f>'far 1 a(for internal use only)'!O670</f>
        <v>0</v>
      </c>
      <c r="P202" s="681">
        <f>'far 1 a(for internal use only)'!P670</f>
        <v>0</v>
      </c>
      <c r="Q202" s="681">
        <f>'far 1 a(for internal use only)'!Q670</f>
        <v>0</v>
      </c>
      <c r="R202" s="681">
        <f>'far 1 a(for internal use only)'!R670</f>
        <v>0</v>
      </c>
      <c r="S202" s="662">
        <f t="shared" si="335"/>
        <v>0</v>
      </c>
      <c r="T202" s="681">
        <f>'far 1 a(for internal use only)'!T670</f>
        <v>0</v>
      </c>
      <c r="U202" s="681">
        <f>'far 1 a(for internal use only)'!U670</f>
        <v>0</v>
      </c>
      <c r="V202" s="681">
        <f>'far 1 a(for internal use only)'!V670</f>
        <v>0</v>
      </c>
      <c r="W202" s="681">
        <f>'far 1 a(for internal use only)'!W670</f>
        <v>0</v>
      </c>
      <c r="X202" s="662">
        <f t="shared" si="336"/>
        <v>0</v>
      </c>
      <c r="Y202" s="662">
        <f t="shared" si="337"/>
        <v>0</v>
      </c>
      <c r="Z202" s="662">
        <f t="shared" si="338"/>
        <v>0</v>
      </c>
      <c r="AA202" s="682">
        <f>'far 1 a(for internal use only)'!AA670</f>
        <v>0</v>
      </c>
      <c r="AB202" s="663">
        <f t="shared" si="339"/>
        <v>0</v>
      </c>
    </row>
    <row r="203" spans="1:28" s="90" customFormat="1" ht="14.1" customHeight="1" x14ac:dyDescent="0.2">
      <c r="A203" s="301"/>
      <c r="B203" s="350" t="s">
        <v>385</v>
      </c>
      <c r="C203" s="608"/>
      <c r="D203" s="608"/>
      <c r="E203" s="608"/>
      <c r="F203" s="370" t="s">
        <v>386</v>
      </c>
      <c r="G203" s="681">
        <f>'far 1 a(for internal use only)'!G671</f>
        <v>0</v>
      </c>
      <c r="H203" s="681">
        <f>'far 1 a(for internal use only)'!H671</f>
        <v>0</v>
      </c>
      <c r="I203" s="660">
        <f t="shared" si="332"/>
        <v>0</v>
      </c>
      <c r="J203" s="660">
        <f t="shared" si="333"/>
        <v>0</v>
      </c>
      <c r="K203" s="681">
        <f>'far 1 a(for internal use only)'!K671</f>
        <v>0</v>
      </c>
      <c r="L203" s="681">
        <f>'far 1 a(for internal use only)'!L671</f>
        <v>0</v>
      </c>
      <c r="M203" s="681">
        <f>'far 1 a(for internal use only)'!M671</f>
        <v>0</v>
      </c>
      <c r="N203" s="661">
        <f t="shared" si="334"/>
        <v>0</v>
      </c>
      <c r="O203" s="681">
        <f>'far 1 a(for internal use only)'!O671</f>
        <v>0</v>
      </c>
      <c r="P203" s="681">
        <f>'far 1 a(for internal use only)'!P671</f>
        <v>0</v>
      </c>
      <c r="Q203" s="681">
        <f>'far 1 a(for internal use only)'!Q671</f>
        <v>0</v>
      </c>
      <c r="R203" s="681">
        <f>'far 1 a(for internal use only)'!R671</f>
        <v>0</v>
      </c>
      <c r="S203" s="662">
        <f t="shared" si="335"/>
        <v>0</v>
      </c>
      <c r="T203" s="681">
        <f>'far 1 a(for internal use only)'!T671</f>
        <v>0</v>
      </c>
      <c r="U203" s="681">
        <f>'far 1 a(for internal use only)'!U671</f>
        <v>0</v>
      </c>
      <c r="V203" s="681">
        <f>'far 1 a(for internal use only)'!V671</f>
        <v>0</v>
      </c>
      <c r="W203" s="681">
        <f>'far 1 a(for internal use only)'!W671</f>
        <v>0</v>
      </c>
      <c r="X203" s="662">
        <f t="shared" si="336"/>
        <v>0</v>
      </c>
      <c r="Y203" s="662">
        <f t="shared" si="337"/>
        <v>0</v>
      </c>
      <c r="Z203" s="662">
        <f t="shared" si="338"/>
        <v>0</v>
      </c>
      <c r="AA203" s="682">
        <f>'far 1 a(for internal use only)'!AA671</f>
        <v>0</v>
      </c>
      <c r="AB203" s="663">
        <f t="shared" si="339"/>
        <v>0</v>
      </c>
    </row>
    <row r="204" spans="1:28" s="90" customFormat="1" ht="14.1" customHeight="1" x14ac:dyDescent="0.2">
      <c r="A204" s="301"/>
      <c r="B204" s="350" t="s">
        <v>726</v>
      </c>
      <c r="C204" s="718"/>
      <c r="D204" s="718"/>
      <c r="E204" s="718"/>
      <c r="F204" s="370" t="s">
        <v>387</v>
      </c>
      <c r="G204" s="681">
        <f>'far 1 a(for internal use only)'!G672</f>
        <v>0</v>
      </c>
      <c r="H204" s="681">
        <f>'far 1 a(for internal use only)'!H672</f>
        <v>0</v>
      </c>
      <c r="I204" s="660">
        <f t="shared" si="332"/>
        <v>0</v>
      </c>
      <c r="J204" s="660">
        <f t="shared" si="333"/>
        <v>0</v>
      </c>
      <c r="K204" s="681">
        <f>'far 1 a(for internal use only)'!K672</f>
        <v>0</v>
      </c>
      <c r="L204" s="681">
        <f>'far 1 a(for internal use only)'!L672</f>
        <v>0</v>
      </c>
      <c r="M204" s="681">
        <f>'far 1 a(for internal use only)'!M672</f>
        <v>0</v>
      </c>
      <c r="N204" s="661">
        <f t="shared" si="334"/>
        <v>0</v>
      </c>
      <c r="O204" s="681">
        <f>'far 1 a(for internal use only)'!O672</f>
        <v>0</v>
      </c>
      <c r="P204" s="681">
        <f>'far 1 a(for internal use only)'!P672</f>
        <v>0</v>
      </c>
      <c r="Q204" s="681">
        <f>'far 1 a(for internal use only)'!Q672</f>
        <v>0</v>
      </c>
      <c r="R204" s="681">
        <f>'far 1 a(for internal use only)'!R672</f>
        <v>0</v>
      </c>
      <c r="S204" s="662">
        <f t="shared" si="335"/>
        <v>0</v>
      </c>
      <c r="T204" s="681">
        <f>'far 1 a(for internal use only)'!T672</f>
        <v>0</v>
      </c>
      <c r="U204" s="681">
        <f>'far 1 a(for internal use only)'!U672</f>
        <v>0</v>
      </c>
      <c r="V204" s="681">
        <f>'far 1 a(for internal use only)'!V672</f>
        <v>0</v>
      </c>
      <c r="W204" s="681">
        <f>'far 1 a(for internal use only)'!W672</f>
        <v>0</v>
      </c>
      <c r="X204" s="662">
        <f t="shared" si="336"/>
        <v>0</v>
      </c>
      <c r="Y204" s="662">
        <f t="shared" si="337"/>
        <v>0</v>
      </c>
      <c r="Z204" s="662">
        <f t="shared" si="338"/>
        <v>0</v>
      </c>
      <c r="AA204" s="682">
        <f>'far 1 a(for internal use only)'!AA672</f>
        <v>0</v>
      </c>
      <c r="AB204" s="663">
        <f t="shared" si="339"/>
        <v>0</v>
      </c>
    </row>
    <row r="205" spans="1:28" s="90" customFormat="1" ht="14.1" customHeight="1" x14ac:dyDescent="0.2">
      <c r="A205" s="301"/>
      <c r="B205" s="350" t="s">
        <v>388</v>
      </c>
      <c r="C205" s="608"/>
      <c r="D205" s="608"/>
      <c r="E205" s="608"/>
      <c r="F205" s="370" t="s">
        <v>389</v>
      </c>
      <c r="G205" s="681">
        <f>'far 1 a(for internal use only)'!G673</f>
        <v>0</v>
      </c>
      <c r="H205" s="681">
        <f>'far 1 a(for internal use only)'!H673</f>
        <v>0</v>
      </c>
      <c r="I205" s="660">
        <f t="shared" si="332"/>
        <v>0</v>
      </c>
      <c r="J205" s="660">
        <f t="shared" si="333"/>
        <v>0</v>
      </c>
      <c r="K205" s="681">
        <f>'far 1 a(for internal use only)'!K673</f>
        <v>0</v>
      </c>
      <c r="L205" s="681">
        <f>'far 1 a(for internal use only)'!L673</f>
        <v>0</v>
      </c>
      <c r="M205" s="681">
        <f>'far 1 a(for internal use only)'!M673</f>
        <v>0</v>
      </c>
      <c r="N205" s="661">
        <f t="shared" si="334"/>
        <v>0</v>
      </c>
      <c r="O205" s="681">
        <f>'far 1 a(for internal use only)'!O673</f>
        <v>0</v>
      </c>
      <c r="P205" s="681">
        <f>'far 1 a(for internal use only)'!P673</f>
        <v>0</v>
      </c>
      <c r="Q205" s="681">
        <f>'far 1 a(for internal use only)'!Q673</f>
        <v>0</v>
      </c>
      <c r="R205" s="681">
        <f>'far 1 a(for internal use only)'!R673</f>
        <v>0</v>
      </c>
      <c r="S205" s="662">
        <f t="shared" si="335"/>
        <v>0</v>
      </c>
      <c r="T205" s="681">
        <f>'far 1 a(for internal use only)'!T673</f>
        <v>0</v>
      </c>
      <c r="U205" s="681">
        <f>'far 1 a(for internal use only)'!U673</f>
        <v>0</v>
      </c>
      <c r="V205" s="681">
        <f>'far 1 a(for internal use only)'!V673</f>
        <v>0</v>
      </c>
      <c r="W205" s="681">
        <f>'far 1 a(for internal use only)'!W673</f>
        <v>0</v>
      </c>
      <c r="X205" s="662">
        <f t="shared" si="336"/>
        <v>0</v>
      </c>
      <c r="Y205" s="662">
        <f t="shared" si="337"/>
        <v>0</v>
      </c>
      <c r="Z205" s="662">
        <f t="shared" si="338"/>
        <v>0</v>
      </c>
      <c r="AA205" s="682">
        <f>'far 1 a(for internal use only)'!AA673</f>
        <v>0</v>
      </c>
      <c r="AB205" s="663">
        <f t="shared" si="339"/>
        <v>0</v>
      </c>
    </row>
    <row r="206" spans="1:28" s="90" customFormat="1" ht="14.1" customHeight="1" x14ac:dyDescent="0.2">
      <c r="A206" s="301"/>
      <c r="B206" s="350" t="s">
        <v>390</v>
      </c>
      <c r="C206" s="608"/>
      <c r="D206" s="608"/>
      <c r="E206" s="608"/>
      <c r="F206" s="370" t="s">
        <v>391</v>
      </c>
      <c r="G206" s="681">
        <f>'far 1 a(for internal use only)'!G674</f>
        <v>0</v>
      </c>
      <c r="H206" s="681">
        <f>'far 1 a(for internal use only)'!H674</f>
        <v>0</v>
      </c>
      <c r="I206" s="660">
        <f t="shared" si="332"/>
        <v>0</v>
      </c>
      <c r="J206" s="660">
        <f t="shared" si="333"/>
        <v>0</v>
      </c>
      <c r="K206" s="681">
        <f>'far 1 a(for internal use only)'!K674</f>
        <v>0</v>
      </c>
      <c r="L206" s="681">
        <f>'far 1 a(for internal use only)'!L674</f>
        <v>0</v>
      </c>
      <c r="M206" s="681">
        <f>'far 1 a(for internal use only)'!M674</f>
        <v>0</v>
      </c>
      <c r="N206" s="661">
        <f t="shared" si="334"/>
        <v>0</v>
      </c>
      <c r="O206" s="681">
        <f>'far 1 a(for internal use only)'!O674</f>
        <v>0</v>
      </c>
      <c r="P206" s="681">
        <f>'far 1 a(for internal use only)'!P674</f>
        <v>0</v>
      </c>
      <c r="Q206" s="681">
        <f>'far 1 a(for internal use only)'!Q674</f>
        <v>0</v>
      </c>
      <c r="R206" s="681">
        <f>'far 1 a(for internal use only)'!R674</f>
        <v>0</v>
      </c>
      <c r="S206" s="662">
        <f t="shared" si="335"/>
        <v>0</v>
      </c>
      <c r="T206" s="681">
        <f>'far 1 a(for internal use only)'!T674</f>
        <v>0</v>
      </c>
      <c r="U206" s="681">
        <f>'far 1 a(for internal use only)'!U674</f>
        <v>0</v>
      </c>
      <c r="V206" s="681">
        <f>'far 1 a(for internal use only)'!V674</f>
        <v>0</v>
      </c>
      <c r="W206" s="681">
        <f>'far 1 a(for internal use only)'!W674</f>
        <v>0</v>
      </c>
      <c r="X206" s="662">
        <f t="shared" si="336"/>
        <v>0</v>
      </c>
      <c r="Y206" s="662">
        <f t="shared" si="337"/>
        <v>0</v>
      </c>
      <c r="Z206" s="662">
        <f t="shared" si="338"/>
        <v>0</v>
      </c>
      <c r="AA206" s="682">
        <f>'far 1 a(for internal use only)'!AA674</f>
        <v>0</v>
      </c>
      <c r="AB206" s="663">
        <f t="shared" si="339"/>
        <v>0</v>
      </c>
    </row>
    <row r="207" spans="1:28" s="90" customFormat="1" ht="14.1" customHeight="1" x14ac:dyDescent="0.2">
      <c r="A207" s="301"/>
      <c r="B207" s="350" t="s">
        <v>392</v>
      </c>
      <c r="C207" s="608"/>
      <c r="D207" s="608"/>
      <c r="E207" s="608"/>
      <c r="F207" s="370" t="s">
        <v>393</v>
      </c>
      <c r="G207" s="681">
        <f>'far 1 a(for internal use only)'!G675</f>
        <v>0</v>
      </c>
      <c r="H207" s="681">
        <f>'far 1 a(for internal use only)'!H675</f>
        <v>0</v>
      </c>
      <c r="I207" s="660">
        <f t="shared" si="332"/>
        <v>0</v>
      </c>
      <c r="J207" s="660">
        <f t="shared" si="333"/>
        <v>0</v>
      </c>
      <c r="K207" s="681">
        <f>'far 1 a(for internal use only)'!K675</f>
        <v>0</v>
      </c>
      <c r="L207" s="681">
        <f>'far 1 a(for internal use only)'!L675</f>
        <v>0</v>
      </c>
      <c r="M207" s="681">
        <f>'far 1 a(for internal use only)'!M675</f>
        <v>0</v>
      </c>
      <c r="N207" s="661">
        <f t="shared" si="334"/>
        <v>0</v>
      </c>
      <c r="O207" s="681">
        <f>'far 1 a(for internal use only)'!O675</f>
        <v>0</v>
      </c>
      <c r="P207" s="681">
        <f>'far 1 a(for internal use only)'!P675</f>
        <v>0</v>
      </c>
      <c r="Q207" s="681">
        <f>'far 1 a(for internal use only)'!Q675</f>
        <v>0</v>
      </c>
      <c r="R207" s="681">
        <f>'far 1 a(for internal use only)'!R675</f>
        <v>0</v>
      </c>
      <c r="S207" s="662">
        <f t="shared" si="335"/>
        <v>0</v>
      </c>
      <c r="T207" s="681">
        <f>'far 1 a(for internal use only)'!T675</f>
        <v>0</v>
      </c>
      <c r="U207" s="681">
        <f>'far 1 a(for internal use only)'!U675</f>
        <v>0</v>
      </c>
      <c r="V207" s="681">
        <f>'far 1 a(for internal use only)'!V675</f>
        <v>0</v>
      </c>
      <c r="W207" s="681">
        <f>'far 1 a(for internal use only)'!W675</f>
        <v>0</v>
      </c>
      <c r="X207" s="662">
        <f t="shared" si="336"/>
        <v>0</v>
      </c>
      <c r="Y207" s="662">
        <f t="shared" si="337"/>
        <v>0</v>
      </c>
      <c r="Z207" s="662">
        <f t="shared" si="338"/>
        <v>0</v>
      </c>
      <c r="AA207" s="682">
        <f>'far 1 a(for internal use only)'!AA675</f>
        <v>0</v>
      </c>
      <c r="AB207" s="663">
        <f t="shared" si="339"/>
        <v>0</v>
      </c>
    </row>
    <row r="208" spans="1:28" s="90" customFormat="1" ht="14.1" customHeight="1" x14ac:dyDescent="0.2">
      <c r="A208" s="301"/>
      <c r="B208" s="350" t="s">
        <v>394</v>
      </c>
      <c r="C208" s="608"/>
      <c r="D208" s="608"/>
      <c r="E208" s="608"/>
      <c r="F208" s="370" t="s">
        <v>395</v>
      </c>
      <c r="G208" s="681">
        <f>'far 1 a(for internal use only)'!G676</f>
        <v>0</v>
      </c>
      <c r="H208" s="681">
        <f>'far 1 a(for internal use only)'!H676</f>
        <v>0</v>
      </c>
      <c r="I208" s="660">
        <f t="shared" si="332"/>
        <v>0</v>
      </c>
      <c r="J208" s="660">
        <f t="shared" si="333"/>
        <v>0</v>
      </c>
      <c r="K208" s="681">
        <f>'far 1 a(for internal use only)'!K676</f>
        <v>0</v>
      </c>
      <c r="L208" s="681">
        <f>'far 1 a(for internal use only)'!L676</f>
        <v>0</v>
      </c>
      <c r="M208" s="681">
        <f>'far 1 a(for internal use only)'!M676</f>
        <v>0</v>
      </c>
      <c r="N208" s="661">
        <f t="shared" si="334"/>
        <v>0</v>
      </c>
      <c r="O208" s="681">
        <f>'far 1 a(for internal use only)'!O676</f>
        <v>0</v>
      </c>
      <c r="P208" s="681">
        <f>'far 1 a(for internal use only)'!P676</f>
        <v>0</v>
      </c>
      <c r="Q208" s="681">
        <f>'far 1 a(for internal use only)'!Q676</f>
        <v>0</v>
      </c>
      <c r="R208" s="681">
        <f>'far 1 a(for internal use only)'!R676</f>
        <v>0</v>
      </c>
      <c r="S208" s="662">
        <f t="shared" si="335"/>
        <v>0</v>
      </c>
      <c r="T208" s="681">
        <f>'far 1 a(for internal use only)'!T676</f>
        <v>0</v>
      </c>
      <c r="U208" s="681">
        <f>'far 1 a(for internal use only)'!U676</f>
        <v>0</v>
      </c>
      <c r="V208" s="681">
        <f>'far 1 a(for internal use only)'!V676</f>
        <v>0</v>
      </c>
      <c r="W208" s="681">
        <f>'far 1 a(for internal use only)'!W676</f>
        <v>0</v>
      </c>
      <c r="X208" s="662">
        <f t="shared" si="336"/>
        <v>0</v>
      </c>
      <c r="Y208" s="662">
        <f t="shared" si="337"/>
        <v>0</v>
      </c>
      <c r="Z208" s="662">
        <f t="shared" si="338"/>
        <v>0</v>
      </c>
      <c r="AA208" s="682">
        <f>'far 1 a(for internal use only)'!AA676</f>
        <v>0</v>
      </c>
      <c r="AB208" s="663">
        <f t="shared" si="339"/>
        <v>0</v>
      </c>
    </row>
    <row r="209" spans="1:28" s="90" customFormat="1" ht="14.1" customHeight="1" x14ac:dyDescent="0.2">
      <c r="A209" s="301"/>
      <c r="B209" s="350" t="s">
        <v>396</v>
      </c>
      <c r="C209" s="608"/>
      <c r="D209" s="608"/>
      <c r="E209" s="608"/>
      <c r="F209" s="370" t="s">
        <v>397</v>
      </c>
      <c r="G209" s="681">
        <f>'far 1 a(for internal use only)'!G677</f>
        <v>0</v>
      </c>
      <c r="H209" s="681">
        <f>'far 1 a(for internal use only)'!H677</f>
        <v>0</v>
      </c>
      <c r="I209" s="660">
        <f t="shared" si="332"/>
        <v>0</v>
      </c>
      <c r="J209" s="660">
        <f t="shared" si="333"/>
        <v>0</v>
      </c>
      <c r="K209" s="681">
        <f>'far 1 a(for internal use only)'!K677</f>
        <v>0</v>
      </c>
      <c r="L209" s="681">
        <f>'far 1 a(for internal use only)'!L677</f>
        <v>0</v>
      </c>
      <c r="M209" s="681">
        <f>'far 1 a(for internal use only)'!M677</f>
        <v>0</v>
      </c>
      <c r="N209" s="661">
        <f t="shared" si="334"/>
        <v>0</v>
      </c>
      <c r="O209" s="681">
        <f>'far 1 a(for internal use only)'!O677</f>
        <v>0</v>
      </c>
      <c r="P209" s="681">
        <f>'far 1 a(for internal use only)'!P677</f>
        <v>0</v>
      </c>
      <c r="Q209" s="681">
        <f>'far 1 a(for internal use only)'!Q677</f>
        <v>0</v>
      </c>
      <c r="R209" s="681">
        <f>'far 1 a(for internal use only)'!R677</f>
        <v>0</v>
      </c>
      <c r="S209" s="662">
        <f t="shared" si="335"/>
        <v>0</v>
      </c>
      <c r="T209" s="681">
        <f>'far 1 a(for internal use only)'!T677</f>
        <v>0</v>
      </c>
      <c r="U209" s="681">
        <f>'far 1 a(for internal use only)'!U677</f>
        <v>0</v>
      </c>
      <c r="V209" s="681">
        <f>'far 1 a(for internal use only)'!V677</f>
        <v>0</v>
      </c>
      <c r="W209" s="681">
        <f>'far 1 a(for internal use only)'!W677</f>
        <v>0</v>
      </c>
      <c r="X209" s="662">
        <f t="shared" si="336"/>
        <v>0</v>
      </c>
      <c r="Y209" s="662">
        <f t="shared" si="337"/>
        <v>0</v>
      </c>
      <c r="Z209" s="662">
        <f t="shared" si="338"/>
        <v>0</v>
      </c>
      <c r="AA209" s="682">
        <f>'far 1 a(for internal use only)'!AA677</f>
        <v>0</v>
      </c>
      <c r="AB209" s="663">
        <f t="shared" si="339"/>
        <v>0</v>
      </c>
    </row>
    <row r="210" spans="1:28" s="90" customFormat="1" ht="14.1" customHeight="1" x14ac:dyDescent="0.2">
      <c r="A210" s="301"/>
      <c r="B210" s="350" t="s">
        <v>398</v>
      </c>
      <c r="C210" s="608"/>
      <c r="D210" s="608"/>
      <c r="E210" s="608"/>
      <c r="F210" s="370" t="s">
        <v>399</v>
      </c>
      <c r="G210" s="681">
        <f>'far 1 a(for internal use only)'!G678</f>
        <v>0</v>
      </c>
      <c r="H210" s="681">
        <f>'far 1 a(for internal use only)'!H678</f>
        <v>0</v>
      </c>
      <c r="I210" s="660">
        <f t="shared" si="332"/>
        <v>0</v>
      </c>
      <c r="J210" s="660">
        <f t="shared" si="333"/>
        <v>0</v>
      </c>
      <c r="K210" s="681">
        <f>'far 1 a(for internal use only)'!K678</f>
        <v>0</v>
      </c>
      <c r="L210" s="681">
        <f>'far 1 a(for internal use only)'!L678</f>
        <v>0</v>
      </c>
      <c r="M210" s="681">
        <f>'far 1 a(for internal use only)'!M678</f>
        <v>24000</v>
      </c>
      <c r="N210" s="661">
        <f t="shared" si="334"/>
        <v>24000</v>
      </c>
      <c r="O210" s="681">
        <f>'far 1 a(for internal use only)'!O678</f>
        <v>0</v>
      </c>
      <c r="P210" s="681">
        <f>'far 1 a(for internal use only)'!P678</f>
        <v>0</v>
      </c>
      <c r="Q210" s="681">
        <f>'far 1 a(for internal use only)'!Q678</f>
        <v>0</v>
      </c>
      <c r="R210" s="681">
        <f>'far 1 a(for internal use only)'!R678</f>
        <v>0</v>
      </c>
      <c r="S210" s="662">
        <f t="shared" si="335"/>
        <v>0</v>
      </c>
      <c r="T210" s="681">
        <f>'far 1 a(for internal use only)'!T678</f>
        <v>0</v>
      </c>
      <c r="U210" s="681">
        <f>'far 1 a(for internal use only)'!U678</f>
        <v>0</v>
      </c>
      <c r="V210" s="681">
        <f>'far 1 a(for internal use only)'!V678</f>
        <v>0</v>
      </c>
      <c r="W210" s="681">
        <f>'far 1 a(for internal use only)'!W678</f>
        <v>0</v>
      </c>
      <c r="X210" s="662">
        <f t="shared" si="336"/>
        <v>0</v>
      </c>
      <c r="Y210" s="662">
        <f t="shared" si="337"/>
        <v>-24000</v>
      </c>
      <c r="Z210" s="662">
        <f t="shared" si="338"/>
        <v>24000</v>
      </c>
      <c r="AA210" s="682">
        <f>'far 1 a(for internal use only)'!AA678</f>
        <v>0</v>
      </c>
      <c r="AB210" s="663">
        <f t="shared" si="339"/>
        <v>0</v>
      </c>
    </row>
    <row r="211" spans="1:28" s="90" customFormat="1" ht="14.1" customHeight="1" x14ac:dyDescent="0.2">
      <c r="A211" s="301"/>
      <c r="B211" s="350" t="s">
        <v>400</v>
      </c>
      <c r="C211" s="608"/>
      <c r="D211" s="608"/>
      <c r="E211" s="608"/>
      <c r="F211" s="370" t="s">
        <v>401</v>
      </c>
      <c r="G211" s="681">
        <f>'far 1 a(for internal use only)'!G679</f>
        <v>0</v>
      </c>
      <c r="H211" s="681">
        <f>'far 1 a(for internal use only)'!H679</f>
        <v>0</v>
      </c>
      <c r="I211" s="660">
        <f t="shared" si="332"/>
        <v>0</v>
      </c>
      <c r="J211" s="660">
        <f t="shared" si="333"/>
        <v>0</v>
      </c>
      <c r="K211" s="681">
        <f>'far 1 a(for internal use only)'!K679</f>
        <v>0</v>
      </c>
      <c r="L211" s="681">
        <f>'far 1 a(for internal use only)'!L679</f>
        <v>0</v>
      </c>
      <c r="M211" s="681">
        <f>'far 1 a(for internal use only)'!M679</f>
        <v>0</v>
      </c>
      <c r="N211" s="661">
        <f t="shared" si="334"/>
        <v>0</v>
      </c>
      <c r="O211" s="681">
        <f>'far 1 a(for internal use only)'!O679</f>
        <v>0</v>
      </c>
      <c r="P211" s="681">
        <f>'far 1 a(for internal use only)'!P679</f>
        <v>0</v>
      </c>
      <c r="Q211" s="681">
        <f>'far 1 a(for internal use only)'!Q679</f>
        <v>0</v>
      </c>
      <c r="R211" s="681">
        <f>'far 1 a(for internal use only)'!R679</f>
        <v>0</v>
      </c>
      <c r="S211" s="662">
        <f t="shared" si="335"/>
        <v>0</v>
      </c>
      <c r="T211" s="681">
        <f>'far 1 a(for internal use only)'!T679</f>
        <v>0</v>
      </c>
      <c r="U211" s="681">
        <f>'far 1 a(for internal use only)'!U679</f>
        <v>0</v>
      </c>
      <c r="V211" s="681">
        <f>'far 1 a(for internal use only)'!V679</f>
        <v>0</v>
      </c>
      <c r="W211" s="681">
        <f>'far 1 a(for internal use only)'!W679</f>
        <v>0</v>
      </c>
      <c r="X211" s="662">
        <f t="shared" si="336"/>
        <v>0</v>
      </c>
      <c r="Y211" s="662">
        <f t="shared" si="337"/>
        <v>0</v>
      </c>
      <c r="Z211" s="662">
        <f t="shared" si="338"/>
        <v>0</v>
      </c>
      <c r="AA211" s="682">
        <f>'far 1 a(for internal use only)'!AA679</f>
        <v>0</v>
      </c>
      <c r="AB211" s="663">
        <f t="shared" si="339"/>
        <v>0</v>
      </c>
    </row>
    <row r="212" spans="1:28" s="90" customFormat="1" ht="14.1" customHeight="1" x14ac:dyDescent="0.2">
      <c r="A212" s="301"/>
      <c r="B212" s="350" t="s">
        <v>402</v>
      </c>
      <c r="C212" s="608"/>
      <c r="D212" s="608"/>
      <c r="E212" s="608"/>
      <c r="F212" s="370" t="s">
        <v>403</v>
      </c>
      <c r="G212" s="681">
        <f>'far 1 a(for internal use only)'!G680</f>
        <v>0</v>
      </c>
      <c r="H212" s="681">
        <f>'far 1 a(for internal use only)'!H680</f>
        <v>0</v>
      </c>
      <c r="I212" s="660">
        <f t="shared" si="332"/>
        <v>0</v>
      </c>
      <c r="J212" s="660">
        <f t="shared" si="333"/>
        <v>0</v>
      </c>
      <c r="K212" s="681">
        <f>'far 1 a(for internal use only)'!K680</f>
        <v>0</v>
      </c>
      <c r="L212" s="681">
        <f>'far 1 a(for internal use only)'!L680</f>
        <v>0</v>
      </c>
      <c r="M212" s="681">
        <f>'far 1 a(for internal use only)'!M680</f>
        <v>0</v>
      </c>
      <c r="N212" s="661">
        <f t="shared" si="334"/>
        <v>0</v>
      </c>
      <c r="O212" s="681">
        <f>'far 1 a(for internal use only)'!O680</f>
        <v>0</v>
      </c>
      <c r="P212" s="681">
        <f>'far 1 a(for internal use only)'!P680</f>
        <v>0</v>
      </c>
      <c r="Q212" s="681">
        <f>'far 1 a(for internal use only)'!Q680</f>
        <v>0</v>
      </c>
      <c r="R212" s="681">
        <f>'far 1 a(for internal use only)'!R680</f>
        <v>0</v>
      </c>
      <c r="S212" s="662">
        <f t="shared" si="335"/>
        <v>0</v>
      </c>
      <c r="T212" s="681">
        <f>'far 1 a(for internal use only)'!T680</f>
        <v>0</v>
      </c>
      <c r="U212" s="681">
        <f>'far 1 a(for internal use only)'!U680</f>
        <v>0</v>
      </c>
      <c r="V212" s="681">
        <f>'far 1 a(for internal use only)'!V680</f>
        <v>0</v>
      </c>
      <c r="W212" s="681">
        <f>'far 1 a(for internal use only)'!W680</f>
        <v>0</v>
      </c>
      <c r="X212" s="662">
        <f t="shared" si="336"/>
        <v>0</v>
      </c>
      <c r="Y212" s="662">
        <f t="shared" si="337"/>
        <v>0</v>
      </c>
      <c r="Z212" s="662">
        <f t="shared" si="338"/>
        <v>0</v>
      </c>
      <c r="AA212" s="682">
        <f>'far 1 a(for internal use only)'!AA680</f>
        <v>0</v>
      </c>
      <c r="AB212" s="663">
        <f t="shared" si="339"/>
        <v>0</v>
      </c>
    </row>
    <row r="213" spans="1:28" s="90" customFormat="1" ht="14.1" customHeight="1" x14ac:dyDescent="0.2">
      <c r="A213" s="301"/>
      <c r="B213" s="350" t="s">
        <v>404</v>
      </c>
      <c r="C213" s="608"/>
      <c r="D213" s="608"/>
      <c r="E213" s="608"/>
      <c r="F213" s="370" t="s">
        <v>405</v>
      </c>
      <c r="G213" s="681">
        <f>'far 1 a(for internal use only)'!G681</f>
        <v>0</v>
      </c>
      <c r="H213" s="681">
        <f>'far 1 a(for internal use only)'!H681</f>
        <v>0</v>
      </c>
      <c r="I213" s="660">
        <f t="shared" si="332"/>
        <v>0</v>
      </c>
      <c r="J213" s="660">
        <f t="shared" si="333"/>
        <v>0</v>
      </c>
      <c r="K213" s="681">
        <f>'far 1 a(for internal use only)'!K681</f>
        <v>0</v>
      </c>
      <c r="L213" s="681">
        <f>'far 1 a(for internal use only)'!L681</f>
        <v>0</v>
      </c>
      <c r="M213" s="681">
        <f>'far 1 a(for internal use only)'!M681</f>
        <v>0</v>
      </c>
      <c r="N213" s="661">
        <f t="shared" si="334"/>
        <v>0</v>
      </c>
      <c r="O213" s="681">
        <f>'far 1 a(for internal use only)'!O681</f>
        <v>0</v>
      </c>
      <c r="P213" s="681">
        <f>'far 1 a(for internal use only)'!P681</f>
        <v>0</v>
      </c>
      <c r="Q213" s="681">
        <f>'far 1 a(for internal use only)'!Q681</f>
        <v>0</v>
      </c>
      <c r="R213" s="681">
        <f>'far 1 a(for internal use only)'!R681</f>
        <v>0</v>
      </c>
      <c r="S213" s="662">
        <f t="shared" si="335"/>
        <v>0</v>
      </c>
      <c r="T213" s="681">
        <f>'far 1 a(for internal use only)'!T681</f>
        <v>0</v>
      </c>
      <c r="U213" s="681">
        <f>'far 1 a(for internal use only)'!U681</f>
        <v>0</v>
      </c>
      <c r="V213" s="681">
        <f>'far 1 a(for internal use only)'!V681</f>
        <v>0</v>
      </c>
      <c r="W213" s="681">
        <f>'far 1 a(for internal use only)'!W681</f>
        <v>0</v>
      </c>
      <c r="X213" s="662">
        <f t="shared" si="336"/>
        <v>0</v>
      </c>
      <c r="Y213" s="662">
        <f t="shared" si="337"/>
        <v>0</v>
      </c>
      <c r="Z213" s="662">
        <f t="shared" si="338"/>
        <v>0</v>
      </c>
      <c r="AA213" s="682">
        <f>'far 1 a(for internal use only)'!AA681</f>
        <v>0</v>
      </c>
      <c r="AB213" s="663">
        <f t="shared" si="339"/>
        <v>0</v>
      </c>
    </row>
    <row r="214" spans="1:28" s="90" customFormat="1" ht="14.1" customHeight="1" x14ac:dyDescent="0.2">
      <c r="A214" s="301"/>
      <c r="B214" s="350" t="s">
        <v>727</v>
      </c>
      <c r="C214" s="718"/>
      <c r="D214" s="718"/>
      <c r="E214" s="718"/>
      <c r="F214" s="370" t="s">
        <v>728</v>
      </c>
      <c r="G214" s="681">
        <f>'far 1 a(for internal use only)'!G682</f>
        <v>0</v>
      </c>
      <c r="H214" s="681">
        <f>'far 1 a(for internal use only)'!H682</f>
        <v>0</v>
      </c>
      <c r="I214" s="660">
        <f t="shared" ref="I214" si="340">G214+H214</f>
        <v>0</v>
      </c>
      <c r="J214" s="660">
        <f t="shared" ref="J214" si="341">I214</f>
        <v>0</v>
      </c>
      <c r="K214" s="681">
        <f>'far 1 a(for internal use only)'!K682</f>
        <v>0</v>
      </c>
      <c r="L214" s="681">
        <f>'far 1 a(for internal use only)'!L682</f>
        <v>0</v>
      </c>
      <c r="M214" s="681">
        <f>'far 1 a(for internal use only)'!M682</f>
        <v>0</v>
      </c>
      <c r="N214" s="661">
        <f t="shared" ref="N214" si="342">J214+K214-L214+M214</f>
        <v>0</v>
      </c>
      <c r="O214" s="681">
        <f>'far 1 a(for internal use only)'!O682</f>
        <v>0</v>
      </c>
      <c r="P214" s="681">
        <f>'far 1 a(for internal use only)'!P682</f>
        <v>0</v>
      </c>
      <c r="Q214" s="681">
        <f>'far 1 a(for internal use only)'!Q682</f>
        <v>0</v>
      </c>
      <c r="R214" s="681">
        <f>'far 1 a(for internal use only)'!R682</f>
        <v>0</v>
      </c>
      <c r="S214" s="662">
        <f t="shared" ref="S214" si="343">SUM(O214:R214)</f>
        <v>0</v>
      </c>
      <c r="T214" s="681">
        <f>'far 1 a(for internal use only)'!T682</f>
        <v>0</v>
      </c>
      <c r="U214" s="681">
        <f>'far 1 a(for internal use only)'!U682</f>
        <v>0</v>
      </c>
      <c r="V214" s="681">
        <f>'far 1 a(for internal use only)'!V682</f>
        <v>0</v>
      </c>
      <c r="W214" s="681">
        <f>'far 1 a(for internal use only)'!W682</f>
        <v>0</v>
      </c>
      <c r="X214" s="662">
        <f t="shared" ref="X214" si="344">SUM(T214:W214)</f>
        <v>0</v>
      </c>
      <c r="Y214" s="662">
        <f t="shared" ref="Y214" si="345">I214-N214</f>
        <v>0</v>
      </c>
      <c r="Z214" s="662">
        <f t="shared" ref="Z214" si="346">N214-S214</f>
        <v>0</v>
      </c>
      <c r="AA214" s="682">
        <f>'far 1 a(for internal use only)'!AA682</f>
        <v>0</v>
      </c>
      <c r="AB214" s="663">
        <f t="shared" ref="AB214" si="347">+S214-X214-AA214</f>
        <v>0</v>
      </c>
    </row>
    <row r="215" spans="1:28" s="90" customFormat="1" ht="14.1" customHeight="1" x14ac:dyDescent="0.2">
      <c r="A215" s="301"/>
      <c r="B215" s="350" t="s">
        <v>406</v>
      </c>
      <c r="C215" s="608"/>
      <c r="D215" s="608"/>
      <c r="E215" s="608"/>
      <c r="F215" s="370" t="s">
        <v>407</v>
      </c>
      <c r="G215" s="681">
        <f>'far 1 a(for internal use only)'!G683</f>
        <v>0</v>
      </c>
      <c r="H215" s="681">
        <f>'far 1 a(for internal use only)'!H683</f>
        <v>0</v>
      </c>
      <c r="I215" s="660">
        <f t="shared" si="332"/>
        <v>0</v>
      </c>
      <c r="J215" s="660">
        <f t="shared" si="333"/>
        <v>0</v>
      </c>
      <c r="K215" s="681">
        <f>'far 1 a(for internal use only)'!K683</f>
        <v>0</v>
      </c>
      <c r="L215" s="681">
        <f>'far 1 a(for internal use only)'!L683</f>
        <v>0</v>
      </c>
      <c r="M215" s="681">
        <f>'far 1 a(for internal use only)'!M683</f>
        <v>0</v>
      </c>
      <c r="N215" s="661">
        <f t="shared" si="334"/>
        <v>0</v>
      </c>
      <c r="O215" s="681">
        <f>'far 1 a(for internal use only)'!O683</f>
        <v>0</v>
      </c>
      <c r="P215" s="681">
        <f>'far 1 a(for internal use only)'!P683</f>
        <v>0</v>
      </c>
      <c r="Q215" s="681">
        <f>'far 1 a(for internal use only)'!Q683</f>
        <v>0</v>
      </c>
      <c r="R215" s="681">
        <f>'far 1 a(for internal use only)'!R683</f>
        <v>0</v>
      </c>
      <c r="S215" s="662">
        <f t="shared" si="335"/>
        <v>0</v>
      </c>
      <c r="T215" s="681">
        <f>'far 1 a(for internal use only)'!T683</f>
        <v>0</v>
      </c>
      <c r="U215" s="681">
        <f>'far 1 a(for internal use only)'!U683</f>
        <v>0</v>
      </c>
      <c r="V215" s="681">
        <f>'far 1 a(for internal use only)'!V683</f>
        <v>0</v>
      </c>
      <c r="W215" s="681">
        <f>'far 1 a(for internal use only)'!W683</f>
        <v>0</v>
      </c>
      <c r="X215" s="662">
        <f t="shared" si="336"/>
        <v>0</v>
      </c>
      <c r="Y215" s="662">
        <f t="shared" si="337"/>
        <v>0</v>
      </c>
      <c r="Z215" s="662">
        <f t="shared" si="338"/>
        <v>0</v>
      </c>
      <c r="AA215" s="682">
        <f>'far 1 a(for internal use only)'!AA683</f>
        <v>0</v>
      </c>
      <c r="AB215" s="663">
        <f t="shared" si="339"/>
        <v>0</v>
      </c>
    </row>
    <row r="216" spans="1:28" s="90" customFormat="1" ht="14.1" customHeight="1" x14ac:dyDescent="0.2">
      <c r="A216" s="301"/>
      <c r="B216" s="351" t="s">
        <v>408</v>
      </c>
      <c r="C216" s="608"/>
      <c r="D216" s="608"/>
      <c r="E216" s="608"/>
      <c r="F216" s="370"/>
      <c r="G216" s="652"/>
      <c r="H216" s="652"/>
      <c r="I216" s="652"/>
      <c r="J216" s="652"/>
      <c r="K216" s="684"/>
      <c r="L216" s="684"/>
      <c r="M216" s="684"/>
      <c r="N216" s="685"/>
      <c r="O216" s="684"/>
      <c r="P216" s="684"/>
      <c r="Q216" s="684"/>
      <c r="R216" s="684"/>
      <c r="S216" s="684"/>
      <c r="T216" s="684"/>
      <c r="U216" s="684"/>
      <c r="V216" s="684"/>
      <c r="W216" s="684"/>
      <c r="X216" s="684"/>
      <c r="Y216" s="684"/>
      <c r="Z216" s="684"/>
      <c r="AA216" s="684"/>
      <c r="AB216" s="686"/>
    </row>
    <row r="217" spans="1:28" s="90" customFormat="1" ht="14.1" customHeight="1" x14ac:dyDescent="0.2">
      <c r="A217" s="301"/>
      <c r="B217" s="350" t="s">
        <v>409</v>
      </c>
      <c r="C217" s="608"/>
      <c r="D217" s="608"/>
      <c r="E217" s="608"/>
      <c r="F217" s="370" t="s">
        <v>410</v>
      </c>
      <c r="G217" s="681">
        <f>'far 1 a(for internal use only)'!G685</f>
        <v>0</v>
      </c>
      <c r="H217" s="681">
        <f>'far 1 a(for internal use only)'!H685</f>
        <v>0</v>
      </c>
      <c r="I217" s="660">
        <f t="shared" ref="I217:I219" si="348">G217+H217</f>
        <v>0</v>
      </c>
      <c r="J217" s="660">
        <f t="shared" ref="J217:J219" si="349">I217</f>
        <v>0</v>
      </c>
      <c r="K217" s="681">
        <f>'far 1 a(for internal use only)'!K685</f>
        <v>0</v>
      </c>
      <c r="L217" s="681">
        <f>'far 1 a(for internal use only)'!L685</f>
        <v>0</v>
      </c>
      <c r="M217" s="681">
        <f>'far 1 a(for internal use only)'!M685</f>
        <v>0</v>
      </c>
      <c r="N217" s="661">
        <f t="shared" ref="N217:N219" si="350">J217+K217-L217+M217</f>
        <v>0</v>
      </c>
      <c r="O217" s="681">
        <f>'far 1 a(for internal use only)'!O685</f>
        <v>0</v>
      </c>
      <c r="P217" s="681">
        <f>'far 1 a(for internal use only)'!P685</f>
        <v>0</v>
      </c>
      <c r="Q217" s="681">
        <f>'far 1 a(for internal use only)'!Q685</f>
        <v>0</v>
      </c>
      <c r="R217" s="681">
        <f>'far 1 a(for internal use only)'!R685</f>
        <v>0</v>
      </c>
      <c r="S217" s="662">
        <f t="shared" ref="S217:S219" si="351">SUM(O217:R217)</f>
        <v>0</v>
      </c>
      <c r="T217" s="681">
        <f>'far 1 a(for internal use only)'!T685</f>
        <v>0</v>
      </c>
      <c r="U217" s="681">
        <f>'far 1 a(for internal use only)'!U685</f>
        <v>0</v>
      </c>
      <c r="V217" s="681">
        <f>'far 1 a(for internal use only)'!V685</f>
        <v>0</v>
      </c>
      <c r="W217" s="681">
        <f>'far 1 a(for internal use only)'!W685</f>
        <v>0</v>
      </c>
      <c r="X217" s="662">
        <f t="shared" ref="X217:X219" si="352">SUM(T217:W217)</f>
        <v>0</v>
      </c>
      <c r="Y217" s="662">
        <f t="shared" ref="Y217:Y219" si="353">I217-N217</f>
        <v>0</v>
      </c>
      <c r="Z217" s="662">
        <f t="shared" ref="Z217:Z219" si="354">N217-S217</f>
        <v>0</v>
      </c>
      <c r="AA217" s="682">
        <f>'far 1 a(for internal use only)'!AA685</f>
        <v>0</v>
      </c>
      <c r="AB217" s="663">
        <f t="shared" ref="AB217:AB219" si="355">+S217-X217-AA217</f>
        <v>0</v>
      </c>
    </row>
    <row r="218" spans="1:28" s="90" customFormat="1" ht="14.1" customHeight="1" x14ac:dyDescent="0.2">
      <c r="A218" s="301"/>
      <c r="B218" s="350" t="s">
        <v>411</v>
      </c>
      <c r="C218" s="608"/>
      <c r="D218" s="608"/>
      <c r="E218" s="608"/>
      <c r="F218" s="370" t="s">
        <v>412</v>
      </c>
      <c r="G218" s="681">
        <f>'far 1 a(for internal use only)'!G686</f>
        <v>0</v>
      </c>
      <c r="H218" s="681">
        <f>'far 1 a(for internal use only)'!H686</f>
        <v>0</v>
      </c>
      <c r="I218" s="660">
        <f t="shared" si="348"/>
        <v>0</v>
      </c>
      <c r="J218" s="660">
        <f t="shared" si="349"/>
        <v>0</v>
      </c>
      <c r="K218" s="681">
        <f>'far 1 a(for internal use only)'!K686</f>
        <v>0</v>
      </c>
      <c r="L218" s="681">
        <f>'far 1 a(for internal use only)'!L686</f>
        <v>0</v>
      </c>
      <c r="M218" s="681">
        <f>'far 1 a(for internal use only)'!M686</f>
        <v>0</v>
      </c>
      <c r="N218" s="661">
        <f t="shared" si="350"/>
        <v>0</v>
      </c>
      <c r="O218" s="681">
        <f>'far 1 a(for internal use only)'!O686</f>
        <v>0</v>
      </c>
      <c r="P218" s="681">
        <f>'far 1 a(for internal use only)'!P686</f>
        <v>0</v>
      </c>
      <c r="Q218" s="681">
        <f>'far 1 a(for internal use only)'!Q686</f>
        <v>0</v>
      </c>
      <c r="R218" s="681">
        <f>'far 1 a(for internal use only)'!R686</f>
        <v>0</v>
      </c>
      <c r="S218" s="662">
        <f t="shared" si="351"/>
        <v>0</v>
      </c>
      <c r="T218" s="681">
        <f>'far 1 a(for internal use only)'!T686</f>
        <v>0</v>
      </c>
      <c r="U218" s="681">
        <f>'far 1 a(for internal use only)'!U686</f>
        <v>0</v>
      </c>
      <c r="V218" s="681">
        <f>'far 1 a(for internal use only)'!V686</f>
        <v>0</v>
      </c>
      <c r="W218" s="681">
        <f>'far 1 a(for internal use only)'!W686</f>
        <v>0</v>
      </c>
      <c r="X218" s="662">
        <f t="shared" si="352"/>
        <v>0</v>
      </c>
      <c r="Y218" s="662">
        <f t="shared" si="353"/>
        <v>0</v>
      </c>
      <c r="Z218" s="662">
        <f t="shared" si="354"/>
        <v>0</v>
      </c>
      <c r="AA218" s="682">
        <f>'far 1 a(for internal use only)'!AA686</f>
        <v>0</v>
      </c>
      <c r="AB218" s="663">
        <f t="shared" si="355"/>
        <v>0</v>
      </c>
    </row>
    <row r="219" spans="1:28" s="90" customFormat="1" ht="14.1" customHeight="1" x14ac:dyDescent="0.2">
      <c r="A219" s="301"/>
      <c r="B219" s="350" t="s">
        <v>413</v>
      </c>
      <c r="C219" s="608"/>
      <c r="D219" s="608"/>
      <c r="E219" s="608"/>
      <c r="F219" s="370" t="s">
        <v>414</v>
      </c>
      <c r="G219" s="681">
        <f>'far 1 a(for internal use only)'!G687</f>
        <v>0</v>
      </c>
      <c r="H219" s="681">
        <f>'far 1 a(for internal use only)'!H687</f>
        <v>0</v>
      </c>
      <c r="I219" s="660">
        <f t="shared" si="348"/>
        <v>0</v>
      </c>
      <c r="J219" s="660">
        <f t="shared" si="349"/>
        <v>0</v>
      </c>
      <c r="K219" s="681">
        <f>'far 1 a(for internal use only)'!K687</f>
        <v>0</v>
      </c>
      <c r="L219" s="681">
        <f>'far 1 a(for internal use only)'!L687</f>
        <v>0</v>
      </c>
      <c r="M219" s="681">
        <f>'far 1 a(for internal use only)'!M687</f>
        <v>0</v>
      </c>
      <c r="N219" s="661">
        <f t="shared" si="350"/>
        <v>0</v>
      </c>
      <c r="O219" s="681">
        <f>'far 1 a(for internal use only)'!O687</f>
        <v>0</v>
      </c>
      <c r="P219" s="681">
        <f>'far 1 a(for internal use only)'!P687</f>
        <v>0</v>
      </c>
      <c r="Q219" s="681">
        <f>'far 1 a(for internal use only)'!Q687</f>
        <v>0</v>
      </c>
      <c r="R219" s="681">
        <f>'far 1 a(for internal use only)'!R687</f>
        <v>0</v>
      </c>
      <c r="S219" s="662">
        <f t="shared" si="351"/>
        <v>0</v>
      </c>
      <c r="T219" s="681">
        <f>'far 1 a(for internal use only)'!T687</f>
        <v>0</v>
      </c>
      <c r="U219" s="681">
        <f>'far 1 a(for internal use only)'!U687</f>
        <v>0</v>
      </c>
      <c r="V219" s="681">
        <f>'far 1 a(for internal use only)'!V687</f>
        <v>0</v>
      </c>
      <c r="W219" s="681">
        <f>'far 1 a(for internal use only)'!W687</f>
        <v>0</v>
      </c>
      <c r="X219" s="662">
        <f t="shared" si="352"/>
        <v>0</v>
      </c>
      <c r="Y219" s="662">
        <f t="shared" si="353"/>
        <v>0</v>
      </c>
      <c r="Z219" s="662">
        <f t="shared" si="354"/>
        <v>0</v>
      </c>
      <c r="AA219" s="682">
        <f>'far 1 a(for internal use only)'!AA687</f>
        <v>0</v>
      </c>
      <c r="AB219" s="663">
        <f t="shared" si="355"/>
        <v>0</v>
      </c>
    </row>
    <row r="220" spans="1:28" s="90" customFormat="1" ht="14.1" customHeight="1" x14ac:dyDescent="0.2">
      <c r="A220" s="301"/>
      <c r="B220" s="351" t="s">
        <v>415</v>
      </c>
      <c r="C220" s="608"/>
      <c r="D220" s="608"/>
      <c r="E220" s="608"/>
      <c r="F220" s="370"/>
      <c r="G220" s="652"/>
      <c r="H220" s="652"/>
      <c r="I220" s="652"/>
      <c r="J220" s="652"/>
      <c r="K220" s="684"/>
      <c r="L220" s="684"/>
      <c r="M220" s="684"/>
      <c r="N220" s="685"/>
      <c r="O220" s="684"/>
      <c r="P220" s="684"/>
      <c r="Q220" s="684"/>
      <c r="R220" s="684"/>
      <c r="S220" s="684"/>
      <c r="T220" s="684"/>
      <c r="U220" s="684"/>
      <c r="V220" s="684"/>
      <c r="W220" s="684"/>
      <c r="X220" s="684"/>
      <c r="Y220" s="684"/>
      <c r="Z220" s="684"/>
      <c r="AA220" s="684"/>
      <c r="AB220" s="686"/>
    </row>
    <row r="221" spans="1:28" s="90" customFormat="1" ht="14.1" customHeight="1" x14ac:dyDescent="0.2">
      <c r="A221" s="301"/>
      <c r="B221" s="350" t="s">
        <v>416</v>
      </c>
      <c r="C221" s="608"/>
      <c r="D221" s="608"/>
      <c r="E221" s="608"/>
      <c r="F221" s="370" t="s">
        <v>417</v>
      </c>
      <c r="G221" s="681">
        <f>'far 1 a(for internal use only)'!G689</f>
        <v>0</v>
      </c>
      <c r="H221" s="681">
        <f>'far 1 a(for internal use only)'!H689</f>
        <v>0</v>
      </c>
      <c r="I221" s="660">
        <f t="shared" ref="I221:I230" si="356">G221+H221</f>
        <v>0</v>
      </c>
      <c r="J221" s="660">
        <f t="shared" ref="J221:J230" si="357">I221</f>
        <v>0</v>
      </c>
      <c r="K221" s="681">
        <f>'far 1 a(for internal use only)'!K689</f>
        <v>0</v>
      </c>
      <c r="L221" s="681">
        <f>'far 1 a(for internal use only)'!L689</f>
        <v>0</v>
      </c>
      <c r="M221" s="681">
        <f>'far 1 a(for internal use only)'!M689</f>
        <v>30000</v>
      </c>
      <c r="N221" s="661">
        <f t="shared" ref="N221:N230" si="358">J221+K221-L221+M221</f>
        <v>30000</v>
      </c>
      <c r="O221" s="681">
        <f>'far 1 a(for internal use only)'!O689</f>
        <v>0</v>
      </c>
      <c r="P221" s="681">
        <f>'far 1 a(for internal use only)'!P689</f>
        <v>0</v>
      </c>
      <c r="Q221" s="681">
        <f>'far 1 a(for internal use only)'!Q689</f>
        <v>0</v>
      </c>
      <c r="R221" s="681">
        <f>'far 1 a(for internal use only)'!R689</f>
        <v>0</v>
      </c>
      <c r="S221" s="662">
        <f t="shared" ref="S221:S230" si="359">SUM(O221:R221)</f>
        <v>0</v>
      </c>
      <c r="T221" s="681">
        <f>'far 1 a(for internal use only)'!T689</f>
        <v>0</v>
      </c>
      <c r="U221" s="681">
        <f>'far 1 a(for internal use only)'!U689</f>
        <v>0</v>
      </c>
      <c r="V221" s="681">
        <f>'far 1 a(for internal use only)'!V689</f>
        <v>0</v>
      </c>
      <c r="W221" s="681">
        <f>'far 1 a(for internal use only)'!W689</f>
        <v>0</v>
      </c>
      <c r="X221" s="662">
        <f t="shared" ref="X221:X230" si="360">SUM(T221:W221)</f>
        <v>0</v>
      </c>
      <c r="Y221" s="662">
        <f t="shared" ref="Y221:Y230" si="361">I221-N221</f>
        <v>-30000</v>
      </c>
      <c r="Z221" s="662">
        <f t="shared" ref="Z221:Z230" si="362">N221-S221</f>
        <v>30000</v>
      </c>
      <c r="AA221" s="682">
        <f>'far 1 a(for internal use only)'!AA689</f>
        <v>0</v>
      </c>
      <c r="AB221" s="663">
        <f t="shared" ref="AB221:AB230" si="363">+S221-X221-AA221</f>
        <v>0</v>
      </c>
    </row>
    <row r="222" spans="1:28" s="90" customFormat="1" ht="14.1" customHeight="1" x14ac:dyDescent="0.2">
      <c r="A222" s="301"/>
      <c r="B222" s="350" t="s">
        <v>418</v>
      </c>
      <c r="C222" s="608"/>
      <c r="D222" s="608"/>
      <c r="E222" s="608"/>
      <c r="F222" s="370" t="s">
        <v>419</v>
      </c>
      <c r="G222" s="681">
        <f>'far 1 a(for internal use only)'!G690</f>
        <v>0</v>
      </c>
      <c r="H222" s="681">
        <f>'far 1 a(for internal use only)'!H690</f>
        <v>0</v>
      </c>
      <c r="I222" s="660">
        <f t="shared" si="356"/>
        <v>0</v>
      </c>
      <c r="J222" s="660">
        <f t="shared" si="357"/>
        <v>0</v>
      </c>
      <c r="K222" s="681">
        <f>'far 1 a(for internal use only)'!K690</f>
        <v>0</v>
      </c>
      <c r="L222" s="681">
        <f>'far 1 a(for internal use only)'!L690</f>
        <v>0</v>
      </c>
      <c r="M222" s="681">
        <f>'far 1 a(for internal use only)'!M690</f>
        <v>0</v>
      </c>
      <c r="N222" s="661">
        <f t="shared" si="358"/>
        <v>0</v>
      </c>
      <c r="O222" s="681">
        <f>'far 1 a(for internal use only)'!O690</f>
        <v>0</v>
      </c>
      <c r="P222" s="681">
        <f>'far 1 a(for internal use only)'!P690</f>
        <v>0</v>
      </c>
      <c r="Q222" s="681">
        <f>'far 1 a(for internal use only)'!Q690</f>
        <v>0</v>
      </c>
      <c r="R222" s="681">
        <f>'far 1 a(for internal use only)'!R690</f>
        <v>0</v>
      </c>
      <c r="S222" s="662">
        <f t="shared" si="359"/>
        <v>0</v>
      </c>
      <c r="T222" s="681">
        <f>'far 1 a(for internal use only)'!T690</f>
        <v>0</v>
      </c>
      <c r="U222" s="681">
        <f>'far 1 a(for internal use only)'!U690</f>
        <v>0</v>
      </c>
      <c r="V222" s="681">
        <f>'far 1 a(for internal use only)'!V690</f>
        <v>0</v>
      </c>
      <c r="W222" s="681">
        <f>'far 1 a(for internal use only)'!W690</f>
        <v>0</v>
      </c>
      <c r="X222" s="662">
        <f t="shared" si="360"/>
        <v>0</v>
      </c>
      <c r="Y222" s="662">
        <f t="shared" si="361"/>
        <v>0</v>
      </c>
      <c r="Z222" s="662">
        <f t="shared" si="362"/>
        <v>0</v>
      </c>
      <c r="AA222" s="682">
        <f>'far 1 a(for internal use only)'!AA690</f>
        <v>0</v>
      </c>
      <c r="AB222" s="663">
        <f t="shared" si="363"/>
        <v>0</v>
      </c>
    </row>
    <row r="223" spans="1:28" s="90" customFormat="1" ht="14.1" customHeight="1" x14ac:dyDescent="0.2">
      <c r="A223" s="301"/>
      <c r="B223" s="350" t="s">
        <v>420</v>
      </c>
      <c r="C223" s="608"/>
      <c r="D223" s="608"/>
      <c r="E223" s="608"/>
      <c r="F223" s="370" t="s">
        <v>421</v>
      </c>
      <c r="G223" s="681">
        <f>'far 1 a(for internal use only)'!G691</f>
        <v>0</v>
      </c>
      <c r="H223" s="681">
        <f>'far 1 a(for internal use only)'!H691</f>
        <v>0</v>
      </c>
      <c r="I223" s="660">
        <f t="shared" si="356"/>
        <v>0</v>
      </c>
      <c r="J223" s="660">
        <f t="shared" si="357"/>
        <v>0</v>
      </c>
      <c r="K223" s="681">
        <f>'far 1 a(for internal use only)'!K691</f>
        <v>0</v>
      </c>
      <c r="L223" s="681">
        <f>'far 1 a(for internal use only)'!L691</f>
        <v>0</v>
      </c>
      <c r="M223" s="681">
        <f>'far 1 a(for internal use only)'!M691</f>
        <v>0</v>
      </c>
      <c r="N223" s="661">
        <f t="shared" si="358"/>
        <v>0</v>
      </c>
      <c r="O223" s="681">
        <f>'far 1 a(for internal use only)'!O691</f>
        <v>0</v>
      </c>
      <c r="P223" s="681">
        <f>'far 1 a(for internal use only)'!P691</f>
        <v>0</v>
      </c>
      <c r="Q223" s="681">
        <f>'far 1 a(for internal use only)'!Q691</f>
        <v>0</v>
      </c>
      <c r="R223" s="681">
        <f>'far 1 a(for internal use only)'!R691</f>
        <v>0</v>
      </c>
      <c r="S223" s="662">
        <f t="shared" si="359"/>
        <v>0</v>
      </c>
      <c r="T223" s="681">
        <f>'far 1 a(for internal use only)'!T691</f>
        <v>0</v>
      </c>
      <c r="U223" s="681">
        <f>'far 1 a(for internal use only)'!U691</f>
        <v>0</v>
      </c>
      <c r="V223" s="681">
        <f>'far 1 a(for internal use only)'!V691</f>
        <v>0</v>
      </c>
      <c r="W223" s="681">
        <f>'far 1 a(for internal use only)'!W691</f>
        <v>0</v>
      </c>
      <c r="X223" s="662">
        <f t="shared" si="360"/>
        <v>0</v>
      </c>
      <c r="Y223" s="662">
        <f t="shared" si="361"/>
        <v>0</v>
      </c>
      <c r="Z223" s="662">
        <f t="shared" si="362"/>
        <v>0</v>
      </c>
      <c r="AA223" s="682">
        <f>'far 1 a(for internal use only)'!AA691</f>
        <v>0</v>
      </c>
      <c r="AB223" s="663">
        <f t="shared" si="363"/>
        <v>0</v>
      </c>
    </row>
    <row r="224" spans="1:28" s="90" customFormat="1" ht="14.1" customHeight="1" x14ac:dyDescent="0.2">
      <c r="A224" s="301"/>
      <c r="B224" s="350" t="s">
        <v>422</v>
      </c>
      <c r="C224" s="608"/>
      <c r="D224" s="608"/>
      <c r="E224" s="608"/>
      <c r="F224" s="370" t="s">
        <v>423</v>
      </c>
      <c r="G224" s="681">
        <f>'far 1 a(for internal use only)'!G692</f>
        <v>0</v>
      </c>
      <c r="H224" s="681">
        <f>'far 1 a(for internal use only)'!H692</f>
        <v>0</v>
      </c>
      <c r="I224" s="660">
        <f t="shared" si="356"/>
        <v>0</v>
      </c>
      <c r="J224" s="660">
        <f t="shared" si="357"/>
        <v>0</v>
      </c>
      <c r="K224" s="681">
        <f>'far 1 a(for internal use only)'!K692</f>
        <v>0</v>
      </c>
      <c r="L224" s="681">
        <f>'far 1 a(for internal use only)'!L692</f>
        <v>0</v>
      </c>
      <c r="M224" s="681">
        <f>'far 1 a(for internal use only)'!M692</f>
        <v>20000</v>
      </c>
      <c r="N224" s="661">
        <f t="shared" si="358"/>
        <v>20000</v>
      </c>
      <c r="O224" s="681">
        <f>'far 1 a(for internal use only)'!O692</f>
        <v>0</v>
      </c>
      <c r="P224" s="681">
        <f>'far 1 a(for internal use only)'!P692</f>
        <v>0</v>
      </c>
      <c r="Q224" s="681">
        <f>'far 1 a(for internal use only)'!Q692</f>
        <v>20000</v>
      </c>
      <c r="R224" s="681">
        <f>'far 1 a(for internal use only)'!R692</f>
        <v>0</v>
      </c>
      <c r="S224" s="662">
        <f t="shared" si="359"/>
        <v>20000</v>
      </c>
      <c r="T224" s="681">
        <f>'far 1 a(for internal use only)'!T692</f>
        <v>0</v>
      </c>
      <c r="U224" s="681">
        <f>'far 1 a(for internal use only)'!U692</f>
        <v>0</v>
      </c>
      <c r="V224" s="681">
        <f>'far 1 a(for internal use only)'!V692</f>
        <v>20000</v>
      </c>
      <c r="W224" s="681">
        <f>'far 1 a(for internal use only)'!W692</f>
        <v>0</v>
      </c>
      <c r="X224" s="662">
        <f t="shared" si="360"/>
        <v>20000</v>
      </c>
      <c r="Y224" s="662">
        <f t="shared" si="361"/>
        <v>-20000</v>
      </c>
      <c r="Z224" s="662">
        <f t="shared" si="362"/>
        <v>0</v>
      </c>
      <c r="AA224" s="682">
        <f>'far 1 a(for internal use only)'!AA692</f>
        <v>0</v>
      </c>
      <c r="AB224" s="663">
        <f t="shared" si="363"/>
        <v>0</v>
      </c>
    </row>
    <row r="225" spans="1:91" s="90" customFormat="1" ht="14.1" customHeight="1" x14ac:dyDescent="0.2">
      <c r="A225" s="301"/>
      <c r="B225" s="350" t="s">
        <v>424</v>
      </c>
      <c r="C225" s="608"/>
      <c r="D225" s="608"/>
      <c r="E225" s="608"/>
      <c r="F225" s="370" t="s">
        <v>425</v>
      </c>
      <c r="G225" s="681">
        <f>'far 1 a(for internal use only)'!G693</f>
        <v>0</v>
      </c>
      <c r="H225" s="681">
        <f>'far 1 a(for internal use only)'!H693</f>
        <v>0</v>
      </c>
      <c r="I225" s="660">
        <f t="shared" si="356"/>
        <v>0</v>
      </c>
      <c r="J225" s="660">
        <f t="shared" si="357"/>
        <v>0</v>
      </c>
      <c r="K225" s="681">
        <f>'far 1 a(for internal use only)'!K693</f>
        <v>0</v>
      </c>
      <c r="L225" s="681">
        <f>'far 1 a(for internal use only)'!L693</f>
        <v>0</v>
      </c>
      <c r="M225" s="681">
        <f>'far 1 a(for internal use only)'!M693</f>
        <v>0</v>
      </c>
      <c r="N225" s="661">
        <f t="shared" si="358"/>
        <v>0</v>
      </c>
      <c r="O225" s="681">
        <f>'far 1 a(for internal use only)'!O693</f>
        <v>0</v>
      </c>
      <c r="P225" s="681">
        <f>'far 1 a(for internal use only)'!P693</f>
        <v>0</v>
      </c>
      <c r="Q225" s="681">
        <f>'far 1 a(for internal use only)'!Q693</f>
        <v>0</v>
      </c>
      <c r="R225" s="681">
        <f>'far 1 a(for internal use only)'!R693</f>
        <v>0</v>
      </c>
      <c r="S225" s="662">
        <f t="shared" si="359"/>
        <v>0</v>
      </c>
      <c r="T225" s="681">
        <f>'far 1 a(for internal use only)'!T693</f>
        <v>0</v>
      </c>
      <c r="U225" s="681">
        <f>'far 1 a(for internal use only)'!U693</f>
        <v>0</v>
      </c>
      <c r="V225" s="681">
        <f>'far 1 a(for internal use only)'!V693</f>
        <v>0</v>
      </c>
      <c r="W225" s="681">
        <f>'far 1 a(for internal use only)'!W693</f>
        <v>0</v>
      </c>
      <c r="X225" s="662">
        <f t="shared" si="360"/>
        <v>0</v>
      </c>
      <c r="Y225" s="662">
        <f t="shared" si="361"/>
        <v>0</v>
      </c>
      <c r="Z225" s="662">
        <f t="shared" si="362"/>
        <v>0</v>
      </c>
      <c r="AA225" s="682">
        <f>'far 1 a(for internal use only)'!AA693</f>
        <v>0</v>
      </c>
      <c r="AB225" s="663">
        <f t="shared" si="363"/>
        <v>0</v>
      </c>
    </row>
    <row r="226" spans="1:91" s="90" customFormat="1" ht="14.1" customHeight="1" x14ac:dyDescent="0.2">
      <c r="A226" s="301"/>
      <c r="B226" s="350" t="s">
        <v>426</v>
      </c>
      <c r="C226" s="608"/>
      <c r="D226" s="608"/>
      <c r="E226" s="608"/>
      <c r="F226" s="370" t="s">
        <v>427</v>
      </c>
      <c r="G226" s="681">
        <f>'far 1 a(for internal use only)'!G694</f>
        <v>0</v>
      </c>
      <c r="H226" s="681">
        <f>'far 1 a(for internal use only)'!H694</f>
        <v>0</v>
      </c>
      <c r="I226" s="660">
        <f t="shared" si="356"/>
        <v>0</v>
      </c>
      <c r="J226" s="660">
        <f t="shared" si="357"/>
        <v>0</v>
      </c>
      <c r="K226" s="681">
        <f>'far 1 a(for internal use only)'!K694</f>
        <v>0</v>
      </c>
      <c r="L226" s="681">
        <f>'far 1 a(for internal use only)'!L694</f>
        <v>0</v>
      </c>
      <c r="M226" s="681">
        <f>'far 1 a(for internal use only)'!M694</f>
        <v>0</v>
      </c>
      <c r="N226" s="661">
        <f t="shared" si="358"/>
        <v>0</v>
      </c>
      <c r="O226" s="681">
        <f>'far 1 a(for internal use only)'!O694</f>
        <v>0</v>
      </c>
      <c r="P226" s="681">
        <f>'far 1 a(for internal use only)'!P694</f>
        <v>0</v>
      </c>
      <c r="Q226" s="681">
        <f>'far 1 a(for internal use only)'!Q694</f>
        <v>0</v>
      </c>
      <c r="R226" s="681">
        <f>'far 1 a(for internal use only)'!R694</f>
        <v>0</v>
      </c>
      <c r="S226" s="662">
        <f t="shared" si="359"/>
        <v>0</v>
      </c>
      <c r="T226" s="681">
        <f>'far 1 a(for internal use only)'!T694</f>
        <v>0</v>
      </c>
      <c r="U226" s="681">
        <f>'far 1 a(for internal use only)'!U694</f>
        <v>0</v>
      </c>
      <c r="V226" s="681">
        <f>'far 1 a(for internal use only)'!V694</f>
        <v>0</v>
      </c>
      <c r="W226" s="681">
        <f>'far 1 a(for internal use only)'!W694</f>
        <v>0</v>
      </c>
      <c r="X226" s="662">
        <f t="shared" si="360"/>
        <v>0</v>
      </c>
      <c r="Y226" s="662">
        <f t="shared" si="361"/>
        <v>0</v>
      </c>
      <c r="Z226" s="662">
        <f t="shared" si="362"/>
        <v>0</v>
      </c>
      <c r="AA226" s="682">
        <f>'far 1 a(for internal use only)'!AA694</f>
        <v>0</v>
      </c>
      <c r="AB226" s="663">
        <f t="shared" si="363"/>
        <v>0</v>
      </c>
    </row>
    <row r="227" spans="1:91" s="90" customFormat="1" ht="14.1" customHeight="1" x14ac:dyDescent="0.2">
      <c r="A227" s="301"/>
      <c r="B227" s="350" t="s">
        <v>428</v>
      </c>
      <c r="C227" s="608"/>
      <c r="D227" s="608"/>
      <c r="E227" s="608"/>
      <c r="F227" s="370" t="s">
        <v>429</v>
      </c>
      <c r="G227" s="681">
        <f>'far 1 a(for internal use only)'!G695</f>
        <v>0</v>
      </c>
      <c r="H227" s="681">
        <f>'far 1 a(for internal use only)'!H695</f>
        <v>0</v>
      </c>
      <c r="I227" s="660">
        <f t="shared" si="356"/>
        <v>0</v>
      </c>
      <c r="J227" s="660">
        <f t="shared" si="357"/>
        <v>0</v>
      </c>
      <c r="K227" s="681">
        <f>'far 1 a(for internal use only)'!K695</f>
        <v>0</v>
      </c>
      <c r="L227" s="681">
        <f>'far 1 a(for internal use only)'!L695</f>
        <v>0</v>
      </c>
      <c r="M227" s="681">
        <f>'far 1 a(for internal use only)'!M695</f>
        <v>0</v>
      </c>
      <c r="N227" s="661">
        <f t="shared" si="358"/>
        <v>0</v>
      </c>
      <c r="O227" s="681">
        <f>'far 1 a(for internal use only)'!O695</f>
        <v>0</v>
      </c>
      <c r="P227" s="681">
        <f>'far 1 a(for internal use only)'!P695</f>
        <v>0</v>
      </c>
      <c r="Q227" s="681">
        <f>'far 1 a(for internal use only)'!Q695</f>
        <v>0</v>
      </c>
      <c r="R227" s="681">
        <f>'far 1 a(for internal use only)'!R695</f>
        <v>0</v>
      </c>
      <c r="S227" s="662">
        <f t="shared" si="359"/>
        <v>0</v>
      </c>
      <c r="T227" s="681">
        <f>'far 1 a(for internal use only)'!T695</f>
        <v>0</v>
      </c>
      <c r="U227" s="681">
        <f>'far 1 a(for internal use only)'!U695</f>
        <v>0</v>
      </c>
      <c r="V227" s="681">
        <f>'far 1 a(for internal use only)'!V695</f>
        <v>0</v>
      </c>
      <c r="W227" s="681">
        <f>'far 1 a(for internal use only)'!W695</f>
        <v>0</v>
      </c>
      <c r="X227" s="662">
        <f t="shared" si="360"/>
        <v>0</v>
      </c>
      <c r="Y227" s="662">
        <f t="shared" si="361"/>
        <v>0</v>
      </c>
      <c r="Z227" s="662">
        <f t="shared" si="362"/>
        <v>0</v>
      </c>
      <c r="AA227" s="682">
        <f>'far 1 a(for internal use only)'!AA695</f>
        <v>0</v>
      </c>
      <c r="AB227" s="663">
        <f t="shared" si="363"/>
        <v>0</v>
      </c>
    </row>
    <row r="228" spans="1:91" s="90" customFormat="1" ht="14.1" customHeight="1" x14ac:dyDescent="0.2">
      <c r="A228" s="301"/>
      <c r="B228" s="350" t="s">
        <v>430</v>
      </c>
      <c r="C228" s="608"/>
      <c r="D228" s="608"/>
      <c r="E228" s="608"/>
      <c r="F228" s="370" t="s">
        <v>431</v>
      </c>
      <c r="G228" s="681">
        <f>'far 1 a(for internal use only)'!G696</f>
        <v>0</v>
      </c>
      <c r="H228" s="681">
        <f>'far 1 a(for internal use only)'!H696</f>
        <v>0</v>
      </c>
      <c r="I228" s="660">
        <f t="shared" si="356"/>
        <v>0</v>
      </c>
      <c r="J228" s="660">
        <f t="shared" si="357"/>
        <v>0</v>
      </c>
      <c r="K228" s="681">
        <f>'far 1 a(for internal use only)'!K696</f>
        <v>0</v>
      </c>
      <c r="L228" s="681">
        <f>'far 1 a(for internal use only)'!L696</f>
        <v>0</v>
      </c>
      <c r="M228" s="681">
        <f>'far 1 a(for internal use only)'!M696</f>
        <v>10000</v>
      </c>
      <c r="N228" s="661">
        <f t="shared" si="358"/>
        <v>10000</v>
      </c>
      <c r="O228" s="681">
        <f>'far 1 a(for internal use only)'!O696</f>
        <v>0</v>
      </c>
      <c r="P228" s="681">
        <f>'far 1 a(for internal use only)'!P696</f>
        <v>0</v>
      </c>
      <c r="Q228" s="681">
        <f>'far 1 a(for internal use only)'!Q696</f>
        <v>0</v>
      </c>
      <c r="R228" s="681">
        <f>'far 1 a(for internal use only)'!R696</f>
        <v>0</v>
      </c>
      <c r="S228" s="662">
        <f t="shared" si="359"/>
        <v>0</v>
      </c>
      <c r="T228" s="681">
        <f>'far 1 a(for internal use only)'!T696</f>
        <v>0</v>
      </c>
      <c r="U228" s="681">
        <f>'far 1 a(for internal use only)'!U696</f>
        <v>0</v>
      </c>
      <c r="V228" s="681">
        <f>'far 1 a(for internal use only)'!V696</f>
        <v>0</v>
      </c>
      <c r="W228" s="681">
        <f>'far 1 a(for internal use only)'!W696</f>
        <v>0</v>
      </c>
      <c r="X228" s="662">
        <f t="shared" si="360"/>
        <v>0</v>
      </c>
      <c r="Y228" s="662">
        <f t="shared" si="361"/>
        <v>-10000</v>
      </c>
      <c r="Z228" s="662">
        <f t="shared" si="362"/>
        <v>10000</v>
      </c>
      <c r="AA228" s="682">
        <f>'far 1 a(for internal use only)'!AA696</f>
        <v>0</v>
      </c>
      <c r="AB228" s="663">
        <f t="shared" si="363"/>
        <v>0</v>
      </c>
    </row>
    <row r="229" spans="1:91" s="90" customFormat="1" ht="14.1" customHeight="1" x14ac:dyDescent="0.2">
      <c r="A229" s="301"/>
      <c r="B229" s="350" t="s">
        <v>432</v>
      </c>
      <c r="C229" s="608"/>
      <c r="D229" s="608"/>
      <c r="E229" s="608"/>
      <c r="F229" s="370" t="s">
        <v>433</v>
      </c>
      <c r="G229" s="681">
        <f>'far 1 a(for internal use only)'!G697</f>
        <v>0</v>
      </c>
      <c r="H229" s="681">
        <f>'far 1 a(for internal use only)'!H697</f>
        <v>0</v>
      </c>
      <c r="I229" s="660">
        <f t="shared" si="356"/>
        <v>0</v>
      </c>
      <c r="J229" s="660">
        <f t="shared" si="357"/>
        <v>0</v>
      </c>
      <c r="K229" s="681">
        <f>'far 1 a(for internal use only)'!K697</f>
        <v>0</v>
      </c>
      <c r="L229" s="681">
        <f>'far 1 a(for internal use only)'!L697</f>
        <v>0</v>
      </c>
      <c r="M229" s="681">
        <f>'far 1 a(for internal use only)'!M697</f>
        <v>0</v>
      </c>
      <c r="N229" s="661">
        <f t="shared" si="358"/>
        <v>0</v>
      </c>
      <c r="O229" s="681">
        <f>'far 1 a(for internal use only)'!O697</f>
        <v>0</v>
      </c>
      <c r="P229" s="681">
        <f>'far 1 a(for internal use only)'!P697</f>
        <v>0</v>
      </c>
      <c r="Q229" s="681">
        <f>'far 1 a(for internal use only)'!Q697</f>
        <v>0</v>
      </c>
      <c r="R229" s="681">
        <f>'far 1 a(for internal use only)'!R697</f>
        <v>0</v>
      </c>
      <c r="S229" s="662">
        <f t="shared" si="359"/>
        <v>0</v>
      </c>
      <c r="T229" s="681">
        <f>'far 1 a(for internal use only)'!T697</f>
        <v>0</v>
      </c>
      <c r="U229" s="681">
        <f>'far 1 a(for internal use only)'!U697</f>
        <v>0</v>
      </c>
      <c r="V229" s="681">
        <f>'far 1 a(for internal use only)'!V697</f>
        <v>0</v>
      </c>
      <c r="W229" s="681">
        <f>'far 1 a(for internal use only)'!W697</f>
        <v>0</v>
      </c>
      <c r="X229" s="662">
        <f t="shared" si="360"/>
        <v>0</v>
      </c>
      <c r="Y229" s="662">
        <f t="shared" si="361"/>
        <v>0</v>
      </c>
      <c r="Z229" s="662">
        <f t="shared" si="362"/>
        <v>0</v>
      </c>
      <c r="AA229" s="682">
        <f>'far 1 a(for internal use only)'!AA697</f>
        <v>0</v>
      </c>
      <c r="AB229" s="663">
        <f t="shared" si="363"/>
        <v>0</v>
      </c>
    </row>
    <row r="230" spans="1:91" s="90" customFormat="1" ht="14.1" customHeight="1" x14ac:dyDescent="0.2">
      <c r="A230" s="301"/>
      <c r="B230" s="350" t="s">
        <v>730</v>
      </c>
      <c r="C230" s="744"/>
      <c r="D230" s="744"/>
      <c r="E230" s="744"/>
      <c r="F230" s="370" t="s">
        <v>733</v>
      </c>
      <c r="G230" s="681">
        <f>'far 1 a(for internal use only)'!G698</f>
        <v>0</v>
      </c>
      <c r="H230" s="681">
        <f>'far 1 a(for internal use only)'!H698</f>
        <v>0</v>
      </c>
      <c r="I230" s="660">
        <f t="shared" si="356"/>
        <v>0</v>
      </c>
      <c r="J230" s="660">
        <f t="shared" si="357"/>
        <v>0</v>
      </c>
      <c r="K230" s="681">
        <f>'far 1 a(for internal use only)'!K698</f>
        <v>0</v>
      </c>
      <c r="L230" s="681">
        <f>'far 1 a(for internal use only)'!L698</f>
        <v>0</v>
      </c>
      <c r="M230" s="681">
        <f>'far 1 a(for internal use only)'!M698</f>
        <v>0</v>
      </c>
      <c r="N230" s="661">
        <f t="shared" si="358"/>
        <v>0</v>
      </c>
      <c r="O230" s="681">
        <f>'far 1 a(for internal use only)'!O698</f>
        <v>0</v>
      </c>
      <c r="P230" s="681">
        <f>'far 1 a(for internal use only)'!P698</f>
        <v>0</v>
      </c>
      <c r="Q230" s="681">
        <f>'far 1 a(for internal use only)'!Q698</f>
        <v>0</v>
      </c>
      <c r="R230" s="681">
        <f>'far 1 a(for internal use only)'!R698</f>
        <v>0</v>
      </c>
      <c r="S230" s="662">
        <f t="shared" si="359"/>
        <v>0</v>
      </c>
      <c r="T230" s="681">
        <f>'far 1 a(for internal use only)'!T698</f>
        <v>0</v>
      </c>
      <c r="U230" s="681">
        <f>'far 1 a(for internal use only)'!U698</f>
        <v>0</v>
      </c>
      <c r="V230" s="681">
        <f>'far 1 a(for internal use only)'!V698</f>
        <v>0</v>
      </c>
      <c r="W230" s="681">
        <f>'far 1 a(for internal use only)'!W698</f>
        <v>0</v>
      </c>
      <c r="X230" s="662">
        <f t="shared" si="360"/>
        <v>0</v>
      </c>
      <c r="Y230" s="662">
        <f t="shared" si="361"/>
        <v>0</v>
      </c>
      <c r="Z230" s="662">
        <f t="shared" si="362"/>
        <v>0</v>
      </c>
      <c r="AA230" s="682">
        <f>'far 1 a(for internal use only)'!AA698</f>
        <v>0</v>
      </c>
      <c r="AB230" s="663">
        <f t="shared" si="363"/>
        <v>0</v>
      </c>
    </row>
    <row r="231" spans="1:91" s="90" customFormat="1" ht="14.1" customHeight="1" x14ac:dyDescent="0.2">
      <c r="A231" s="301"/>
      <c r="B231" s="350" t="s">
        <v>737</v>
      </c>
      <c r="C231" s="744"/>
      <c r="D231" s="744"/>
      <c r="E231" s="744"/>
      <c r="F231" s="370" t="s">
        <v>738</v>
      </c>
      <c r="G231" s="681">
        <f>'far 1 a(for internal use only)'!G699</f>
        <v>0</v>
      </c>
      <c r="H231" s="681">
        <f>'far 1 a(for internal use only)'!H699</f>
        <v>0</v>
      </c>
      <c r="I231" s="660">
        <f t="shared" ref="I231:I233" si="364">G231+H231</f>
        <v>0</v>
      </c>
      <c r="J231" s="660">
        <f t="shared" ref="J231:J233" si="365">I231</f>
        <v>0</v>
      </c>
      <c r="K231" s="681">
        <f>'far 1 a(for internal use only)'!K699</f>
        <v>0</v>
      </c>
      <c r="L231" s="681">
        <f>'far 1 a(for internal use only)'!L699</f>
        <v>0</v>
      </c>
      <c r="M231" s="681">
        <f>'far 1 a(for internal use only)'!M699</f>
        <v>0</v>
      </c>
      <c r="N231" s="661">
        <f t="shared" ref="N231:N233" si="366">J231+K231-L231+M231</f>
        <v>0</v>
      </c>
      <c r="O231" s="681">
        <f>'far 1 a(for internal use only)'!O699</f>
        <v>0</v>
      </c>
      <c r="P231" s="681">
        <f>'far 1 a(for internal use only)'!P699</f>
        <v>0</v>
      </c>
      <c r="Q231" s="681">
        <f>'far 1 a(for internal use only)'!Q699</f>
        <v>0</v>
      </c>
      <c r="R231" s="681">
        <f>'far 1 a(for internal use only)'!R699</f>
        <v>0</v>
      </c>
      <c r="S231" s="662">
        <f t="shared" ref="S231:S233" si="367">SUM(O231:R231)</f>
        <v>0</v>
      </c>
      <c r="T231" s="681">
        <f>'far 1 a(for internal use only)'!T699</f>
        <v>0</v>
      </c>
      <c r="U231" s="681">
        <f>'far 1 a(for internal use only)'!U699</f>
        <v>0</v>
      </c>
      <c r="V231" s="681">
        <f>'far 1 a(for internal use only)'!V699</f>
        <v>0</v>
      </c>
      <c r="W231" s="681">
        <f>'far 1 a(for internal use only)'!W699</f>
        <v>0</v>
      </c>
      <c r="X231" s="662">
        <f t="shared" ref="X231:X233" si="368">SUM(T231:W231)</f>
        <v>0</v>
      </c>
      <c r="Y231" s="662">
        <f t="shared" ref="Y231:Y233" si="369">I231-N231</f>
        <v>0</v>
      </c>
      <c r="Z231" s="662">
        <f t="shared" ref="Z231:Z233" si="370">N231-S231</f>
        <v>0</v>
      </c>
      <c r="AA231" s="682">
        <f>'far 1 a(for internal use only)'!AA699</f>
        <v>0</v>
      </c>
      <c r="AB231" s="663">
        <f t="shared" ref="AB231:AB233" si="371">+S231-X231-AA231</f>
        <v>0</v>
      </c>
    </row>
    <row r="232" spans="1:91" s="90" customFormat="1" ht="14.1" customHeight="1" x14ac:dyDescent="0.2">
      <c r="A232" s="301"/>
      <c r="B232" s="350" t="s">
        <v>434</v>
      </c>
      <c r="C232" s="718"/>
      <c r="D232" s="718"/>
      <c r="E232" s="718"/>
      <c r="F232" s="370" t="s">
        <v>435</v>
      </c>
      <c r="G232" s="681">
        <f>'far 1 a(for internal use only)'!G700</f>
        <v>0</v>
      </c>
      <c r="H232" s="681">
        <f>'far 1 a(for internal use only)'!H700</f>
        <v>0</v>
      </c>
      <c r="I232" s="660">
        <f t="shared" si="364"/>
        <v>0</v>
      </c>
      <c r="J232" s="660">
        <f t="shared" si="365"/>
        <v>0</v>
      </c>
      <c r="K232" s="681">
        <f>'far 1 a(for internal use only)'!K700</f>
        <v>0</v>
      </c>
      <c r="L232" s="681">
        <f>'far 1 a(for internal use only)'!L700</f>
        <v>0</v>
      </c>
      <c r="M232" s="681">
        <f>'far 1 a(for internal use only)'!M700</f>
        <v>0</v>
      </c>
      <c r="N232" s="661">
        <f t="shared" si="366"/>
        <v>0</v>
      </c>
      <c r="O232" s="681">
        <f>'far 1 a(for internal use only)'!O700</f>
        <v>0</v>
      </c>
      <c r="P232" s="681">
        <f>'far 1 a(for internal use only)'!P700</f>
        <v>0</v>
      </c>
      <c r="Q232" s="681">
        <f>'far 1 a(for internal use only)'!Q700</f>
        <v>0</v>
      </c>
      <c r="R232" s="681">
        <f>'far 1 a(for internal use only)'!R700</f>
        <v>0</v>
      </c>
      <c r="S232" s="662">
        <f t="shared" si="367"/>
        <v>0</v>
      </c>
      <c r="T232" s="681">
        <f>'far 1 a(for internal use only)'!T700</f>
        <v>0</v>
      </c>
      <c r="U232" s="681">
        <f>'far 1 a(for internal use only)'!U700</f>
        <v>0</v>
      </c>
      <c r="V232" s="681">
        <f>'far 1 a(for internal use only)'!V700</f>
        <v>0</v>
      </c>
      <c r="W232" s="681">
        <f>'far 1 a(for internal use only)'!W700</f>
        <v>0</v>
      </c>
      <c r="X232" s="662">
        <f t="shared" si="368"/>
        <v>0</v>
      </c>
      <c r="Y232" s="662">
        <f t="shared" si="369"/>
        <v>0</v>
      </c>
      <c r="Z232" s="662">
        <f t="shared" si="370"/>
        <v>0</v>
      </c>
      <c r="AA232" s="682">
        <f>'far 1 a(for internal use only)'!AA700</f>
        <v>0</v>
      </c>
      <c r="AB232" s="663">
        <f t="shared" si="371"/>
        <v>0</v>
      </c>
    </row>
    <row r="233" spans="1:91" s="90" customFormat="1" ht="14.1" customHeight="1" x14ac:dyDescent="0.2">
      <c r="A233" s="301"/>
      <c r="B233" s="350" t="s">
        <v>732</v>
      </c>
      <c r="C233" s="718"/>
      <c r="D233" s="718"/>
      <c r="E233" s="718"/>
      <c r="F233" s="370" t="s">
        <v>731</v>
      </c>
      <c r="G233" s="681">
        <f>'far 1 a(for internal use only)'!G701</f>
        <v>0</v>
      </c>
      <c r="H233" s="681">
        <f>'far 1 a(for internal use only)'!H701</f>
        <v>0</v>
      </c>
      <c r="I233" s="660">
        <f t="shared" si="364"/>
        <v>0</v>
      </c>
      <c r="J233" s="660">
        <f t="shared" si="365"/>
        <v>0</v>
      </c>
      <c r="K233" s="681">
        <f>'far 1 a(for internal use only)'!K701</f>
        <v>0</v>
      </c>
      <c r="L233" s="681">
        <f>'far 1 a(for internal use only)'!L701</f>
        <v>0</v>
      </c>
      <c r="M233" s="681">
        <f>'far 1 a(for internal use only)'!M701</f>
        <v>0</v>
      </c>
      <c r="N233" s="661">
        <f t="shared" si="366"/>
        <v>0</v>
      </c>
      <c r="O233" s="681">
        <f>'far 1 a(for internal use only)'!O701</f>
        <v>0</v>
      </c>
      <c r="P233" s="681">
        <f>'far 1 a(for internal use only)'!P701</f>
        <v>0</v>
      </c>
      <c r="Q233" s="681">
        <f>'far 1 a(for internal use only)'!Q701</f>
        <v>0</v>
      </c>
      <c r="R233" s="681">
        <f>'far 1 a(for internal use only)'!R701</f>
        <v>0</v>
      </c>
      <c r="S233" s="662">
        <f t="shared" si="367"/>
        <v>0</v>
      </c>
      <c r="T233" s="681">
        <f>'far 1 a(for internal use only)'!T701</f>
        <v>0</v>
      </c>
      <c r="U233" s="681">
        <f>'far 1 a(for internal use only)'!U701</f>
        <v>0</v>
      </c>
      <c r="V233" s="681">
        <f>'far 1 a(for internal use only)'!V701</f>
        <v>0</v>
      </c>
      <c r="W233" s="681">
        <f>'far 1 a(for internal use only)'!W701</f>
        <v>0</v>
      </c>
      <c r="X233" s="662">
        <f t="shared" si="368"/>
        <v>0</v>
      </c>
      <c r="Y233" s="662">
        <f t="shared" si="369"/>
        <v>0</v>
      </c>
      <c r="Z233" s="662">
        <f t="shared" si="370"/>
        <v>0</v>
      </c>
      <c r="AA233" s="682">
        <f>'far 1 a(for internal use only)'!AA701</f>
        <v>0</v>
      </c>
      <c r="AB233" s="663">
        <f t="shared" si="371"/>
        <v>0</v>
      </c>
    </row>
    <row r="234" spans="1:91" ht="14.1" customHeight="1" x14ac:dyDescent="0.2">
      <c r="A234" s="315"/>
      <c r="G234" s="681"/>
      <c r="H234" s="681"/>
      <c r="I234" s="681"/>
      <c r="J234" s="681"/>
      <c r="K234" s="682"/>
      <c r="L234" s="682"/>
      <c r="M234" s="682"/>
      <c r="N234" s="683"/>
      <c r="O234" s="682"/>
      <c r="P234" s="682"/>
      <c r="Q234" s="682"/>
      <c r="R234" s="340"/>
      <c r="S234" s="340"/>
      <c r="T234" s="340"/>
      <c r="U234" s="340"/>
      <c r="V234" s="340"/>
      <c r="W234" s="340"/>
      <c r="X234" s="340"/>
      <c r="Y234" s="340"/>
      <c r="Z234" s="340"/>
      <c r="AA234" s="340"/>
      <c r="AB234" s="300"/>
    </row>
    <row r="235" spans="1:91" s="688" customFormat="1" ht="14.1" customHeight="1" x14ac:dyDescent="0.2">
      <c r="A235" s="279" t="s">
        <v>690</v>
      </c>
      <c r="B235" s="671"/>
      <c r="C235" s="672"/>
      <c r="D235" s="673"/>
      <c r="E235" s="672"/>
      <c r="F235" s="687"/>
      <c r="G235" s="648">
        <f t="shared" ref="G235:AB235" si="372">G261+G236</f>
        <v>458300</v>
      </c>
      <c r="H235" s="648">
        <f t="shared" si="372"/>
        <v>0</v>
      </c>
      <c r="I235" s="648">
        <f t="shared" si="372"/>
        <v>458300</v>
      </c>
      <c r="J235" s="648">
        <f t="shared" si="372"/>
        <v>458300</v>
      </c>
      <c r="K235" s="648">
        <f t="shared" si="372"/>
        <v>0</v>
      </c>
      <c r="L235" s="648">
        <f t="shared" si="372"/>
        <v>0</v>
      </c>
      <c r="M235" s="648">
        <f t="shared" si="372"/>
        <v>2244428</v>
      </c>
      <c r="N235" s="649">
        <f t="shared" si="372"/>
        <v>2702728</v>
      </c>
      <c r="O235" s="648">
        <f t="shared" si="372"/>
        <v>0</v>
      </c>
      <c r="P235" s="648">
        <f t="shared" si="372"/>
        <v>0</v>
      </c>
      <c r="Q235" s="648">
        <f t="shared" si="372"/>
        <v>993000</v>
      </c>
      <c r="R235" s="648">
        <f t="shared" si="372"/>
        <v>1686481.3</v>
      </c>
      <c r="S235" s="648">
        <f t="shared" si="372"/>
        <v>2679481.2999999998</v>
      </c>
      <c r="T235" s="648">
        <f t="shared" si="372"/>
        <v>0</v>
      </c>
      <c r="U235" s="648">
        <f t="shared" si="372"/>
        <v>0</v>
      </c>
      <c r="V235" s="648">
        <f t="shared" si="372"/>
        <v>222262.14</v>
      </c>
      <c r="W235" s="648">
        <f t="shared" si="372"/>
        <v>2457219.16</v>
      </c>
      <c r="X235" s="648">
        <f t="shared" si="372"/>
        <v>2679481.2999999998</v>
      </c>
      <c r="Y235" s="648">
        <f t="shared" si="372"/>
        <v>-2244428</v>
      </c>
      <c r="Z235" s="648">
        <f t="shared" si="372"/>
        <v>23246.699999999953</v>
      </c>
      <c r="AA235" s="725">
        <f t="shared" si="372"/>
        <v>0</v>
      </c>
      <c r="AB235" s="720">
        <f t="shared" si="372"/>
        <v>0</v>
      </c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</row>
    <row r="236" spans="1:91" s="688" customFormat="1" ht="14.1" customHeight="1" x14ac:dyDescent="0.2">
      <c r="A236" s="314"/>
      <c r="B236" s="375" t="s">
        <v>269</v>
      </c>
      <c r="C236" s="73"/>
      <c r="D236" s="288"/>
      <c r="E236" s="288"/>
      <c r="F236" s="252" t="s">
        <v>270</v>
      </c>
      <c r="G236" s="676">
        <f t="shared" ref="G236" si="373">SUM(G239:G258)</f>
        <v>458300</v>
      </c>
      <c r="H236" s="676">
        <f t="shared" ref="H236:AA236" si="374">SUM(H239:H258)</f>
        <v>0</v>
      </c>
      <c r="I236" s="676">
        <f t="shared" si="374"/>
        <v>458300</v>
      </c>
      <c r="J236" s="676">
        <f t="shared" si="374"/>
        <v>458300</v>
      </c>
      <c r="K236" s="676">
        <f t="shared" si="374"/>
        <v>0</v>
      </c>
      <c r="L236" s="676">
        <f t="shared" si="374"/>
        <v>0</v>
      </c>
      <c r="M236" s="676">
        <f>SUM(M239:M259)</f>
        <v>2244428</v>
      </c>
      <c r="N236" s="689">
        <f>SUM(N239:N259)</f>
        <v>2702728</v>
      </c>
      <c r="O236" s="676">
        <f t="shared" si="374"/>
        <v>0</v>
      </c>
      <c r="P236" s="676">
        <f t="shared" si="374"/>
        <v>0</v>
      </c>
      <c r="Q236" s="676">
        <f t="shared" si="374"/>
        <v>993000</v>
      </c>
      <c r="R236" s="676">
        <f>SUM(R239:R259)</f>
        <v>1686481.3</v>
      </c>
      <c r="S236" s="676">
        <f>SUM(S239:S259)</f>
        <v>2679481.2999999998</v>
      </c>
      <c r="T236" s="676">
        <f t="shared" si="374"/>
        <v>0</v>
      </c>
      <c r="U236" s="676">
        <f t="shared" si="374"/>
        <v>0</v>
      </c>
      <c r="V236" s="676">
        <f t="shared" si="374"/>
        <v>222262.14</v>
      </c>
      <c r="W236" s="676">
        <f>SUM(W239:W259)</f>
        <v>2457219.16</v>
      </c>
      <c r="X236" s="676">
        <f>SUM(X239:X259)</f>
        <v>2679481.2999999998</v>
      </c>
      <c r="Y236" s="676">
        <f>SUM(Y239:Y259)</f>
        <v>-2244428</v>
      </c>
      <c r="Z236" s="676">
        <f>SUM(Z239:Z259)</f>
        <v>23246.699999999953</v>
      </c>
      <c r="AA236" s="677">
        <f t="shared" si="374"/>
        <v>0</v>
      </c>
      <c r="AB236" s="679">
        <f>SUM(AB239:AB259)</f>
        <v>0</v>
      </c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</row>
    <row r="237" spans="1:91" ht="14.1" customHeight="1" x14ac:dyDescent="0.2">
      <c r="A237" s="140"/>
      <c r="B237" s="278"/>
      <c r="C237" s="347" t="s">
        <v>283</v>
      </c>
      <c r="D237" s="608"/>
      <c r="E237" s="608"/>
      <c r="F237" s="753"/>
      <c r="G237" s="681"/>
      <c r="H237" s="681"/>
      <c r="I237" s="660"/>
      <c r="J237" s="660"/>
      <c r="K237" s="662"/>
      <c r="L237" s="662"/>
      <c r="M237" s="662"/>
      <c r="N237" s="661"/>
      <c r="O237" s="662"/>
      <c r="P237" s="662"/>
      <c r="Q237" s="662"/>
      <c r="R237" s="662"/>
      <c r="S237" s="662"/>
      <c r="T237" s="662"/>
      <c r="U237" s="662"/>
      <c r="V237" s="662"/>
      <c r="W237" s="662"/>
      <c r="X237" s="662"/>
      <c r="Y237" s="662"/>
      <c r="Z237" s="662"/>
      <c r="AA237" s="662"/>
      <c r="AB237" s="663"/>
    </row>
    <row r="238" spans="1:91" ht="14.1" customHeight="1" x14ac:dyDescent="0.2">
      <c r="A238" s="140"/>
      <c r="B238" s="278"/>
      <c r="C238" s="348" t="s">
        <v>284</v>
      </c>
      <c r="D238" s="608"/>
      <c r="E238" s="608"/>
      <c r="F238" s="753"/>
      <c r="G238" s="681"/>
      <c r="H238" s="681"/>
      <c r="I238" s="660"/>
      <c r="J238" s="660"/>
      <c r="K238" s="662"/>
      <c r="L238" s="662"/>
      <c r="M238" s="662"/>
      <c r="N238" s="661"/>
      <c r="O238" s="662"/>
      <c r="P238" s="662"/>
      <c r="Q238" s="662"/>
      <c r="R238" s="662"/>
      <c r="S238" s="662"/>
      <c r="T238" s="662"/>
      <c r="U238" s="662"/>
      <c r="V238" s="662"/>
      <c r="W238" s="662"/>
      <c r="X238" s="662"/>
      <c r="Y238" s="662"/>
      <c r="Z238" s="662"/>
      <c r="AA238" s="662"/>
      <c r="AB238" s="663"/>
    </row>
    <row r="239" spans="1:91" ht="14.1" customHeight="1" x14ac:dyDescent="0.2">
      <c r="A239" s="140"/>
      <c r="B239" s="278"/>
      <c r="C239" s="349" t="s">
        <v>285</v>
      </c>
      <c r="D239" s="608"/>
      <c r="E239" s="608"/>
      <c r="F239" s="370" t="s">
        <v>286</v>
      </c>
      <c r="G239" s="681">
        <f>'far 1 a(for internal use only)'!G707</f>
        <v>0</v>
      </c>
      <c r="H239" s="681">
        <f>'far 1 a(for internal use only)'!H707</f>
        <v>0</v>
      </c>
      <c r="I239" s="660">
        <f t="shared" ref="I239" si="375">G239+H239</f>
        <v>0</v>
      </c>
      <c r="J239" s="660">
        <f t="shared" ref="J239" si="376">I239</f>
        <v>0</v>
      </c>
      <c r="K239" s="681">
        <f>'far 1 a(for internal use only)'!K707</f>
        <v>0</v>
      </c>
      <c r="L239" s="681">
        <f>'far 1 a(for internal use only)'!L707</f>
        <v>0</v>
      </c>
      <c r="M239" s="681">
        <f>'far 1 a(for internal use only)'!M707</f>
        <v>993000</v>
      </c>
      <c r="N239" s="661">
        <f>J239+K239-L239+M239</f>
        <v>993000</v>
      </c>
      <c r="O239" s="681">
        <f>'far 1 a(for internal use only)'!O707</f>
        <v>0</v>
      </c>
      <c r="P239" s="681">
        <f>'far 1 a(for internal use only)'!P707</f>
        <v>0</v>
      </c>
      <c r="Q239" s="681">
        <f>'far 1 a(for internal use only)'!Q707</f>
        <v>993000</v>
      </c>
      <c r="R239" s="681">
        <f>'far 1 a(for internal use only)'!R707</f>
        <v>0</v>
      </c>
      <c r="S239" s="662">
        <f t="shared" ref="S239" si="377">SUM(O239:R239)</f>
        <v>993000</v>
      </c>
      <c r="T239" s="681">
        <f>'far 1 a(for internal use only)'!T707</f>
        <v>0</v>
      </c>
      <c r="U239" s="681">
        <f>'far 1 a(for internal use only)'!U707</f>
        <v>0</v>
      </c>
      <c r="V239" s="681">
        <f>'far 1 a(for internal use only)'!V707</f>
        <v>222262.14</v>
      </c>
      <c r="W239" s="681">
        <f>'far 1 a(for internal use only)'!W707</f>
        <v>770737.86</v>
      </c>
      <c r="X239" s="662">
        <f t="shared" ref="X239" si="378">SUM(T239:W239)</f>
        <v>993000</v>
      </c>
      <c r="Y239" s="662">
        <f t="shared" ref="Y239" si="379">I239-N239</f>
        <v>-993000</v>
      </c>
      <c r="Z239" s="662">
        <f t="shared" ref="Z239" si="380">N239-S239</f>
        <v>0</v>
      </c>
      <c r="AA239" s="682">
        <f>'far 1 a(for internal use only)'!AA707</f>
        <v>0</v>
      </c>
      <c r="AB239" s="663">
        <f t="shared" ref="AB239" si="381">+S239-X239-AA239</f>
        <v>0</v>
      </c>
    </row>
    <row r="240" spans="1:91" ht="14.1" customHeight="1" x14ac:dyDescent="0.2">
      <c r="A240" s="140"/>
      <c r="B240" s="278"/>
      <c r="C240" s="348" t="s">
        <v>287</v>
      </c>
      <c r="D240" s="608"/>
      <c r="E240" s="608"/>
      <c r="F240" s="370"/>
      <c r="G240" s="681"/>
      <c r="H240" s="681"/>
      <c r="I240" s="660"/>
      <c r="J240" s="660"/>
      <c r="K240" s="662"/>
      <c r="L240" s="662"/>
      <c r="M240" s="662"/>
      <c r="N240" s="661"/>
      <c r="O240" s="662"/>
      <c r="P240" s="662"/>
      <c r="Q240" s="662"/>
      <c r="R240" s="662"/>
      <c r="S240" s="662"/>
      <c r="T240" s="662"/>
      <c r="U240" s="662"/>
      <c r="V240" s="662"/>
      <c r="W240" s="662"/>
      <c r="X240" s="662"/>
      <c r="Y240" s="662"/>
      <c r="Z240" s="662"/>
      <c r="AA240" s="662"/>
      <c r="AB240" s="663"/>
    </row>
    <row r="241" spans="1:28" ht="14.1" customHeight="1" x14ac:dyDescent="0.2">
      <c r="A241" s="140"/>
      <c r="B241" s="278"/>
      <c r="C241" s="349" t="s">
        <v>288</v>
      </c>
      <c r="D241" s="608"/>
      <c r="E241" s="608"/>
      <c r="F241" s="370" t="s">
        <v>289</v>
      </c>
      <c r="G241" s="681">
        <f>'far 1 a(for internal use only)'!G709</f>
        <v>0</v>
      </c>
      <c r="H241" s="681">
        <f>'far 1 a(for internal use only)'!H709</f>
        <v>0</v>
      </c>
      <c r="I241" s="660">
        <f t="shared" ref="I241:I248" si="382">G241+H241</f>
        <v>0</v>
      </c>
      <c r="J241" s="660">
        <f t="shared" ref="J241:J248" si="383">I241</f>
        <v>0</v>
      </c>
      <c r="K241" s="681">
        <f>'far 1 a(for internal use only)'!K709</f>
        <v>0</v>
      </c>
      <c r="L241" s="681">
        <f>'far 1 a(for internal use only)'!L709</f>
        <v>0</v>
      </c>
      <c r="M241" s="681">
        <f>'far 1 a(for internal use only)'!M709</f>
        <v>0</v>
      </c>
      <c r="N241" s="661">
        <f t="shared" ref="N241:N248" si="384">J241+K241-L241+M241</f>
        <v>0</v>
      </c>
      <c r="O241" s="681">
        <f>'far 1 a(for internal use only)'!O709</f>
        <v>0</v>
      </c>
      <c r="P241" s="681">
        <f>'far 1 a(for internal use only)'!P709</f>
        <v>0</v>
      </c>
      <c r="Q241" s="681">
        <f>'far 1 a(for internal use only)'!Q709</f>
        <v>0</v>
      </c>
      <c r="R241" s="681">
        <f>'far 1 a(for internal use only)'!R709</f>
        <v>0</v>
      </c>
      <c r="S241" s="662">
        <f t="shared" ref="S241:S248" si="385">SUM(O241:R241)</f>
        <v>0</v>
      </c>
      <c r="T241" s="681">
        <f>'far 1 a(for internal use only)'!T709</f>
        <v>0</v>
      </c>
      <c r="U241" s="681">
        <f>'far 1 a(for internal use only)'!U709</f>
        <v>0</v>
      </c>
      <c r="V241" s="681">
        <f>'far 1 a(for internal use only)'!V709</f>
        <v>0</v>
      </c>
      <c r="W241" s="681">
        <f>'far 1 a(for internal use only)'!W709</f>
        <v>0</v>
      </c>
      <c r="X241" s="662">
        <f t="shared" ref="X241:X248" si="386">SUM(T241:W241)</f>
        <v>0</v>
      </c>
      <c r="Y241" s="662">
        <f t="shared" ref="Y241:Y248" si="387">I241-N241</f>
        <v>0</v>
      </c>
      <c r="Z241" s="662">
        <f t="shared" ref="Z241:Z248" si="388">N241-S241</f>
        <v>0</v>
      </c>
      <c r="AA241" s="682">
        <f>'far 1 a(for internal use only)'!AA709</f>
        <v>0</v>
      </c>
      <c r="AB241" s="663">
        <f t="shared" ref="AB241:AB248" si="389">+S241-X241-AA241</f>
        <v>0</v>
      </c>
    </row>
    <row r="242" spans="1:28" ht="14.1" customHeight="1" x14ac:dyDescent="0.2">
      <c r="A242" s="140"/>
      <c r="B242" s="278"/>
      <c r="C242" s="349" t="s">
        <v>290</v>
      </c>
      <c r="D242" s="608"/>
      <c r="E242" s="608"/>
      <c r="F242" s="370" t="s">
        <v>291</v>
      </c>
      <c r="G242" s="681">
        <f>'far 1 a(for internal use only)'!G710</f>
        <v>0</v>
      </c>
      <c r="H242" s="681">
        <f>'far 1 a(for internal use only)'!H710</f>
        <v>0</v>
      </c>
      <c r="I242" s="660">
        <f t="shared" si="382"/>
        <v>0</v>
      </c>
      <c r="J242" s="660">
        <f t="shared" si="383"/>
        <v>0</v>
      </c>
      <c r="K242" s="681">
        <f>'far 1 a(for internal use only)'!K710</f>
        <v>0</v>
      </c>
      <c r="L242" s="681">
        <f>'far 1 a(for internal use only)'!L710</f>
        <v>0</v>
      </c>
      <c r="M242" s="681">
        <f>'far 1 a(for internal use only)'!M710</f>
        <v>0</v>
      </c>
      <c r="N242" s="661">
        <f t="shared" si="384"/>
        <v>0</v>
      </c>
      <c r="O242" s="681">
        <f>'far 1 a(for internal use only)'!O710</f>
        <v>0</v>
      </c>
      <c r="P242" s="681">
        <f>'far 1 a(for internal use only)'!P710</f>
        <v>0</v>
      </c>
      <c r="Q242" s="681">
        <f>'far 1 a(for internal use only)'!Q710</f>
        <v>0</v>
      </c>
      <c r="R242" s="681">
        <f>'far 1 a(for internal use only)'!R710</f>
        <v>0</v>
      </c>
      <c r="S242" s="662">
        <f t="shared" si="385"/>
        <v>0</v>
      </c>
      <c r="T242" s="681">
        <f>'far 1 a(for internal use only)'!T710</f>
        <v>0</v>
      </c>
      <c r="U242" s="681">
        <f>'far 1 a(for internal use only)'!U710</f>
        <v>0</v>
      </c>
      <c r="V242" s="681">
        <f>'far 1 a(for internal use only)'!V710</f>
        <v>0</v>
      </c>
      <c r="W242" s="681">
        <f>'far 1 a(for internal use only)'!W710</f>
        <v>0</v>
      </c>
      <c r="X242" s="662">
        <f t="shared" si="386"/>
        <v>0</v>
      </c>
      <c r="Y242" s="662">
        <f t="shared" si="387"/>
        <v>0</v>
      </c>
      <c r="Z242" s="662">
        <f t="shared" si="388"/>
        <v>0</v>
      </c>
      <c r="AA242" s="682">
        <f>'far 1 a(for internal use only)'!AA710</f>
        <v>0</v>
      </c>
      <c r="AB242" s="663">
        <f t="shared" si="389"/>
        <v>0</v>
      </c>
    </row>
    <row r="243" spans="1:28" ht="14.1" customHeight="1" x14ac:dyDescent="0.2">
      <c r="A243" s="140"/>
      <c r="B243" s="278"/>
      <c r="C243" s="349" t="s">
        <v>292</v>
      </c>
      <c r="D243" s="608"/>
      <c r="E243" s="608"/>
      <c r="F243" s="370" t="s">
        <v>293</v>
      </c>
      <c r="G243" s="681">
        <f>'far 1 a(for internal use only)'!G711</f>
        <v>0</v>
      </c>
      <c r="H243" s="681">
        <f>'far 1 a(for internal use only)'!H711</f>
        <v>0</v>
      </c>
      <c r="I243" s="660">
        <f t="shared" si="382"/>
        <v>0</v>
      </c>
      <c r="J243" s="660">
        <f t="shared" si="383"/>
        <v>0</v>
      </c>
      <c r="K243" s="681">
        <f>'far 1 a(for internal use only)'!K711</f>
        <v>0</v>
      </c>
      <c r="L243" s="681">
        <f>'far 1 a(for internal use only)'!L711</f>
        <v>0</v>
      </c>
      <c r="M243" s="681">
        <f>'far 1 a(for internal use only)'!M711</f>
        <v>0</v>
      </c>
      <c r="N243" s="661">
        <f t="shared" si="384"/>
        <v>0</v>
      </c>
      <c r="O243" s="681">
        <f>'far 1 a(for internal use only)'!O711</f>
        <v>0</v>
      </c>
      <c r="P243" s="681">
        <f>'far 1 a(for internal use only)'!P711</f>
        <v>0</v>
      </c>
      <c r="Q243" s="681">
        <f>'far 1 a(for internal use only)'!Q711</f>
        <v>0</v>
      </c>
      <c r="R243" s="681">
        <f>'far 1 a(for internal use only)'!R711</f>
        <v>0</v>
      </c>
      <c r="S243" s="662">
        <f t="shared" si="385"/>
        <v>0</v>
      </c>
      <c r="T243" s="681">
        <f>'far 1 a(for internal use only)'!T711</f>
        <v>0</v>
      </c>
      <c r="U243" s="681">
        <f>'far 1 a(for internal use only)'!U711</f>
        <v>0</v>
      </c>
      <c r="V243" s="681">
        <f>'far 1 a(for internal use only)'!V711</f>
        <v>0</v>
      </c>
      <c r="W243" s="681">
        <f>'far 1 a(for internal use only)'!W711</f>
        <v>0</v>
      </c>
      <c r="X243" s="662">
        <f t="shared" si="386"/>
        <v>0</v>
      </c>
      <c r="Y243" s="662">
        <f t="shared" si="387"/>
        <v>0</v>
      </c>
      <c r="Z243" s="662">
        <f t="shared" si="388"/>
        <v>0</v>
      </c>
      <c r="AA243" s="682">
        <f>'far 1 a(for internal use only)'!AA711</f>
        <v>0</v>
      </c>
      <c r="AB243" s="663">
        <f t="shared" si="389"/>
        <v>0</v>
      </c>
    </row>
    <row r="244" spans="1:28" ht="14.1" customHeight="1" x14ac:dyDescent="0.2">
      <c r="A244" s="140"/>
      <c r="B244" s="278"/>
      <c r="C244" s="349" t="s">
        <v>294</v>
      </c>
      <c r="D244" s="608"/>
      <c r="E244" s="608"/>
      <c r="F244" s="370" t="s">
        <v>295</v>
      </c>
      <c r="G244" s="681">
        <f>'far 1 a(for internal use only)'!G712</f>
        <v>0</v>
      </c>
      <c r="H244" s="681">
        <f>'far 1 a(for internal use only)'!H712</f>
        <v>0</v>
      </c>
      <c r="I244" s="660">
        <f t="shared" si="382"/>
        <v>0</v>
      </c>
      <c r="J244" s="660">
        <f t="shared" si="383"/>
        <v>0</v>
      </c>
      <c r="K244" s="681">
        <f>'far 1 a(for internal use only)'!K712</f>
        <v>0</v>
      </c>
      <c r="L244" s="681">
        <f>'far 1 a(for internal use only)'!L712</f>
        <v>0</v>
      </c>
      <c r="M244" s="681">
        <f>'far 1 a(for internal use only)'!M712</f>
        <v>0</v>
      </c>
      <c r="N244" s="661">
        <f t="shared" si="384"/>
        <v>0</v>
      </c>
      <c r="O244" s="681">
        <f>'far 1 a(for internal use only)'!O712</f>
        <v>0</v>
      </c>
      <c r="P244" s="681">
        <f>'far 1 a(for internal use only)'!P712</f>
        <v>0</v>
      </c>
      <c r="Q244" s="681">
        <f>'far 1 a(for internal use only)'!Q712</f>
        <v>0</v>
      </c>
      <c r="R244" s="681">
        <f>'far 1 a(for internal use only)'!R712</f>
        <v>0</v>
      </c>
      <c r="S244" s="662">
        <f t="shared" si="385"/>
        <v>0</v>
      </c>
      <c r="T244" s="681">
        <f>'far 1 a(for internal use only)'!T712</f>
        <v>0</v>
      </c>
      <c r="U244" s="681">
        <f>'far 1 a(for internal use only)'!U712</f>
        <v>0</v>
      </c>
      <c r="V244" s="681">
        <f>'far 1 a(for internal use only)'!V712</f>
        <v>0</v>
      </c>
      <c r="W244" s="681">
        <f>'far 1 a(for internal use only)'!W712</f>
        <v>0</v>
      </c>
      <c r="X244" s="662">
        <f t="shared" si="386"/>
        <v>0</v>
      </c>
      <c r="Y244" s="662">
        <f t="shared" si="387"/>
        <v>0</v>
      </c>
      <c r="Z244" s="662">
        <f t="shared" si="388"/>
        <v>0</v>
      </c>
      <c r="AA244" s="682">
        <f>'far 1 a(for internal use only)'!AA712</f>
        <v>0</v>
      </c>
      <c r="AB244" s="663">
        <f t="shared" si="389"/>
        <v>0</v>
      </c>
    </row>
    <row r="245" spans="1:28" ht="14.1" customHeight="1" x14ac:dyDescent="0.2">
      <c r="A245" s="140"/>
      <c r="B245" s="278"/>
      <c r="C245" s="349" t="s">
        <v>296</v>
      </c>
      <c r="D245" s="608"/>
      <c r="E245" s="608"/>
      <c r="F245" s="370" t="s">
        <v>297</v>
      </c>
      <c r="G245" s="681">
        <f>'far 1 a(for internal use only)'!G713</f>
        <v>0</v>
      </c>
      <c r="H245" s="681">
        <f>'far 1 a(for internal use only)'!H713</f>
        <v>0</v>
      </c>
      <c r="I245" s="660">
        <f t="shared" si="382"/>
        <v>0</v>
      </c>
      <c r="J245" s="660">
        <f t="shared" si="383"/>
        <v>0</v>
      </c>
      <c r="K245" s="681">
        <f>'far 1 a(for internal use only)'!K713</f>
        <v>0</v>
      </c>
      <c r="L245" s="681">
        <f>'far 1 a(for internal use only)'!L713</f>
        <v>0</v>
      </c>
      <c r="M245" s="681">
        <f>'far 1 a(for internal use only)'!M713</f>
        <v>0</v>
      </c>
      <c r="N245" s="661">
        <f t="shared" si="384"/>
        <v>0</v>
      </c>
      <c r="O245" s="681">
        <f>'far 1 a(for internal use only)'!O713</f>
        <v>0</v>
      </c>
      <c r="P245" s="681">
        <f>'far 1 a(for internal use only)'!P713</f>
        <v>0</v>
      </c>
      <c r="Q245" s="681">
        <f>'far 1 a(for internal use only)'!Q713</f>
        <v>0</v>
      </c>
      <c r="R245" s="681">
        <f>'far 1 a(for internal use only)'!R713</f>
        <v>0</v>
      </c>
      <c r="S245" s="662">
        <f t="shared" si="385"/>
        <v>0</v>
      </c>
      <c r="T245" s="681">
        <f>'far 1 a(for internal use only)'!T713</f>
        <v>0</v>
      </c>
      <c r="U245" s="681">
        <f>'far 1 a(for internal use only)'!U713</f>
        <v>0</v>
      </c>
      <c r="V245" s="681">
        <f>'far 1 a(for internal use only)'!V713</f>
        <v>0</v>
      </c>
      <c r="W245" s="681">
        <f>'far 1 a(for internal use only)'!W713</f>
        <v>0</v>
      </c>
      <c r="X245" s="662">
        <f t="shared" si="386"/>
        <v>0</v>
      </c>
      <c r="Y245" s="662">
        <f t="shared" si="387"/>
        <v>0</v>
      </c>
      <c r="Z245" s="662">
        <f t="shared" si="388"/>
        <v>0</v>
      </c>
      <c r="AA245" s="682">
        <f>'far 1 a(for internal use only)'!AA713</f>
        <v>0</v>
      </c>
      <c r="AB245" s="663">
        <f t="shared" si="389"/>
        <v>0</v>
      </c>
    </row>
    <row r="246" spans="1:28" ht="14.1" customHeight="1" x14ac:dyDescent="0.2">
      <c r="A246" s="140"/>
      <c r="B246" s="278"/>
      <c r="C246" s="349" t="s">
        <v>298</v>
      </c>
      <c r="D246" s="608"/>
      <c r="E246" s="608"/>
      <c r="F246" s="370" t="s">
        <v>299</v>
      </c>
      <c r="G246" s="681">
        <f>'far 1 a(for internal use only)'!G714</f>
        <v>0</v>
      </c>
      <c r="H246" s="681">
        <f>'far 1 a(for internal use only)'!H714</f>
        <v>0</v>
      </c>
      <c r="I246" s="660">
        <f t="shared" si="382"/>
        <v>0</v>
      </c>
      <c r="J246" s="660">
        <f t="shared" si="383"/>
        <v>0</v>
      </c>
      <c r="K246" s="681">
        <f>'far 1 a(for internal use only)'!K714</f>
        <v>0</v>
      </c>
      <c r="L246" s="681">
        <f>'far 1 a(for internal use only)'!L714</f>
        <v>0</v>
      </c>
      <c r="M246" s="681">
        <f>'far 1 a(for internal use only)'!M714</f>
        <v>0</v>
      </c>
      <c r="N246" s="661">
        <f t="shared" si="384"/>
        <v>0</v>
      </c>
      <c r="O246" s="681">
        <f>'far 1 a(for internal use only)'!O714</f>
        <v>0</v>
      </c>
      <c r="P246" s="681">
        <f>'far 1 a(for internal use only)'!P714</f>
        <v>0</v>
      </c>
      <c r="Q246" s="681">
        <f>'far 1 a(for internal use only)'!Q714</f>
        <v>0</v>
      </c>
      <c r="R246" s="681">
        <f>'far 1 a(for internal use only)'!R714</f>
        <v>0</v>
      </c>
      <c r="S246" s="662">
        <f t="shared" si="385"/>
        <v>0</v>
      </c>
      <c r="T246" s="681">
        <f>'far 1 a(for internal use only)'!T714</f>
        <v>0</v>
      </c>
      <c r="U246" s="681">
        <f>'far 1 a(for internal use only)'!U714</f>
        <v>0</v>
      </c>
      <c r="V246" s="681">
        <f>'far 1 a(for internal use only)'!V714</f>
        <v>0</v>
      </c>
      <c r="W246" s="681">
        <f>'far 1 a(for internal use only)'!W714</f>
        <v>0</v>
      </c>
      <c r="X246" s="662">
        <f t="shared" si="386"/>
        <v>0</v>
      </c>
      <c r="Y246" s="662">
        <f t="shared" si="387"/>
        <v>0</v>
      </c>
      <c r="Z246" s="662">
        <f t="shared" si="388"/>
        <v>0</v>
      </c>
      <c r="AA246" s="682">
        <f>'far 1 a(for internal use only)'!AA714</f>
        <v>0</v>
      </c>
      <c r="AB246" s="663">
        <f t="shared" si="389"/>
        <v>0</v>
      </c>
    </row>
    <row r="247" spans="1:28" ht="14.1" customHeight="1" x14ac:dyDescent="0.2">
      <c r="A247" s="140"/>
      <c r="B247" s="278"/>
      <c r="C247" s="349" t="s">
        <v>300</v>
      </c>
      <c r="D247" s="608"/>
      <c r="E247" s="608"/>
      <c r="F247" s="370" t="s">
        <v>301</v>
      </c>
      <c r="G247" s="681">
        <f>'far 1 a(for internal use only)'!G715</f>
        <v>0</v>
      </c>
      <c r="H247" s="681">
        <f>'far 1 a(for internal use only)'!H715</f>
        <v>0</v>
      </c>
      <c r="I247" s="660">
        <f t="shared" si="382"/>
        <v>0</v>
      </c>
      <c r="J247" s="660">
        <f t="shared" si="383"/>
        <v>0</v>
      </c>
      <c r="K247" s="681">
        <f>'far 1 a(for internal use only)'!K715</f>
        <v>0</v>
      </c>
      <c r="L247" s="681">
        <f>'far 1 a(for internal use only)'!L715</f>
        <v>0</v>
      </c>
      <c r="M247" s="681">
        <f>'far 1 a(for internal use only)'!M715</f>
        <v>81000</v>
      </c>
      <c r="N247" s="661">
        <f t="shared" si="384"/>
        <v>81000</v>
      </c>
      <c r="O247" s="681">
        <f>'far 1 a(for internal use only)'!O715</f>
        <v>0</v>
      </c>
      <c r="P247" s="681">
        <f>'far 1 a(for internal use only)'!P715</f>
        <v>0</v>
      </c>
      <c r="Q247" s="681">
        <f>'far 1 a(for internal use only)'!Q715</f>
        <v>0</v>
      </c>
      <c r="R247" s="681">
        <f>'far 1 a(for internal use only)'!R715</f>
        <v>81000</v>
      </c>
      <c r="S247" s="662">
        <f t="shared" si="385"/>
        <v>81000</v>
      </c>
      <c r="T247" s="681">
        <f>'far 1 a(for internal use only)'!T715</f>
        <v>0</v>
      </c>
      <c r="U247" s="681">
        <f>'far 1 a(for internal use only)'!U715</f>
        <v>0</v>
      </c>
      <c r="V247" s="681">
        <f>'far 1 a(for internal use only)'!V715</f>
        <v>0</v>
      </c>
      <c r="W247" s="681">
        <f>'far 1 a(for internal use only)'!W715</f>
        <v>81000</v>
      </c>
      <c r="X247" s="662">
        <f t="shared" si="386"/>
        <v>81000</v>
      </c>
      <c r="Y247" s="662">
        <f t="shared" si="387"/>
        <v>-81000</v>
      </c>
      <c r="Z247" s="662">
        <f t="shared" si="388"/>
        <v>0</v>
      </c>
      <c r="AA247" s="682">
        <f>'far 1 a(for internal use only)'!AA715</f>
        <v>0</v>
      </c>
      <c r="AB247" s="663">
        <f t="shared" si="389"/>
        <v>0</v>
      </c>
    </row>
    <row r="248" spans="1:28" ht="14.1" customHeight="1" x14ac:dyDescent="0.2">
      <c r="A248" s="140"/>
      <c r="B248" s="278"/>
      <c r="C248" s="349" t="s">
        <v>302</v>
      </c>
      <c r="D248" s="608"/>
      <c r="E248" s="608"/>
      <c r="F248" s="370" t="s">
        <v>303</v>
      </c>
      <c r="G248" s="681">
        <f>'far 1 a(for internal use only)'!G716</f>
        <v>0</v>
      </c>
      <c r="H248" s="681">
        <f>'far 1 a(for internal use only)'!H716</f>
        <v>0</v>
      </c>
      <c r="I248" s="660">
        <f t="shared" si="382"/>
        <v>0</v>
      </c>
      <c r="J248" s="660">
        <f t="shared" si="383"/>
        <v>0</v>
      </c>
      <c r="K248" s="681">
        <f>'far 1 a(for internal use only)'!K716</f>
        <v>0</v>
      </c>
      <c r="L248" s="681">
        <f>'far 1 a(for internal use only)'!L716</f>
        <v>0</v>
      </c>
      <c r="M248" s="681">
        <f>'far 1 a(for internal use only)'!M716</f>
        <v>0</v>
      </c>
      <c r="N248" s="661">
        <f t="shared" si="384"/>
        <v>0</v>
      </c>
      <c r="O248" s="681">
        <f>'far 1 a(for internal use only)'!O716</f>
        <v>0</v>
      </c>
      <c r="P248" s="681">
        <f>'far 1 a(for internal use only)'!P716</f>
        <v>0</v>
      </c>
      <c r="Q248" s="681">
        <f>'far 1 a(for internal use only)'!Q716</f>
        <v>0</v>
      </c>
      <c r="R248" s="681">
        <f>'far 1 a(for internal use only)'!R716</f>
        <v>0</v>
      </c>
      <c r="S248" s="662">
        <f t="shared" si="385"/>
        <v>0</v>
      </c>
      <c r="T248" s="681">
        <f>'far 1 a(for internal use only)'!T716</f>
        <v>0</v>
      </c>
      <c r="U248" s="681">
        <f>'far 1 a(for internal use only)'!U716</f>
        <v>0</v>
      </c>
      <c r="V248" s="681">
        <f>'far 1 a(for internal use only)'!V716</f>
        <v>0</v>
      </c>
      <c r="W248" s="681">
        <f>'far 1 a(for internal use only)'!W716</f>
        <v>0</v>
      </c>
      <c r="X248" s="662">
        <f t="shared" si="386"/>
        <v>0</v>
      </c>
      <c r="Y248" s="662">
        <f t="shared" si="387"/>
        <v>0</v>
      </c>
      <c r="Z248" s="662">
        <f t="shared" si="388"/>
        <v>0</v>
      </c>
      <c r="AA248" s="682">
        <f>'far 1 a(for internal use only)'!AA716</f>
        <v>0</v>
      </c>
      <c r="AB248" s="663">
        <f t="shared" si="389"/>
        <v>0</v>
      </c>
    </row>
    <row r="249" spans="1:28" ht="14.1" customHeight="1" x14ac:dyDescent="0.2">
      <c r="A249" s="140"/>
      <c r="B249" s="278"/>
      <c r="C249" s="348" t="s">
        <v>306</v>
      </c>
      <c r="D249" s="608"/>
      <c r="E249" s="608"/>
      <c r="F249" s="370"/>
      <c r="G249" s="681"/>
      <c r="H249" s="681"/>
      <c r="I249" s="660"/>
      <c r="J249" s="660"/>
      <c r="K249" s="662"/>
      <c r="L249" s="662"/>
      <c r="M249" s="662"/>
      <c r="N249" s="661"/>
      <c r="O249" s="662"/>
      <c r="P249" s="662"/>
      <c r="Q249" s="662"/>
      <c r="R249" s="662"/>
      <c r="S249" s="662"/>
      <c r="T249" s="662"/>
      <c r="U249" s="662"/>
      <c r="V249" s="662"/>
      <c r="W249" s="662"/>
      <c r="X249" s="662"/>
      <c r="Y249" s="662"/>
      <c r="Z249" s="662"/>
      <c r="AA249" s="662"/>
      <c r="AB249" s="663"/>
    </row>
    <row r="250" spans="1:28" ht="14.1" customHeight="1" x14ac:dyDescent="0.2">
      <c r="A250" s="140"/>
      <c r="B250" s="278"/>
      <c r="C250" s="349" t="s">
        <v>307</v>
      </c>
      <c r="D250" s="608"/>
      <c r="E250" s="608"/>
      <c r="F250" s="370" t="s">
        <v>308</v>
      </c>
      <c r="G250" s="681">
        <f>'far 1 a(for internal use only)'!G718</f>
        <v>0</v>
      </c>
      <c r="H250" s="681">
        <f>'far 1 a(for internal use only)'!H718</f>
        <v>0</v>
      </c>
      <c r="I250" s="660">
        <f t="shared" ref="I250:I252" si="390">G250+H250</f>
        <v>0</v>
      </c>
      <c r="J250" s="660">
        <f t="shared" ref="J250:J252" si="391">I250</f>
        <v>0</v>
      </c>
      <c r="K250" s="681">
        <f>'far 1 a(for internal use only)'!K718</f>
        <v>0</v>
      </c>
      <c r="L250" s="681">
        <f>'far 1 a(for internal use only)'!L718</f>
        <v>0</v>
      </c>
      <c r="M250" s="681">
        <f>'far 1 a(for internal use only)'!M718</f>
        <v>0</v>
      </c>
      <c r="N250" s="661">
        <f t="shared" ref="N250:N252" si="392">J250+K250-L250+M250</f>
        <v>0</v>
      </c>
      <c r="O250" s="681">
        <f>'far 1 a(for internal use only)'!O718</f>
        <v>0</v>
      </c>
      <c r="P250" s="681">
        <f>'far 1 a(for internal use only)'!P718</f>
        <v>0</v>
      </c>
      <c r="Q250" s="681">
        <f>'far 1 a(for internal use only)'!Q718</f>
        <v>0</v>
      </c>
      <c r="R250" s="681">
        <f>'far 1 a(for internal use only)'!R718</f>
        <v>0</v>
      </c>
      <c r="S250" s="662">
        <f t="shared" ref="S250:S252" si="393">SUM(O250:R250)</f>
        <v>0</v>
      </c>
      <c r="T250" s="681">
        <f>'far 1 a(for internal use only)'!T718</f>
        <v>0</v>
      </c>
      <c r="U250" s="681">
        <f>'far 1 a(for internal use only)'!U718</f>
        <v>0</v>
      </c>
      <c r="V250" s="681">
        <f>'far 1 a(for internal use only)'!V718</f>
        <v>0</v>
      </c>
      <c r="W250" s="681">
        <f>'far 1 a(for internal use only)'!W718</f>
        <v>0</v>
      </c>
      <c r="X250" s="662">
        <f t="shared" ref="X250:X252" si="394">SUM(T250:W250)</f>
        <v>0</v>
      </c>
      <c r="Y250" s="662">
        <f t="shared" ref="Y250:Y252" si="395">I250-N250</f>
        <v>0</v>
      </c>
      <c r="Z250" s="662">
        <f t="shared" ref="Z250:Z252" si="396">N250-S250</f>
        <v>0</v>
      </c>
      <c r="AA250" s="682">
        <f>'far 1 a(for internal use only)'!AA718</f>
        <v>0</v>
      </c>
      <c r="AB250" s="663">
        <f t="shared" ref="AB250:AB252" si="397">+S250-X250-AA250</f>
        <v>0</v>
      </c>
    </row>
    <row r="251" spans="1:28" ht="14.1" customHeight="1" x14ac:dyDescent="0.2">
      <c r="A251" s="140"/>
      <c r="B251" s="278"/>
      <c r="C251" s="349" t="s">
        <v>309</v>
      </c>
      <c r="D251" s="608"/>
      <c r="E251" s="608"/>
      <c r="F251" s="370" t="s">
        <v>310</v>
      </c>
      <c r="G251" s="681">
        <f>'far 1 a(for internal use only)'!G719</f>
        <v>0</v>
      </c>
      <c r="H251" s="681">
        <f>'far 1 a(for internal use only)'!H719</f>
        <v>0</v>
      </c>
      <c r="I251" s="660">
        <f t="shared" si="390"/>
        <v>0</v>
      </c>
      <c r="J251" s="660">
        <f t="shared" si="391"/>
        <v>0</v>
      </c>
      <c r="K251" s="681">
        <f>'far 1 a(for internal use only)'!K719</f>
        <v>0</v>
      </c>
      <c r="L251" s="681">
        <f>'far 1 a(for internal use only)'!L719</f>
        <v>0</v>
      </c>
      <c r="M251" s="681">
        <f>'far 1 a(for internal use only)'!M719</f>
        <v>0</v>
      </c>
      <c r="N251" s="661">
        <f t="shared" si="392"/>
        <v>0</v>
      </c>
      <c r="O251" s="681">
        <f>'far 1 a(for internal use only)'!O719</f>
        <v>0</v>
      </c>
      <c r="P251" s="681">
        <f>'far 1 a(for internal use only)'!P719</f>
        <v>0</v>
      </c>
      <c r="Q251" s="681">
        <f>'far 1 a(for internal use only)'!Q719</f>
        <v>0</v>
      </c>
      <c r="R251" s="681">
        <f>'far 1 a(for internal use only)'!R719</f>
        <v>0</v>
      </c>
      <c r="S251" s="662">
        <f t="shared" si="393"/>
        <v>0</v>
      </c>
      <c r="T251" s="681">
        <f>'far 1 a(for internal use only)'!T719</f>
        <v>0</v>
      </c>
      <c r="U251" s="681">
        <f>'far 1 a(for internal use only)'!U719</f>
        <v>0</v>
      </c>
      <c r="V251" s="681">
        <f>'far 1 a(for internal use only)'!V719</f>
        <v>0</v>
      </c>
      <c r="W251" s="681">
        <f>'far 1 a(for internal use only)'!W719</f>
        <v>0</v>
      </c>
      <c r="X251" s="662">
        <f t="shared" si="394"/>
        <v>0</v>
      </c>
      <c r="Y251" s="662">
        <f t="shared" si="395"/>
        <v>0</v>
      </c>
      <c r="Z251" s="662">
        <f t="shared" si="396"/>
        <v>0</v>
      </c>
      <c r="AA251" s="682">
        <f>'far 1 a(for internal use only)'!AA719</f>
        <v>0</v>
      </c>
      <c r="AB251" s="663">
        <f t="shared" si="397"/>
        <v>0</v>
      </c>
    </row>
    <row r="252" spans="1:28" ht="14.1" customHeight="1" x14ac:dyDescent="0.2">
      <c r="A252" s="140"/>
      <c r="B252" s="278"/>
      <c r="C252" s="349" t="s">
        <v>311</v>
      </c>
      <c r="D252" s="608"/>
      <c r="E252" s="608"/>
      <c r="F252" s="370" t="s">
        <v>312</v>
      </c>
      <c r="G252" s="681">
        <f>'far 1 a(for internal use only)'!G720</f>
        <v>0</v>
      </c>
      <c r="H252" s="681">
        <f>'far 1 a(for internal use only)'!H720</f>
        <v>0</v>
      </c>
      <c r="I252" s="660">
        <f t="shared" si="390"/>
        <v>0</v>
      </c>
      <c r="J252" s="660">
        <f t="shared" si="391"/>
        <v>0</v>
      </c>
      <c r="K252" s="681">
        <f>'far 1 a(for internal use only)'!K720</f>
        <v>0</v>
      </c>
      <c r="L252" s="681">
        <f>'far 1 a(for internal use only)'!L720</f>
        <v>0</v>
      </c>
      <c r="M252" s="681">
        <f>'far 1 a(for internal use only)'!M720</f>
        <v>1000</v>
      </c>
      <c r="N252" s="661">
        <f t="shared" si="392"/>
        <v>1000</v>
      </c>
      <c r="O252" s="681">
        <f>'far 1 a(for internal use only)'!O720</f>
        <v>0</v>
      </c>
      <c r="P252" s="681">
        <f>'far 1 a(for internal use only)'!P720</f>
        <v>0</v>
      </c>
      <c r="Q252" s="681">
        <f>'far 1 a(for internal use only)'!Q720</f>
        <v>0</v>
      </c>
      <c r="R252" s="681">
        <f>'far 1 a(for internal use only)'!R720</f>
        <v>0</v>
      </c>
      <c r="S252" s="662">
        <f t="shared" si="393"/>
        <v>0</v>
      </c>
      <c r="T252" s="681">
        <f>'far 1 a(for internal use only)'!T720</f>
        <v>0</v>
      </c>
      <c r="U252" s="681">
        <f>'far 1 a(for internal use only)'!U720</f>
        <v>0</v>
      </c>
      <c r="V252" s="681">
        <f>'far 1 a(for internal use only)'!V720</f>
        <v>0</v>
      </c>
      <c r="W252" s="681">
        <f>'far 1 a(for internal use only)'!W720</f>
        <v>0</v>
      </c>
      <c r="X252" s="662">
        <f t="shared" si="394"/>
        <v>0</v>
      </c>
      <c r="Y252" s="662">
        <f t="shared" si="395"/>
        <v>-1000</v>
      </c>
      <c r="Z252" s="662">
        <f t="shared" si="396"/>
        <v>1000</v>
      </c>
      <c r="AA252" s="682">
        <f>'far 1 a(for internal use only)'!AA720</f>
        <v>0</v>
      </c>
      <c r="AB252" s="663">
        <f t="shared" si="397"/>
        <v>0</v>
      </c>
    </row>
    <row r="253" spans="1:28" ht="14.1" customHeight="1" x14ac:dyDescent="0.2">
      <c r="A253" s="140"/>
      <c r="B253" s="278"/>
      <c r="C253" s="348" t="s">
        <v>313</v>
      </c>
      <c r="D253" s="608"/>
      <c r="E253" s="608"/>
      <c r="F253" s="370"/>
      <c r="G253" s="681"/>
      <c r="H253" s="681"/>
      <c r="I253" s="660"/>
      <c r="J253" s="660"/>
      <c r="K253" s="662"/>
      <c r="L253" s="662"/>
      <c r="M253" s="662"/>
      <c r="N253" s="661"/>
      <c r="O253" s="662"/>
      <c r="P253" s="662"/>
      <c r="Q253" s="662"/>
      <c r="R253" s="662"/>
      <c r="S253" s="662"/>
      <c r="T253" s="662"/>
      <c r="U253" s="662"/>
      <c r="V253" s="662"/>
      <c r="W253" s="662"/>
      <c r="X253" s="662"/>
      <c r="Y253" s="662"/>
      <c r="Z253" s="662"/>
      <c r="AA253" s="662"/>
      <c r="AB253" s="663"/>
    </row>
    <row r="254" spans="1:28" ht="14.1" customHeight="1" x14ac:dyDescent="0.2">
      <c r="A254" s="140"/>
      <c r="B254" s="278"/>
      <c r="C254" s="349" t="s">
        <v>314</v>
      </c>
      <c r="D254" s="608"/>
      <c r="E254" s="608"/>
      <c r="F254" s="370" t="s">
        <v>315</v>
      </c>
      <c r="G254" s="681">
        <f>'far 1 a(for internal use only)'!G722</f>
        <v>0</v>
      </c>
      <c r="H254" s="681">
        <f>'far 1 a(for internal use only)'!H722</f>
        <v>0</v>
      </c>
      <c r="I254" s="660">
        <f t="shared" ref="I254" si="398">G254+H254</f>
        <v>0</v>
      </c>
      <c r="J254" s="660">
        <f t="shared" ref="J254" si="399">I254</f>
        <v>0</v>
      </c>
      <c r="K254" s="681">
        <f>'far 1 a(for internal use only)'!K722</f>
        <v>0</v>
      </c>
      <c r="L254" s="681">
        <f>'far 1 a(for internal use only)'!L722</f>
        <v>0</v>
      </c>
      <c r="M254" s="681">
        <f>'far 1 a(for internal use only)'!M722</f>
        <v>3000</v>
      </c>
      <c r="N254" s="661">
        <f>J254+K254-L254+M254</f>
        <v>3000</v>
      </c>
      <c r="O254" s="681">
        <f>'far 1 a(for internal use only)'!O722</f>
        <v>0</v>
      </c>
      <c r="P254" s="681">
        <f>'far 1 a(for internal use only)'!P722</f>
        <v>0</v>
      </c>
      <c r="Q254" s="681">
        <f>'far 1 a(for internal use only)'!Q722</f>
        <v>0</v>
      </c>
      <c r="R254" s="681">
        <f>'far 1 a(for internal use only)'!R722</f>
        <v>0</v>
      </c>
      <c r="S254" s="662">
        <f t="shared" ref="S254" si="400">SUM(O254:R254)</f>
        <v>0</v>
      </c>
      <c r="T254" s="681">
        <f>'far 1 a(for internal use only)'!T722</f>
        <v>0</v>
      </c>
      <c r="U254" s="681">
        <f>'far 1 a(for internal use only)'!U722</f>
        <v>0</v>
      </c>
      <c r="V254" s="681">
        <f>'far 1 a(for internal use only)'!V722</f>
        <v>0</v>
      </c>
      <c r="W254" s="681">
        <f>'far 1 a(for internal use only)'!W722</f>
        <v>0</v>
      </c>
      <c r="X254" s="662">
        <f t="shared" ref="X254" si="401">SUM(T254:W254)</f>
        <v>0</v>
      </c>
      <c r="Y254" s="662">
        <f t="shared" ref="Y254" si="402">I254-N254</f>
        <v>-3000</v>
      </c>
      <c r="Z254" s="662">
        <f t="shared" ref="Z254" si="403">N254-S254</f>
        <v>3000</v>
      </c>
      <c r="AA254" s="682">
        <f>'far 1 a(for internal use only)'!AA722</f>
        <v>0</v>
      </c>
      <c r="AB254" s="663">
        <f t="shared" ref="AB254" si="404">+S254-X254-AA254</f>
        <v>0</v>
      </c>
    </row>
    <row r="255" spans="1:28" ht="14.1" customHeight="1" x14ac:dyDescent="0.2">
      <c r="A255" s="140"/>
      <c r="B255" s="278"/>
      <c r="C255" s="348" t="s">
        <v>684</v>
      </c>
      <c r="D255" s="109"/>
      <c r="E255" s="109"/>
      <c r="G255" s="681"/>
      <c r="H255" s="681"/>
      <c r="I255" s="660"/>
      <c r="J255" s="660"/>
      <c r="K255" s="662"/>
      <c r="L255" s="662"/>
      <c r="M255" s="662"/>
      <c r="N255" s="661"/>
      <c r="O255" s="662"/>
      <c r="P255" s="662"/>
      <c r="Q255" s="662"/>
      <c r="R255" s="662"/>
      <c r="S255" s="662"/>
      <c r="T255" s="662"/>
      <c r="U255" s="662"/>
      <c r="V255" s="662"/>
      <c r="W255" s="662"/>
      <c r="X255" s="662"/>
      <c r="Y255" s="662"/>
      <c r="Z255" s="662"/>
      <c r="AA255" s="662"/>
      <c r="AB255" s="663"/>
    </row>
    <row r="256" spans="1:28" ht="14.1" customHeight="1" x14ac:dyDescent="0.2">
      <c r="A256" s="140"/>
      <c r="B256" s="278"/>
      <c r="C256" s="349" t="s">
        <v>685</v>
      </c>
      <c r="D256" s="608"/>
      <c r="E256" s="608"/>
      <c r="F256" s="370" t="s">
        <v>305</v>
      </c>
      <c r="G256" s="681">
        <f>'far 1 a(for internal use only)'!G724</f>
        <v>0</v>
      </c>
      <c r="H256" s="681">
        <f>'far 1 a(for internal use only)'!H724</f>
        <v>0</v>
      </c>
      <c r="I256" s="660">
        <f t="shared" ref="I256:I259" si="405">G256+H256</f>
        <v>0</v>
      </c>
      <c r="J256" s="660">
        <f t="shared" ref="J256:J259" si="406">I256</f>
        <v>0</v>
      </c>
      <c r="K256" s="681">
        <f>'far 1 a(for internal use only)'!K724</f>
        <v>0</v>
      </c>
      <c r="L256" s="681">
        <f>'far 1 a(for internal use only)'!L724</f>
        <v>0</v>
      </c>
      <c r="M256" s="681">
        <f>'far 1 a(for internal use only)'!M724</f>
        <v>0</v>
      </c>
      <c r="N256" s="661">
        <f t="shared" ref="N256:N257" si="407">J256+K256-L256+M256</f>
        <v>0</v>
      </c>
      <c r="O256" s="681">
        <f>'far 1 a(for internal use only)'!O724</f>
        <v>0</v>
      </c>
      <c r="P256" s="681">
        <f>'far 1 a(for internal use only)'!P724</f>
        <v>0</v>
      </c>
      <c r="Q256" s="681">
        <f>'far 1 a(for internal use only)'!Q724</f>
        <v>0</v>
      </c>
      <c r="R256" s="681">
        <f>'far 1 a(for internal use only)'!R724</f>
        <v>0</v>
      </c>
      <c r="S256" s="662">
        <f t="shared" ref="S256:S258" si="408">SUM(O256:R256)</f>
        <v>0</v>
      </c>
      <c r="T256" s="681">
        <f>'far 1 a(for internal use only)'!T724</f>
        <v>0</v>
      </c>
      <c r="U256" s="681">
        <f>'far 1 a(for internal use only)'!U724</f>
        <v>0</v>
      </c>
      <c r="V256" s="681">
        <f>'far 1 a(for internal use only)'!V724</f>
        <v>0</v>
      </c>
      <c r="W256" s="681">
        <f>'far 1 a(for internal use only)'!W724</f>
        <v>0</v>
      </c>
      <c r="X256" s="662">
        <f t="shared" ref="X256:X258" si="409">SUM(T256:W256)</f>
        <v>0</v>
      </c>
      <c r="Y256" s="662">
        <f t="shared" ref="Y256:Y259" si="410">I256-N256</f>
        <v>0</v>
      </c>
      <c r="Z256" s="662">
        <f t="shared" ref="Z256:Z259" si="411">N256-S256</f>
        <v>0</v>
      </c>
      <c r="AA256" s="682">
        <f>'far 1 a(for internal use only)'!AA724</f>
        <v>0</v>
      </c>
      <c r="AB256" s="663">
        <f t="shared" ref="AB256:AB259" si="412">+S256-X256-AA256</f>
        <v>0</v>
      </c>
    </row>
    <row r="257" spans="1:28" ht="14.1" customHeight="1" x14ac:dyDescent="0.2">
      <c r="A257" s="140"/>
      <c r="B257" s="278"/>
      <c r="C257" s="349" t="s">
        <v>686</v>
      </c>
      <c r="D257" s="608"/>
      <c r="E257" s="109"/>
      <c r="F257" s="370" t="s">
        <v>486</v>
      </c>
      <c r="G257" s="681">
        <f>'far 1 a(for internal use only)'!G725</f>
        <v>0</v>
      </c>
      <c r="H257" s="681">
        <f>'far 1 a(for internal use only)'!H725</f>
        <v>0</v>
      </c>
      <c r="I257" s="660">
        <f t="shared" si="405"/>
        <v>0</v>
      </c>
      <c r="J257" s="660">
        <f t="shared" si="406"/>
        <v>0</v>
      </c>
      <c r="K257" s="681">
        <f>'far 1 a(for internal use only)'!K725</f>
        <v>0</v>
      </c>
      <c r="L257" s="681">
        <f>'far 1 a(for internal use only)'!L725</f>
        <v>0</v>
      </c>
      <c r="M257" s="681">
        <f>'far 1 a(for internal use only)'!M725</f>
        <v>0</v>
      </c>
      <c r="N257" s="661">
        <f t="shared" si="407"/>
        <v>0</v>
      </c>
      <c r="O257" s="681">
        <f>'far 1 a(for internal use only)'!O725</f>
        <v>0</v>
      </c>
      <c r="P257" s="681">
        <f>'far 1 a(for internal use only)'!P725</f>
        <v>0</v>
      </c>
      <c r="Q257" s="681">
        <f>'far 1 a(for internal use only)'!Q725</f>
        <v>0</v>
      </c>
      <c r="R257" s="681">
        <f>'far 1 a(for internal use only)'!R725</f>
        <v>0</v>
      </c>
      <c r="S257" s="662">
        <f t="shared" si="408"/>
        <v>0</v>
      </c>
      <c r="T257" s="681">
        <f>'far 1 a(for internal use only)'!T725</f>
        <v>0</v>
      </c>
      <c r="U257" s="681">
        <f>'far 1 a(for internal use only)'!U725</f>
        <v>0</v>
      </c>
      <c r="V257" s="681">
        <f>'far 1 a(for internal use only)'!V725</f>
        <v>0</v>
      </c>
      <c r="W257" s="681">
        <f>'far 1 a(for internal use only)'!W725</f>
        <v>0</v>
      </c>
      <c r="X257" s="662">
        <f t="shared" si="409"/>
        <v>0</v>
      </c>
      <c r="Y257" s="662">
        <f t="shared" si="410"/>
        <v>0</v>
      </c>
      <c r="Z257" s="662">
        <f t="shared" si="411"/>
        <v>0</v>
      </c>
      <c r="AA257" s="682">
        <f>'far 1 a(for internal use only)'!AA725</f>
        <v>0</v>
      </c>
      <c r="AB257" s="663">
        <f t="shared" si="412"/>
        <v>0</v>
      </c>
    </row>
    <row r="258" spans="1:28" ht="14.1" customHeight="1" x14ac:dyDescent="0.2">
      <c r="A258" s="140"/>
      <c r="B258" s="278"/>
      <c r="C258" s="349" t="s">
        <v>687</v>
      </c>
      <c r="D258" s="109"/>
      <c r="E258" s="109"/>
      <c r="F258" s="370" t="s">
        <v>489</v>
      </c>
      <c r="G258" s="681">
        <f>'far 1 a(for internal use only)'!G726</f>
        <v>458300</v>
      </c>
      <c r="H258" s="681">
        <f>'far 1 a(for internal use only)'!H726</f>
        <v>0</v>
      </c>
      <c r="I258" s="660">
        <f t="shared" si="405"/>
        <v>458300</v>
      </c>
      <c r="J258" s="660">
        <v>458300</v>
      </c>
      <c r="K258" s="681">
        <f>'far 1 a(for internal use only)'!K726</f>
        <v>0</v>
      </c>
      <c r="L258" s="681">
        <f>'far 1 a(for internal use only)'!L726</f>
        <v>0</v>
      </c>
      <c r="M258" s="681">
        <f>'far 1 a(for internal use only)'!M726</f>
        <v>0</v>
      </c>
      <c r="N258" s="661">
        <f>J258+K258-L258+M258</f>
        <v>458300</v>
      </c>
      <c r="O258" s="681">
        <f>'far 1 a(for internal use only)'!O726</f>
        <v>0</v>
      </c>
      <c r="P258" s="681">
        <f>'far 1 a(for internal use only)'!P726</f>
        <v>0</v>
      </c>
      <c r="Q258" s="681">
        <f>'far 1 a(for internal use only)'!Q726</f>
        <v>0</v>
      </c>
      <c r="R258" s="681">
        <f>'far 1 a(for internal use only)'!R726</f>
        <v>457600</v>
      </c>
      <c r="S258" s="662">
        <f t="shared" si="408"/>
        <v>457600</v>
      </c>
      <c r="T258" s="681">
        <f>'far 1 a(for internal use only)'!T726</f>
        <v>0</v>
      </c>
      <c r="U258" s="681">
        <f>'far 1 a(for internal use only)'!U726</f>
        <v>0</v>
      </c>
      <c r="V258" s="681">
        <f>'far 1 a(for internal use only)'!V726</f>
        <v>0</v>
      </c>
      <c r="W258" s="681">
        <f>'far 1 a(for internal use only)'!W726</f>
        <v>457600</v>
      </c>
      <c r="X258" s="662">
        <f t="shared" si="409"/>
        <v>457600</v>
      </c>
      <c r="Y258" s="662">
        <f t="shared" si="410"/>
        <v>0</v>
      </c>
      <c r="Z258" s="662">
        <f t="shared" si="411"/>
        <v>700</v>
      </c>
      <c r="AA258" s="682">
        <f>'far 1 a(for internal use only)'!AA726</f>
        <v>0</v>
      </c>
      <c r="AB258" s="663">
        <f t="shared" si="412"/>
        <v>0</v>
      </c>
    </row>
    <row r="259" spans="1:28" ht="14.1" customHeight="1" x14ac:dyDescent="0.2">
      <c r="A259" s="140"/>
      <c r="B259" s="278"/>
      <c r="C259" s="349" t="s">
        <v>687</v>
      </c>
      <c r="D259" s="109" t="s">
        <v>812</v>
      </c>
      <c r="E259" s="109"/>
      <c r="F259" s="370" t="s">
        <v>489</v>
      </c>
      <c r="G259" s="681">
        <f>'[3]far 1 a(for internal use only)'!G719</f>
        <v>0</v>
      </c>
      <c r="H259" s="681">
        <f>'[3]far 1 a(for internal use only)'!H719</f>
        <v>0</v>
      </c>
      <c r="I259" s="660">
        <f t="shared" si="405"/>
        <v>0</v>
      </c>
      <c r="J259" s="660">
        <f t="shared" si="406"/>
        <v>0</v>
      </c>
      <c r="K259" s="681">
        <f>'[3]far 1 a(for internal use only)'!K719</f>
        <v>0</v>
      </c>
      <c r="L259" s="681">
        <f>'[3]far 1 a(for internal use only)'!L719</f>
        <v>0</v>
      </c>
      <c r="M259" s="681">
        <f>'[3]far 1 a(for internal use only)'!M719</f>
        <v>1166428</v>
      </c>
      <c r="N259" s="661">
        <f>J259+K259-L259+M259</f>
        <v>1166428</v>
      </c>
      <c r="O259" s="681">
        <f>'[3]far 1 a(for internal use only)'!O719</f>
        <v>0</v>
      </c>
      <c r="P259" s="681">
        <f>'[3]far 1 a(for internal use only)'!P719</f>
        <v>0</v>
      </c>
      <c r="Q259" s="681">
        <f>'[3]far 1 a(for internal use only)'!Q719</f>
        <v>0</v>
      </c>
      <c r="R259" s="681">
        <f>+'far 1 a(for internal use only)'!R727</f>
        <v>1147881.3</v>
      </c>
      <c r="S259" s="662">
        <f t="shared" ref="S259" si="413">SUM(O259:R259)</f>
        <v>1147881.3</v>
      </c>
      <c r="T259" s="681">
        <f>'[3]far 1 a(for internal use only)'!T719</f>
        <v>0</v>
      </c>
      <c r="U259" s="681">
        <f>'[3]far 1 a(for internal use only)'!U719</f>
        <v>0</v>
      </c>
      <c r="V259" s="681">
        <f>'[3]far 1 a(for internal use only)'!V719</f>
        <v>0</v>
      </c>
      <c r="W259" s="681">
        <f>'far 1 a(for internal use only)'!W727</f>
        <v>1147881.3</v>
      </c>
      <c r="X259" s="662">
        <f t="shared" ref="X259" si="414">SUM(T259:W259)</f>
        <v>1147881.3</v>
      </c>
      <c r="Y259" s="662">
        <f t="shared" si="410"/>
        <v>-1166428</v>
      </c>
      <c r="Z259" s="662">
        <f t="shared" si="411"/>
        <v>18546.699999999953</v>
      </c>
      <c r="AA259" s="682">
        <f>'[3]far 1 a(for internal use only)'!AA719</f>
        <v>0</v>
      </c>
      <c r="AB259" s="663">
        <f t="shared" si="412"/>
        <v>0</v>
      </c>
    </row>
    <row r="260" spans="1:28" ht="14.1" customHeight="1" x14ac:dyDescent="0.2">
      <c r="A260" s="140"/>
      <c r="B260" s="278"/>
      <c r="C260" s="69"/>
      <c r="D260" s="109"/>
      <c r="E260" s="109"/>
      <c r="G260" s="681"/>
      <c r="H260" s="681"/>
      <c r="I260" s="660"/>
      <c r="J260" s="660"/>
      <c r="K260" s="681"/>
      <c r="L260" s="662"/>
      <c r="M260" s="681"/>
      <c r="N260" s="661"/>
      <c r="O260" s="681"/>
      <c r="P260" s="681"/>
      <c r="Q260" s="681"/>
      <c r="R260" s="681"/>
      <c r="S260" s="662"/>
      <c r="T260" s="681"/>
      <c r="U260" s="681"/>
      <c r="V260" s="681"/>
      <c r="W260" s="681"/>
      <c r="X260" s="662"/>
      <c r="Y260" s="662"/>
      <c r="Z260" s="662"/>
      <c r="AA260" s="662"/>
      <c r="AB260" s="663"/>
    </row>
    <row r="261" spans="1:28" s="87" customFormat="1" ht="14.1" customHeight="1" x14ac:dyDescent="0.2">
      <c r="A261" s="314"/>
      <c r="B261" s="73" t="s">
        <v>272</v>
      </c>
      <c r="C261" s="73"/>
      <c r="D261" s="288"/>
      <c r="E261" s="288"/>
      <c r="F261" s="690" t="s">
        <v>487</v>
      </c>
      <c r="G261" s="676">
        <f t="shared" ref="G261" si="415">SUM(G262:G263)</f>
        <v>0</v>
      </c>
      <c r="H261" s="676">
        <f t="shared" ref="H261:AB261" si="416">SUM(H262:H263)</f>
        <v>0</v>
      </c>
      <c r="I261" s="676">
        <f t="shared" si="416"/>
        <v>0</v>
      </c>
      <c r="J261" s="676">
        <f t="shared" si="416"/>
        <v>0</v>
      </c>
      <c r="K261" s="676">
        <f>SUM(K262:K263)</f>
        <v>0</v>
      </c>
      <c r="L261" s="676">
        <f t="shared" si="416"/>
        <v>0</v>
      </c>
      <c r="M261" s="676">
        <f>SUM(M262:M263)</f>
        <v>0</v>
      </c>
      <c r="N261" s="689">
        <f t="shared" ref="N261" si="417">SUM(N262:N263)</f>
        <v>0</v>
      </c>
      <c r="O261" s="676">
        <f t="shared" si="416"/>
        <v>0</v>
      </c>
      <c r="P261" s="676">
        <f t="shared" si="416"/>
        <v>0</v>
      </c>
      <c r="Q261" s="676">
        <f t="shared" si="416"/>
        <v>0</v>
      </c>
      <c r="R261" s="676">
        <f t="shared" si="416"/>
        <v>0</v>
      </c>
      <c r="S261" s="676">
        <f t="shared" si="416"/>
        <v>0</v>
      </c>
      <c r="T261" s="676">
        <f t="shared" si="416"/>
        <v>0</v>
      </c>
      <c r="U261" s="676">
        <f t="shared" si="416"/>
        <v>0</v>
      </c>
      <c r="V261" s="676">
        <f t="shared" si="416"/>
        <v>0</v>
      </c>
      <c r="W261" s="676">
        <f t="shared" si="416"/>
        <v>0</v>
      </c>
      <c r="X261" s="676">
        <f t="shared" si="416"/>
        <v>0</v>
      </c>
      <c r="Y261" s="676">
        <f t="shared" si="416"/>
        <v>0</v>
      </c>
      <c r="Z261" s="676">
        <f t="shared" si="416"/>
        <v>0</v>
      </c>
      <c r="AA261" s="677">
        <f t="shared" si="416"/>
        <v>0</v>
      </c>
      <c r="AB261" s="679">
        <f t="shared" si="416"/>
        <v>0</v>
      </c>
    </row>
    <row r="262" spans="1:28" ht="14.1" customHeight="1" x14ac:dyDescent="0.2">
      <c r="A262" s="140"/>
      <c r="B262" s="278"/>
      <c r="C262" s="69"/>
      <c r="D262" s="109" t="s">
        <v>273</v>
      </c>
      <c r="E262" s="109"/>
      <c r="F262" s="680" t="s">
        <v>488</v>
      </c>
      <c r="G262" s="681">
        <f>'far 1 a(for internal use only)'!G730</f>
        <v>0</v>
      </c>
      <c r="H262" s="681">
        <f>'far 1 a(for internal use only)'!H730</f>
        <v>0</v>
      </c>
      <c r="I262" s="660">
        <f t="shared" ref="I262:I263" si="418">G262+H262</f>
        <v>0</v>
      </c>
      <c r="J262" s="660">
        <f t="shared" ref="J262:J263" si="419">I262</f>
        <v>0</v>
      </c>
      <c r="K262" s="681">
        <f>'far 1 a(for internal use only)'!K730</f>
        <v>0</v>
      </c>
      <c r="L262" s="681">
        <f>'far 1 a(for internal use only)'!L730</f>
        <v>0</v>
      </c>
      <c r="M262" s="681">
        <f>'far 1 a(for internal use only)'!M730</f>
        <v>0</v>
      </c>
      <c r="N262" s="661">
        <f t="shared" ref="N262:N263" si="420">J262+K262-L262+M262</f>
        <v>0</v>
      </c>
      <c r="O262" s="681">
        <f>'far 1 a(for internal use only)'!O730</f>
        <v>0</v>
      </c>
      <c r="P262" s="681">
        <f>'far 1 a(for internal use only)'!P730</f>
        <v>0</v>
      </c>
      <c r="Q262" s="681">
        <f>'far 1 a(for internal use only)'!Q730</f>
        <v>0</v>
      </c>
      <c r="R262" s="681">
        <f>'far 1 a(for internal use only)'!R730</f>
        <v>0</v>
      </c>
      <c r="S262" s="662">
        <f t="shared" ref="S262:S263" si="421">SUM(O262:R262)</f>
        <v>0</v>
      </c>
      <c r="T262" s="681">
        <f>'far 1 a(for internal use only)'!T730</f>
        <v>0</v>
      </c>
      <c r="U262" s="681">
        <f>'far 1 a(for internal use only)'!U730</f>
        <v>0</v>
      </c>
      <c r="V262" s="681">
        <f>'far 1 a(for internal use only)'!V730</f>
        <v>0</v>
      </c>
      <c r="W262" s="681">
        <f>'far 1 a(for internal use only)'!W730</f>
        <v>0</v>
      </c>
      <c r="X262" s="662">
        <f t="shared" ref="X262:X263" si="422">SUM(T262:W262)</f>
        <v>0</v>
      </c>
      <c r="Y262" s="662">
        <f t="shared" ref="Y262:Y263" si="423">I262-N262</f>
        <v>0</v>
      </c>
      <c r="Z262" s="662">
        <f t="shared" ref="Z262:Z263" si="424">N262-S262</f>
        <v>0</v>
      </c>
      <c r="AA262" s="682">
        <f>'far 1 a(for internal use only)'!AA730</f>
        <v>0</v>
      </c>
      <c r="AB262" s="663">
        <f t="shared" ref="AB262:AB263" si="425">+S262-X262-AA262</f>
        <v>0</v>
      </c>
    </row>
    <row r="263" spans="1:28" ht="14.1" customHeight="1" x14ac:dyDescent="0.2">
      <c r="A263" s="140"/>
      <c r="B263" s="278"/>
      <c r="C263" s="69"/>
      <c r="D263" s="109" t="s">
        <v>688</v>
      </c>
      <c r="E263" s="109"/>
      <c r="F263" s="680" t="s">
        <v>689</v>
      </c>
      <c r="G263" s="681">
        <f>'far 1 a(for internal use only)'!G731</f>
        <v>0</v>
      </c>
      <c r="H263" s="681">
        <f>'far 1 a(for internal use only)'!H731</f>
        <v>0</v>
      </c>
      <c r="I263" s="660">
        <f t="shared" si="418"/>
        <v>0</v>
      </c>
      <c r="J263" s="660">
        <f t="shared" si="419"/>
        <v>0</v>
      </c>
      <c r="K263" s="681">
        <f>'far 1 a(for internal use only)'!K731</f>
        <v>0</v>
      </c>
      <c r="L263" s="681">
        <f>'far 1 a(for internal use only)'!L731</f>
        <v>0</v>
      </c>
      <c r="M263" s="681">
        <f>'far 1 a(for internal use only)'!M731</f>
        <v>0</v>
      </c>
      <c r="N263" s="661">
        <f t="shared" si="420"/>
        <v>0</v>
      </c>
      <c r="O263" s="681">
        <f>'far 1 a(for internal use only)'!O731</f>
        <v>0</v>
      </c>
      <c r="P263" s="681">
        <f>'far 1 a(for internal use only)'!P731</f>
        <v>0</v>
      </c>
      <c r="Q263" s="681">
        <f>'far 1 a(for internal use only)'!Q731</f>
        <v>0</v>
      </c>
      <c r="R263" s="681">
        <f>'far 1 a(for internal use only)'!R731</f>
        <v>0</v>
      </c>
      <c r="S263" s="662">
        <f t="shared" si="421"/>
        <v>0</v>
      </c>
      <c r="T263" s="681">
        <f>'far 1 a(for internal use only)'!T731</f>
        <v>0</v>
      </c>
      <c r="U263" s="681">
        <f>'far 1 a(for internal use only)'!U731</f>
        <v>0</v>
      </c>
      <c r="V263" s="681">
        <f>'far 1 a(for internal use only)'!V731</f>
        <v>0</v>
      </c>
      <c r="W263" s="681">
        <f>'far 1 a(for internal use only)'!W731</f>
        <v>0</v>
      </c>
      <c r="X263" s="662">
        <f t="shared" si="422"/>
        <v>0</v>
      </c>
      <c r="Y263" s="662">
        <f t="shared" si="423"/>
        <v>0</v>
      </c>
      <c r="Z263" s="662">
        <f t="shared" si="424"/>
        <v>0</v>
      </c>
      <c r="AA263" s="682">
        <f>'far 1 a(for internal use only)'!AA731</f>
        <v>0</v>
      </c>
      <c r="AB263" s="663">
        <f t="shared" si="425"/>
        <v>0</v>
      </c>
    </row>
    <row r="264" spans="1:28" ht="14.1" customHeight="1" x14ac:dyDescent="0.2">
      <c r="A264" s="140"/>
      <c r="B264" s="278"/>
      <c r="C264" s="69"/>
      <c r="D264" s="109"/>
      <c r="E264" s="109"/>
      <c r="G264" s="681"/>
      <c r="H264" s="681"/>
      <c r="I264" s="660"/>
      <c r="J264" s="660"/>
      <c r="K264" s="662"/>
      <c r="L264" s="662"/>
      <c r="M264" s="662"/>
      <c r="N264" s="661"/>
      <c r="O264" s="662"/>
      <c r="P264" s="662"/>
      <c r="Q264" s="662"/>
      <c r="R264" s="662"/>
      <c r="S264" s="662"/>
      <c r="T264" s="662"/>
      <c r="U264" s="662"/>
      <c r="V264" s="662"/>
      <c r="W264" s="662"/>
      <c r="X264" s="662"/>
      <c r="Y264" s="662"/>
      <c r="Z264" s="662"/>
      <c r="AA264" s="662"/>
      <c r="AB264" s="663"/>
    </row>
    <row r="265" spans="1:28" s="694" customFormat="1" ht="18.75" customHeight="1" x14ac:dyDescent="0.2">
      <c r="A265" s="976" t="s">
        <v>671</v>
      </c>
      <c r="B265" s="977"/>
      <c r="C265" s="977"/>
      <c r="D265" s="977"/>
      <c r="E265" s="977"/>
      <c r="F265" s="691" t="s">
        <v>676</v>
      </c>
      <c r="G265" s="692">
        <f t="shared" ref="G265:AB265" si="426">G266</f>
        <v>869079.77999999991</v>
      </c>
      <c r="H265" s="692">
        <f t="shared" si="426"/>
        <v>0</v>
      </c>
      <c r="I265" s="692">
        <f t="shared" si="426"/>
        <v>869079.77999999991</v>
      </c>
      <c r="J265" s="692">
        <f t="shared" si="426"/>
        <v>869079.77999999991</v>
      </c>
      <c r="K265" s="692">
        <f t="shared" si="426"/>
        <v>0</v>
      </c>
      <c r="L265" s="692">
        <f t="shared" si="426"/>
        <v>0</v>
      </c>
      <c r="M265" s="692">
        <f t="shared" si="426"/>
        <v>0</v>
      </c>
      <c r="N265" s="693">
        <f t="shared" si="426"/>
        <v>869079.77999999991</v>
      </c>
      <c r="O265" s="692">
        <f t="shared" si="426"/>
        <v>12200</v>
      </c>
      <c r="P265" s="692">
        <f t="shared" si="426"/>
        <v>263263.81999999995</v>
      </c>
      <c r="Q265" s="692">
        <f t="shared" si="426"/>
        <v>327379.55000000005</v>
      </c>
      <c r="R265" s="692">
        <f t="shared" si="426"/>
        <v>210704.98</v>
      </c>
      <c r="S265" s="692">
        <f t="shared" si="426"/>
        <v>813548.35</v>
      </c>
      <c r="T265" s="692">
        <f t="shared" si="426"/>
        <v>12200</v>
      </c>
      <c r="U265" s="692">
        <f t="shared" si="426"/>
        <v>232303.81999999998</v>
      </c>
      <c r="V265" s="692">
        <f t="shared" si="426"/>
        <v>358339.54999999993</v>
      </c>
      <c r="W265" s="692">
        <f t="shared" si="426"/>
        <v>210704.98</v>
      </c>
      <c r="X265" s="692">
        <f t="shared" si="426"/>
        <v>813548.35</v>
      </c>
      <c r="Y265" s="692">
        <f t="shared" si="426"/>
        <v>0</v>
      </c>
      <c r="Z265" s="692">
        <f t="shared" si="426"/>
        <v>55531.43</v>
      </c>
      <c r="AA265" s="727">
        <f t="shared" si="426"/>
        <v>0</v>
      </c>
      <c r="AB265" s="722">
        <f t="shared" si="426"/>
        <v>0</v>
      </c>
    </row>
    <row r="266" spans="1:28" s="87" customFormat="1" ht="14.1" customHeight="1" x14ac:dyDescent="0.2">
      <c r="A266" s="279" t="s">
        <v>741</v>
      </c>
      <c r="B266" s="695"/>
      <c r="C266" s="696"/>
      <c r="D266" s="697"/>
      <c r="E266" s="696"/>
      <c r="F266" s="687" t="s">
        <v>676</v>
      </c>
      <c r="G266" s="648">
        <f t="shared" ref="G266:AB266" si="427">+G268+G343</f>
        <v>869079.77999999991</v>
      </c>
      <c r="H266" s="648">
        <f t="shared" si="427"/>
        <v>0</v>
      </c>
      <c r="I266" s="648">
        <f t="shared" si="427"/>
        <v>869079.77999999991</v>
      </c>
      <c r="J266" s="648">
        <f t="shared" si="427"/>
        <v>869079.77999999991</v>
      </c>
      <c r="K266" s="648">
        <f t="shared" si="427"/>
        <v>0</v>
      </c>
      <c r="L266" s="648">
        <f t="shared" si="427"/>
        <v>0</v>
      </c>
      <c r="M266" s="648">
        <f t="shared" si="427"/>
        <v>0</v>
      </c>
      <c r="N266" s="649">
        <f t="shared" si="427"/>
        <v>869079.77999999991</v>
      </c>
      <c r="O266" s="648">
        <f t="shared" si="427"/>
        <v>12200</v>
      </c>
      <c r="P266" s="648">
        <f t="shared" si="427"/>
        <v>263263.81999999995</v>
      </c>
      <c r="Q266" s="648">
        <f t="shared" si="427"/>
        <v>327379.55000000005</v>
      </c>
      <c r="R266" s="648">
        <f t="shared" si="427"/>
        <v>210704.98</v>
      </c>
      <c r="S266" s="648">
        <f t="shared" si="427"/>
        <v>813548.35</v>
      </c>
      <c r="T266" s="648">
        <f t="shared" si="427"/>
        <v>12200</v>
      </c>
      <c r="U266" s="648">
        <f t="shared" si="427"/>
        <v>232303.81999999998</v>
      </c>
      <c r="V266" s="648">
        <f t="shared" si="427"/>
        <v>358339.54999999993</v>
      </c>
      <c r="W266" s="648">
        <f t="shared" si="427"/>
        <v>210704.98</v>
      </c>
      <c r="X266" s="648">
        <f t="shared" si="427"/>
        <v>813548.35</v>
      </c>
      <c r="Y266" s="648">
        <f t="shared" si="427"/>
        <v>0</v>
      </c>
      <c r="Z266" s="648">
        <f t="shared" si="427"/>
        <v>55531.43</v>
      </c>
      <c r="AA266" s="725">
        <f t="shared" si="427"/>
        <v>0</v>
      </c>
      <c r="AB266" s="720">
        <f t="shared" si="427"/>
        <v>0</v>
      </c>
    </row>
    <row r="267" spans="1:28" s="287" customFormat="1" ht="14.1" customHeight="1" x14ac:dyDescent="0.2">
      <c r="A267" s="313"/>
      <c r="B267" s="698"/>
      <c r="D267" s="286"/>
      <c r="F267" s="675"/>
      <c r="G267" s="699"/>
      <c r="H267" s="699"/>
      <c r="I267" s="699"/>
      <c r="J267" s="699"/>
      <c r="K267" s="699"/>
      <c r="L267" s="699"/>
      <c r="M267" s="699"/>
      <c r="N267" s="700"/>
      <c r="O267" s="699"/>
      <c r="P267" s="699"/>
      <c r="Q267" s="699"/>
      <c r="R267" s="701"/>
      <c r="S267" s="701"/>
      <c r="T267" s="701"/>
      <c r="U267" s="701"/>
      <c r="V267" s="701"/>
      <c r="W267" s="701"/>
      <c r="X267" s="701"/>
      <c r="Y267" s="701"/>
      <c r="Z267" s="701"/>
      <c r="AA267" s="728"/>
      <c r="AB267" s="702"/>
    </row>
    <row r="268" spans="1:28" s="669" customFormat="1" ht="14.1" customHeight="1" x14ac:dyDescent="0.2">
      <c r="A268" s="356"/>
      <c r="B268" s="357" t="s">
        <v>316</v>
      </c>
      <c r="C268" s="358"/>
      <c r="D268" s="358"/>
      <c r="E268" s="358"/>
      <c r="F268" s="668"/>
      <c r="G268" s="654">
        <f>SUM(G270:G341)</f>
        <v>869079.77999999991</v>
      </c>
      <c r="H268" s="654">
        <f>SUM(H270:H341)</f>
        <v>0</v>
      </c>
      <c r="I268" s="654">
        <f t="shared" ref="I268:AB268" si="428">SUM(I270:I341)</f>
        <v>869079.77999999991</v>
      </c>
      <c r="J268" s="654">
        <f t="shared" si="428"/>
        <v>869079.77999999991</v>
      </c>
      <c r="K268" s="654">
        <f t="shared" si="428"/>
        <v>0</v>
      </c>
      <c r="L268" s="654">
        <f t="shared" si="428"/>
        <v>0</v>
      </c>
      <c r="M268" s="654">
        <f t="shared" si="428"/>
        <v>0</v>
      </c>
      <c r="N268" s="655">
        <f t="shared" si="428"/>
        <v>869079.77999999991</v>
      </c>
      <c r="O268" s="654">
        <f t="shared" si="428"/>
        <v>12200</v>
      </c>
      <c r="P268" s="654">
        <f t="shared" si="428"/>
        <v>263263.81999999995</v>
      </c>
      <c r="Q268" s="654">
        <f t="shared" si="428"/>
        <v>327379.55000000005</v>
      </c>
      <c r="R268" s="654">
        <f t="shared" si="428"/>
        <v>210704.98</v>
      </c>
      <c r="S268" s="654">
        <f t="shared" si="428"/>
        <v>813548.35</v>
      </c>
      <c r="T268" s="654">
        <f t="shared" si="428"/>
        <v>12200</v>
      </c>
      <c r="U268" s="654">
        <f t="shared" si="428"/>
        <v>232303.81999999998</v>
      </c>
      <c r="V268" s="654">
        <f t="shared" si="428"/>
        <v>358339.54999999993</v>
      </c>
      <c r="W268" s="654">
        <f t="shared" si="428"/>
        <v>210704.98</v>
      </c>
      <c r="X268" s="654">
        <f t="shared" si="428"/>
        <v>813548.35</v>
      </c>
      <c r="Y268" s="654">
        <f t="shared" si="428"/>
        <v>0</v>
      </c>
      <c r="Z268" s="654">
        <f t="shared" si="428"/>
        <v>55531.43</v>
      </c>
      <c r="AA268" s="724">
        <f t="shared" si="428"/>
        <v>0</v>
      </c>
      <c r="AB268" s="719">
        <f t="shared" si="428"/>
        <v>0</v>
      </c>
    </row>
    <row r="269" spans="1:28" s="90" customFormat="1" ht="14.1" customHeight="1" x14ac:dyDescent="0.2">
      <c r="A269" s="301"/>
      <c r="B269" s="348" t="s">
        <v>317</v>
      </c>
      <c r="C269" s="608"/>
      <c r="D269" s="608"/>
      <c r="E269" s="608"/>
      <c r="F269" s="370"/>
      <c r="G269" s="664"/>
      <c r="H269" s="664"/>
      <c r="I269" s="664"/>
      <c r="J269" s="664"/>
      <c r="K269" s="664"/>
      <c r="L269" s="664"/>
      <c r="M269" s="664"/>
      <c r="N269" s="665"/>
      <c r="O269" s="664"/>
      <c r="P269" s="664"/>
      <c r="Q269" s="664"/>
      <c r="R269" s="664"/>
      <c r="S269" s="666"/>
      <c r="T269" s="664"/>
      <c r="U269" s="664"/>
      <c r="V269" s="664"/>
      <c r="W269" s="664"/>
      <c r="X269" s="666"/>
      <c r="Y269" s="666"/>
      <c r="Z269" s="666"/>
      <c r="AA269" s="666"/>
      <c r="AB269" s="667"/>
    </row>
    <row r="270" spans="1:28" s="90" customFormat="1" ht="14.1" customHeight="1" x14ac:dyDescent="0.2">
      <c r="A270" s="301"/>
      <c r="B270" s="350" t="s">
        <v>318</v>
      </c>
      <c r="C270" s="608"/>
      <c r="D270" s="608"/>
      <c r="E270" s="608"/>
      <c r="F270" s="370" t="s">
        <v>319</v>
      </c>
      <c r="G270" s="681">
        <f>'far 1 a(for internal use only)'!G738</f>
        <v>80853.78</v>
      </c>
      <c r="H270" s="681">
        <f>'far 1 a(for internal use only)'!H738</f>
        <v>0</v>
      </c>
      <c r="I270" s="660">
        <f t="shared" ref="I270:I271" si="429">G270+H270</f>
        <v>80853.78</v>
      </c>
      <c r="J270" s="660">
        <f t="shared" ref="J270:J271" si="430">I270</f>
        <v>80853.78</v>
      </c>
      <c r="K270" s="681">
        <f>'far 1 a(for internal use only)'!K738</f>
        <v>0</v>
      </c>
      <c r="L270" s="681">
        <f>'far 1 a(for internal use only)'!L738</f>
        <v>0</v>
      </c>
      <c r="M270" s="681">
        <f>'far 1 a(for internal use only)'!M738</f>
        <v>0</v>
      </c>
      <c r="N270" s="661">
        <f t="shared" ref="N270:N271" si="431">J270+K270-L270+M270</f>
        <v>80853.78</v>
      </c>
      <c r="O270" s="681">
        <f>'far 1 a(for internal use only)'!O738</f>
        <v>0</v>
      </c>
      <c r="P270" s="681">
        <f>'far 1 a(for internal use only)'!P738</f>
        <v>80853.78</v>
      </c>
      <c r="Q270" s="681">
        <f>'far 1 a(for internal use only)'!Q738</f>
        <v>0</v>
      </c>
      <c r="R270" s="681">
        <f>'far 1 a(for internal use only)'!R738</f>
        <v>0</v>
      </c>
      <c r="S270" s="662">
        <f t="shared" ref="S270:S271" si="432">SUM(O270:R270)</f>
        <v>80853.78</v>
      </c>
      <c r="T270" s="681">
        <f>'far 1 a(for internal use only)'!T738</f>
        <v>0</v>
      </c>
      <c r="U270" s="681">
        <f>'far 1 a(for internal use only)'!U738</f>
        <v>80853.78</v>
      </c>
      <c r="V270" s="681">
        <f>'far 1 a(for internal use only)'!V738</f>
        <v>0</v>
      </c>
      <c r="W270" s="681">
        <f>'far 1 a(for internal use only)'!W738</f>
        <v>0</v>
      </c>
      <c r="X270" s="662">
        <f t="shared" ref="X270:X271" si="433">SUM(T270:W270)</f>
        <v>80853.78</v>
      </c>
      <c r="Y270" s="662">
        <f t="shared" ref="Y270:Y271" si="434">I270-N270</f>
        <v>0</v>
      </c>
      <c r="Z270" s="662">
        <f t="shared" ref="Z270:Z271" si="435">N270-S270</f>
        <v>0</v>
      </c>
      <c r="AA270" s="682">
        <f>'far 1 a(for internal use only)'!AA738</f>
        <v>0</v>
      </c>
      <c r="AB270" s="663">
        <f t="shared" ref="AB270:AB271" si="436">+S270-X270-AA270</f>
        <v>0</v>
      </c>
    </row>
    <row r="271" spans="1:28" s="90" customFormat="1" ht="14.1" customHeight="1" x14ac:dyDescent="0.2">
      <c r="A271" s="301"/>
      <c r="B271" s="350" t="s">
        <v>320</v>
      </c>
      <c r="C271" s="608"/>
      <c r="D271" s="608"/>
      <c r="E271" s="608"/>
      <c r="F271" s="370" t="s">
        <v>321</v>
      </c>
      <c r="G271" s="681">
        <f>'far 1 a(for internal use only)'!G739</f>
        <v>0</v>
      </c>
      <c r="H271" s="681">
        <f>'far 1 a(for internal use only)'!H739</f>
        <v>0</v>
      </c>
      <c r="I271" s="660">
        <f t="shared" si="429"/>
        <v>0</v>
      </c>
      <c r="J271" s="660">
        <f t="shared" si="430"/>
        <v>0</v>
      </c>
      <c r="K271" s="681">
        <f>'far 1 a(for internal use only)'!K739</f>
        <v>0</v>
      </c>
      <c r="L271" s="681">
        <f>'far 1 a(for internal use only)'!L739</f>
        <v>0</v>
      </c>
      <c r="M271" s="681">
        <f>'far 1 a(for internal use only)'!M739</f>
        <v>0</v>
      </c>
      <c r="N271" s="661">
        <f t="shared" si="431"/>
        <v>0</v>
      </c>
      <c r="O271" s="681">
        <f>'far 1 a(for internal use only)'!O739</f>
        <v>0</v>
      </c>
      <c r="P271" s="681">
        <f>'far 1 a(for internal use only)'!P739</f>
        <v>0</v>
      </c>
      <c r="Q271" s="681">
        <f>'far 1 a(for internal use only)'!Q739</f>
        <v>0</v>
      </c>
      <c r="R271" s="681">
        <f>'far 1 a(for internal use only)'!R739</f>
        <v>0</v>
      </c>
      <c r="S271" s="662">
        <f t="shared" si="432"/>
        <v>0</v>
      </c>
      <c r="T271" s="681">
        <f>'far 1 a(for internal use only)'!T739</f>
        <v>0</v>
      </c>
      <c r="U271" s="681">
        <f>'far 1 a(for internal use only)'!U739</f>
        <v>0</v>
      </c>
      <c r="V271" s="681">
        <f>'far 1 a(for internal use only)'!V739</f>
        <v>0</v>
      </c>
      <c r="W271" s="681">
        <f>'far 1 a(for internal use only)'!W739</f>
        <v>0</v>
      </c>
      <c r="X271" s="662">
        <f t="shared" si="433"/>
        <v>0</v>
      </c>
      <c r="Y271" s="662">
        <f t="shared" si="434"/>
        <v>0</v>
      </c>
      <c r="Z271" s="662">
        <f t="shared" si="435"/>
        <v>0</v>
      </c>
      <c r="AA271" s="682">
        <f>'far 1 a(for internal use only)'!AA739</f>
        <v>0</v>
      </c>
      <c r="AB271" s="663">
        <f t="shared" si="436"/>
        <v>0</v>
      </c>
    </row>
    <row r="272" spans="1:28" s="90" customFormat="1" ht="14.1" customHeight="1" x14ac:dyDescent="0.2">
      <c r="A272" s="301"/>
      <c r="B272" s="351" t="s">
        <v>322</v>
      </c>
      <c r="C272" s="608"/>
      <c r="D272" s="608"/>
      <c r="E272" s="608"/>
      <c r="F272" s="370"/>
      <c r="G272" s="652"/>
      <c r="H272" s="652"/>
      <c r="I272" s="652"/>
      <c r="J272" s="652"/>
      <c r="K272" s="684"/>
      <c r="L272" s="684"/>
      <c r="M272" s="684"/>
      <c r="N272" s="685"/>
      <c r="O272" s="684"/>
      <c r="P272" s="684"/>
      <c r="Q272" s="684"/>
      <c r="R272" s="684"/>
      <c r="S272" s="684"/>
      <c r="T272" s="684"/>
      <c r="U272" s="684"/>
      <c r="V272" s="684"/>
      <c r="W272" s="684"/>
      <c r="X272" s="684"/>
      <c r="Y272" s="684"/>
      <c r="Z272" s="684"/>
      <c r="AA272" s="684"/>
      <c r="AB272" s="686"/>
    </row>
    <row r="273" spans="1:28" s="90" customFormat="1" ht="14.1" customHeight="1" x14ac:dyDescent="0.2">
      <c r="A273" s="301"/>
      <c r="B273" s="350" t="s">
        <v>323</v>
      </c>
      <c r="C273" s="608"/>
      <c r="D273" s="608"/>
      <c r="E273" s="608"/>
      <c r="F273" s="370" t="s">
        <v>324</v>
      </c>
      <c r="G273" s="681">
        <f>'far 1 a(for internal use only)'!G741</f>
        <v>211098.15999999997</v>
      </c>
      <c r="H273" s="681">
        <f>'far 1 a(for internal use only)'!H741</f>
        <v>0</v>
      </c>
      <c r="I273" s="660">
        <f t="shared" ref="I273:I275" si="437">G273+H273</f>
        <v>211098.15999999997</v>
      </c>
      <c r="J273" s="660">
        <f t="shared" ref="J273:J275" si="438">I273</f>
        <v>211098.15999999997</v>
      </c>
      <c r="K273" s="681">
        <f>'far 1 a(for internal use only)'!K741</f>
        <v>0</v>
      </c>
      <c r="L273" s="681">
        <f>'far 1 a(for internal use only)'!L741</f>
        <v>0</v>
      </c>
      <c r="M273" s="681">
        <f>'far 1 a(for internal use only)'!M741</f>
        <v>0</v>
      </c>
      <c r="N273" s="661">
        <f t="shared" ref="N273:N275" si="439">J273+K273-L273+M273</f>
        <v>211098.15999999997</v>
      </c>
      <c r="O273" s="681">
        <f>'far 1 a(for internal use only)'!O741</f>
        <v>2400</v>
      </c>
      <c r="P273" s="681">
        <f>'far 1 a(for internal use only)'!P741</f>
        <v>4800</v>
      </c>
      <c r="Q273" s="681">
        <f>'far 1 a(for internal use only)'!Q741</f>
        <v>42600</v>
      </c>
      <c r="R273" s="681">
        <f>'far 1 a(for internal use only)'!R741</f>
        <v>161298.16</v>
      </c>
      <c r="S273" s="662">
        <f t="shared" ref="S273:S275" si="440">SUM(O273:R273)</f>
        <v>211098.16</v>
      </c>
      <c r="T273" s="681">
        <f>'far 1 a(for internal use only)'!T741</f>
        <v>2400</v>
      </c>
      <c r="U273" s="681">
        <f>'far 1 a(for internal use only)'!U741</f>
        <v>4800</v>
      </c>
      <c r="V273" s="681">
        <f>'far 1 a(for internal use only)'!V741</f>
        <v>42600</v>
      </c>
      <c r="W273" s="681">
        <f>'far 1 a(for internal use only)'!W741</f>
        <v>161298.16</v>
      </c>
      <c r="X273" s="662">
        <f t="shared" ref="X273:X275" si="441">SUM(T273:W273)</f>
        <v>211098.16</v>
      </c>
      <c r="Y273" s="662">
        <f t="shared" ref="Y273:Y275" si="442">I273-N273</f>
        <v>0</v>
      </c>
      <c r="Z273" s="662">
        <f t="shared" ref="Z273:Z275" si="443">N273-S273</f>
        <v>0</v>
      </c>
      <c r="AA273" s="682">
        <f>'far 1 a(for internal use only)'!AA741</f>
        <v>0</v>
      </c>
      <c r="AB273" s="663">
        <f t="shared" ref="AB273:AB275" si="444">+S273-X273-AA273</f>
        <v>0</v>
      </c>
    </row>
    <row r="274" spans="1:28" s="90" customFormat="1" ht="14.1" customHeight="1" x14ac:dyDescent="0.2">
      <c r="A274" s="301"/>
      <c r="B274" s="350" t="s">
        <v>720</v>
      </c>
      <c r="C274" s="718"/>
      <c r="D274" s="718"/>
      <c r="E274" s="718"/>
      <c r="F274" s="370" t="s">
        <v>721</v>
      </c>
      <c r="G274" s="681">
        <f>'far 1 a(for internal use only)'!G742</f>
        <v>0</v>
      </c>
      <c r="H274" s="681">
        <f>'far 1 a(for internal use only)'!H742</f>
        <v>0</v>
      </c>
      <c r="I274" s="660">
        <f t="shared" ref="I274" si="445">G274+H274</f>
        <v>0</v>
      </c>
      <c r="J274" s="660">
        <f t="shared" ref="J274" si="446">I274</f>
        <v>0</v>
      </c>
      <c r="K274" s="681">
        <f>'far 1 a(for internal use only)'!K742</f>
        <v>0</v>
      </c>
      <c r="L274" s="681">
        <f>'far 1 a(for internal use only)'!L742</f>
        <v>0</v>
      </c>
      <c r="M274" s="681">
        <f>'far 1 a(for internal use only)'!M742</f>
        <v>0</v>
      </c>
      <c r="N274" s="661">
        <f t="shared" ref="N274" si="447">J274+K274-L274+M274</f>
        <v>0</v>
      </c>
      <c r="O274" s="681">
        <f>'far 1 a(for internal use only)'!O742</f>
        <v>0</v>
      </c>
      <c r="P274" s="681">
        <f>'far 1 a(for internal use only)'!P742</f>
        <v>0</v>
      </c>
      <c r="Q274" s="681">
        <f>'far 1 a(for internal use only)'!Q742</f>
        <v>0</v>
      </c>
      <c r="R274" s="681">
        <f>'far 1 a(for internal use only)'!R742</f>
        <v>0</v>
      </c>
      <c r="S274" s="662">
        <f t="shared" ref="S274" si="448">SUM(O274:R274)</f>
        <v>0</v>
      </c>
      <c r="T274" s="681">
        <f>'far 1 a(for internal use only)'!T742</f>
        <v>0</v>
      </c>
      <c r="U274" s="681">
        <f>'far 1 a(for internal use only)'!U742</f>
        <v>0</v>
      </c>
      <c r="V274" s="681">
        <f>'far 1 a(for internal use only)'!V742</f>
        <v>0</v>
      </c>
      <c r="W274" s="681">
        <f>'far 1 a(for internal use only)'!W742</f>
        <v>0</v>
      </c>
      <c r="X274" s="662">
        <f t="shared" ref="X274" si="449">SUM(T274:W274)</f>
        <v>0</v>
      </c>
      <c r="Y274" s="662">
        <f t="shared" ref="Y274" si="450">I274-N274</f>
        <v>0</v>
      </c>
      <c r="Z274" s="662">
        <f t="shared" ref="Z274" si="451">N274-S274</f>
        <v>0</v>
      </c>
      <c r="AA274" s="682">
        <f>'far 1 a(for internal use only)'!AA742</f>
        <v>0</v>
      </c>
      <c r="AB274" s="663">
        <f t="shared" ref="AB274" si="452">+S274-X274-AA274</f>
        <v>0</v>
      </c>
    </row>
    <row r="275" spans="1:28" s="90" customFormat="1" ht="14.1" customHeight="1" x14ac:dyDescent="0.2">
      <c r="A275" s="301"/>
      <c r="B275" s="350" t="s">
        <v>325</v>
      </c>
      <c r="C275" s="608"/>
      <c r="D275" s="608"/>
      <c r="E275" s="608"/>
      <c r="F275" s="370" t="s">
        <v>326</v>
      </c>
      <c r="G275" s="681">
        <f>'far 1 a(for internal use only)'!G743</f>
        <v>25576.37</v>
      </c>
      <c r="H275" s="681">
        <f>'far 1 a(for internal use only)'!H743</f>
        <v>0</v>
      </c>
      <c r="I275" s="660">
        <f t="shared" si="437"/>
        <v>25576.37</v>
      </c>
      <c r="J275" s="660">
        <f t="shared" si="438"/>
        <v>25576.37</v>
      </c>
      <c r="K275" s="681">
        <f>'far 1 a(for internal use only)'!K743</f>
        <v>0</v>
      </c>
      <c r="L275" s="681">
        <f>'far 1 a(for internal use only)'!L743</f>
        <v>0</v>
      </c>
      <c r="M275" s="681">
        <f>'far 1 a(for internal use only)'!M743</f>
        <v>0</v>
      </c>
      <c r="N275" s="661">
        <f t="shared" si="439"/>
        <v>25576.37</v>
      </c>
      <c r="O275" s="681">
        <f>'far 1 a(for internal use only)'!O743</f>
        <v>9800</v>
      </c>
      <c r="P275" s="681">
        <f>'far 1 a(for internal use only)'!P743</f>
        <v>15776.369999999999</v>
      </c>
      <c r="Q275" s="681">
        <f>'far 1 a(for internal use only)'!Q743</f>
        <v>0</v>
      </c>
      <c r="R275" s="681">
        <f>'far 1 a(for internal use only)'!R743</f>
        <v>0</v>
      </c>
      <c r="S275" s="662">
        <f t="shared" si="440"/>
        <v>25576.37</v>
      </c>
      <c r="T275" s="681">
        <f>'far 1 a(for internal use only)'!T743</f>
        <v>9800</v>
      </c>
      <c r="U275" s="681">
        <f>'far 1 a(for internal use only)'!U743</f>
        <v>15776.369999999999</v>
      </c>
      <c r="V275" s="681">
        <f>'far 1 a(for internal use only)'!V743</f>
        <v>0</v>
      </c>
      <c r="W275" s="681">
        <f>'far 1 a(for internal use only)'!W743</f>
        <v>0</v>
      </c>
      <c r="X275" s="662">
        <f t="shared" si="441"/>
        <v>25576.37</v>
      </c>
      <c r="Y275" s="662">
        <f t="shared" si="442"/>
        <v>0</v>
      </c>
      <c r="Z275" s="662">
        <f t="shared" si="443"/>
        <v>0</v>
      </c>
      <c r="AA275" s="682">
        <f>'far 1 a(for internal use only)'!AA743</f>
        <v>0</v>
      </c>
      <c r="AB275" s="663">
        <f t="shared" si="444"/>
        <v>0</v>
      </c>
    </row>
    <row r="276" spans="1:28" s="90" customFormat="1" ht="14.1" customHeight="1" x14ac:dyDescent="0.2">
      <c r="A276" s="301"/>
      <c r="B276" s="351" t="s">
        <v>327</v>
      </c>
      <c r="C276" s="608"/>
      <c r="D276" s="608"/>
      <c r="E276" s="608"/>
      <c r="F276" s="370"/>
      <c r="G276" s="652"/>
      <c r="H276" s="652"/>
      <c r="I276" s="652"/>
      <c r="J276" s="652"/>
      <c r="K276" s="684"/>
      <c r="L276" s="684"/>
      <c r="M276" s="684"/>
      <c r="N276" s="685"/>
      <c r="O276" s="684"/>
      <c r="P276" s="684"/>
      <c r="Q276" s="684"/>
      <c r="R276" s="684"/>
      <c r="S276" s="684"/>
      <c r="T276" s="684"/>
      <c r="U276" s="684"/>
      <c r="V276" s="684"/>
      <c r="W276" s="684"/>
      <c r="X276" s="684"/>
      <c r="Y276" s="684"/>
      <c r="Z276" s="684"/>
      <c r="AA276" s="684"/>
      <c r="AB276" s="686"/>
    </row>
    <row r="277" spans="1:28" s="90" customFormat="1" ht="14.1" customHeight="1" x14ac:dyDescent="0.2">
      <c r="A277" s="301"/>
      <c r="B277" s="350" t="s">
        <v>328</v>
      </c>
      <c r="C277" s="608"/>
      <c r="D277" s="608"/>
      <c r="E277" s="608"/>
      <c r="F277" s="370" t="s">
        <v>743</v>
      </c>
      <c r="G277" s="681">
        <f>'far 1 a(for internal use only)'!G745</f>
        <v>170253.25</v>
      </c>
      <c r="H277" s="681">
        <f>'far 1 a(for internal use only)'!H745</f>
        <v>0</v>
      </c>
      <c r="I277" s="660">
        <f t="shared" ref="I277:I282" si="453">G277+H277</f>
        <v>170253.25</v>
      </c>
      <c r="J277" s="660">
        <f t="shared" ref="J277:J282" si="454">I277</f>
        <v>170253.25</v>
      </c>
      <c r="K277" s="681">
        <f>'far 1 a(for internal use only)'!K745</f>
        <v>0</v>
      </c>
      <c r="L277" s="681">
        <f>'far 1 a(for internal use only)'!L745</f>
        <v>0</v>
      </c>
      <c r="M277" s="681">
        <f>'far 1 a(for internal use only)'!M745</f>
        <v>0</v>
      </c>
      <c r="N277" s="661">
        <f t="shared" ref="N277:N282" si="455">J277+K277-L277+M277</f>
        <v>170253.25</v>
      </c>
      <c r="O277" s="681">
        <f>'far 1 a(for internal use only)'!O745</f>
        <v>0</v>
      </c>
      <c r="P277" s="681">
        <f>'far 1 a(for internal use only)'!P745</f>
        <v>99587.58</v>
      </c>
      <c r="Q277" s="681">
        <f>'far 1 a(for internal use only)'!Q745</f>
        <v>70665.67</v>
      </c>
      <c r="R277" s="681">
        <f>'far 1 a(for internal use only)'!R745</f>
        <v>0</v>
      </c>
      <c r="S277" s="662">
        <f t="shared" ref="S277:S282" si="456">SUM(O277:R277)</f>
        <v>170253.25</v>
      </c>
      <c r="T277" s="681">
        <f>'far 1 a(for internal use only)'!T745</f>
        <v>0</v>
      </c>
      <c r="U277" s="681">
        <f>'far 1 a(for internal use only)'!U745</f>
        <v>68627.58</v>
      </c>
      <c r="V277" s="681">
        <f>'far 1 a(for internal use only)'!V745</f>
        <v>101625.67</v>
      </c>
      <c r="W277" s="681">
        <f>'far 1 a(for internal use only)'!W745</f>
        <v>0</v>
      </c>
      <c r="X277" s="662">
        <f t="shared" ref="X277:X282" si="457">SUM(T277:W277)</f>
        <v>170253.25</v>
      </c>
      <c r="Y277" s="662">
        <f t="shared" ref="Y277:Y282" si="458">I277-N277</f>
        <v>0</v>
      </c>
      <c r="Z277" s="662">
        <f t="shared" ref="Z277:Z282" si="459">N277-S277</f>
        <v>0</v>
      </c>
      <c r="AA277" s="682">
        <f>'far 1 a(for internal use only)'!AA745</f>
        <v>0</v>
      </c>
      <c r="AB277" s="663">
        <f t="shared" ref="AB277:AB282" si="460">+S277-X277-AA277</f>
        <v>0</v>
      </c>
    </row>
    <row r="278" spans="1:28" s="90" customFormat="1" ht="14.1" customHeight="1" x14ac:dyDescent="0.2">
      <c r="A278" s="301"/>
      <c r="B278" s="350" t="s">
        <v>330</v>
      </c>
      <c r="C278" s="608"/>
      <c r="D278" s="608"/>
      <c r="E278" s="608"/>
      <c r="F278" s="370" t="s">
        <v>331</v>
      </c>
      <c r="G278" s="681">
        <f>'far 1 a(for internal use only)'!G746</f>
        <v>0</v>
      </c>
      <c r="H278" s="681">
        <f>'far 1 a(for internal use only)'!H746</f>
        <v>0</v>
      </c>
      <c r="I278" s="660">
        <f t="shared" si="453"/>
        <v>0</v>
      </c>
      <c r="J278" s="660">
        <f t="shared" si="454"/>
        <v>0</v>
      </c>
      <c r="K278" s="681">
        <f>'far 1 a(for internal use only)'!K746</f>
        <v>0</v>
      </c>
      <c r="L278" s="681">
        <f>'far 1 a(for internal use only)'!L746</f>
        <v>0</v>
      </c>
      <c r="M278" s="681">
        <f>'far 1 a(for internal use only)'!M746</f>
        <v>0</v>
      </c>
      <c r="N278" s="661">
        <f t="shared" si="455"/>
        <v>0</v>
      </c>
      <c r="O278" s="681">
        <f>'far 1 a(for internal use only)'!O746</f>
        <v>0</v>
      </c>
      <c r="P278" s="681">
        <f>'far 1 a(for internal use only)'!P746</f>
        <v>0</v>
      </c>
      <c r="Q278" s="681">
        <f>'far 1 a(for internal use only)'!Q746</f>
        <v>0</v>
      </c>
      <c r="R278" s="681">
        <f>'far 1 a(for internal use only)'!R746</f>
        <v>0</v>
      </c>
      <c r="S278" s="662">
        <f t="shared" si="456"/>
        <v>0</v>
      </c>
      <c r="T278" s="681">
        <f>'far 1 a(for internal use only)'!T746</f>
        <v>0</v>
      </c>
      <c r="U278" s="681">
        <f>'far 1 a(for internal use only)'!U746</f>
        <v>0</v>
      </c>
      <c r="V278" s="681">
        <f>'far 1 a(for internal use only)'!V746</f>
        <v>0</v>
      </c>
      <c r="W278" s="681">
        <f>'far 1 a(for internal use only)'!W746</f>
        <v>0</v>
      </c>
      <c r="X278" s="662">
        <f t="shared" si="457"/>
        <v>0</v>
      </c>
      <c r="Y278" s="662">
        <f t="shared" si="458"/>
        <v>0</v>
      </c>
      <c r="Z278" s="662">
        <f t="shared" si="459"/>
        <v>0</v>
      </c>
      <c r="AA278" s="682">
        <f>'far 1 a(for internal use only)'!AA746</f>
        <v>0</v>
      </c>
      <c r="AB278" s="663">
        <f t="shared" si="460"/>
        <v>0</v>
      </c>
    </row>
    <row r="279" spans="1:28" s="90" customFormat="1" ht="14.1" customHeight="1" x14ac:dyDescent="0.2">
      <c r="A279" s="301"/>
      <c r="B279" s="350" t="s">
        <v>332</v>
      </c>
      <c r="C279" s="608"/>
      <c r="D279" s="608"/>
      <c r="E279" s="608"/>
      <c r="F279" s="370" t="s">
        <v>333</v>
      </c>
      <c r="G279" s="681">
        <f>'far 1 a(for internal use only)'!G747</f>
        <v>90999</v>
      </c>
      <c r="H279" s="681">
        <f>'far 1 a(for internal use only)'!H747</f>
        <v>0</v>
      </c>
      <c r="I279" s="660">
        <f t="shared" si="453"/>
        <v>90999</v>
      </c>
      <c r="J279" s="660">
        <f t="shared" si="454"/>
        <v>90999</v>
      </c>
      <c r="K279" s="681">
        <f>'far 1 a(for internal use only)'!K747</f>
        <v>0</v>
      </c>
      <c r="L279" s="681">
        <f>'far 1 a(for internal use only)'!L747</f>
        <v>0</v>
      </c>
      <c r="M279" s="681">
        <f>'far 1 a(for internal use only)'!M747</f>
        <v>0</v>
      </c>
      <c r="N279" s="661">
        <f t="shared" si="455"/>
        <v>90999</v>
      </c>
      <c r="O279" s="681">
        <f>'far 1 a(for internal use only)'!O747</f>
        <v>0</v>
      </c>
      <c r="P279" s="681">
        <f>'far 1 a(for internal use only)'!P747</f>
        <v>0</v>
      </c>
      <c r="Q279" s="681">
        <f>'far 1 a(for internal use only)'!Q747</f>
        <v>78000</v>
      </c>
      <c r="R279" s="681">
        <f>'far 1 a(for internal use only)'!R747</f>
        <v>12999</v>
      </c>
      <c r="S279" s="662">
        <f t="shared" si="456"/>
        <v>90999</v>
      </c>
      <c r="T279" s="681">
        <f>'far 1 a(for internal use only)'!T747</f>
        <v>0</v>
      </c>
      <c r="U279" s="681">
        <f>'far 1 a(for internal use only)'!U747</f>
        <v>0</v>
      </c>
      <c r="V279" s="681">
        <f>'far 1 a(for internal use only)'!V747</f>
        <v>78000</v>
      </c>
      <c r="W279" s="681">
        <f>'far 1 a(for internal use only)'!W747</f>
        <v>12999</v>
      </c>
      <c r="X279" s="662">
        <f t="shared" si="457"/>
        <v>90999</v>
      </c>
      <c r="Y279" s="662">
        <f t="shared" si="458"/>
        <v>0</v>
      </c>
      <c r="Z279" s="662">
        <f t="shared" si="459"/>
        <v>0</v>
      </c>
      <c r="AA279" s="682">
        <f>'far 1 a(for internal use only)'!AA747</f>
        <v>0</v>
      </c>
      <c r="AB279" s="663">
        <f t="shared" si="460"/>
        <v>0</v>
      </c>
    </row>
    <row r="280" spans="1:28" s="90" customFormat="1" ht="14.1" customHeight="1" x14ac:dyDescent="0.2">
      <c r="A280" s="301"/>
      <c r="B280" s="350" t="s">
        <v>334</v>
      </c>
      <c r="C280" s="608"/>
      <c r="D280" s="608"/>
      <c r="E280" s="608"/>
      <c r="F280" s="370" t="s">
        <v>335</v>
      </c>
      <c r="G280" s="681">
        <f>'far 1 a(for internal use only)'!G748</f>
        <v>0</v>
      </c>
      <c r="H280" s="681">
        <f>'far 1 a(for internal use only)'!H748</f>
        <v>0</v>
      </c>
      <c r="I280" s="660">
        <f t="shared" si="453"/>
        <v>0</v>
      </c>
      <c r="J280" s="660">
        <f t="shared" si="454"/>
        <v>0</v>
      </c>
      <c r="K280" s="681">
        <f>'far 1 a(for internal use only)'!K748</f>
        <v>0</v>
      </c>
      <c r="L280" s="681">
        <f>'far 1 a(for internal use only)'!L748</f>
        <v>0</v>
      </c>
      <c r="M280" s="681">
        <f>'far 1 a(for internal use only)'!M748</f>
        <v>0</v>
      </c>
      <c r="N280" s="661">
        <f t="shared" si="455"/>
        <v>0</v>
      </c>
      <c r="O280" s="681">
        <f>'far 1 a(for internal use only)'!O748</f>
        <v>0</v>
      </c>
      <c r="P280" s="681">
        <f>'far 1 a(for internal use only)'!P748</f>
        <v>0</v>
      </c>
      <c r="Q280" s="681">
        <f>'far 1 a(for internal use only)'!Q748</f>
        <v>0</v>
      </c>
      <c r="R280" s="681">
        <f>'far 1 a(for internal use only)'!R748</f>
        <v>0</v>
      </c>
      <c r="S280" s="662">
        <f t="shared" si="456"/>
        <v>0</v>
      </c>
      <c r="T280" s="681">
        <f>'far 1 a(for internal use only)'!T748</f>
        <v>0</v>
      </c>
      <c r="U280" s="681">
        <f>'far 1 a(for internal use only)'!U748</f>
        <v>0</v>
      </c>
      <c r="V280" s="681">
        <f>'far 1 a(for internal use only)'!V748</f>
        <v>0</v>
      </c>
      <c r="W280" s="681">
        <f>'far 1 a(for internal use only)'!W748</f>
        <v>0</v>
      </c>
      <c r="X280" s="662">
        <f t="shared" si="457"/>
        <v>0</v>
      </c>
      <c r="Y280" s="662">
        <f t="shared" si="458"/>
        <v>0</v>
      </c>
      <c r="Z280" s="662">
        <f t="shared" si="459"/>
        <v>0</v>
      </c>
      <c r="AA280" s="682">
        <f>'far 1 a(for internal use only)'!AA748</f>
        <v>0</v>
      </c>
      <c r="AB280" s="663">
        <f t="shared" si="460"/>
        <v>0</v>
      </c>
    </row>
    <row r="281" spans="1:28" s="90" customFormat="1" ht="14.1" customHeight="1" x14ac:dyDescent="0.2">
      <c r="A281" s="301"/>
      <c r="B281" s="350" t="s">
        <v>336</v>
      </c>
      <c r="C281" s="608"/>
      <c r="D281" s="608"/>
      <c r="E281" s="608"/>
      <c r="F281" s="370" t="s">
        <v>337</v>
      </c>
      <c r="G281" s="681">
        <f>'far 1 a(for internal use only)'!G749</f>
        <v>56261.74</v>
      </c>
      <c r="H281" s="681">
        <f>'far 1 a(for internal use only)'!H749</f>
        <v>0</v>
      </c>
      <c r="I281" s="660">
        <f t="shared" si="453"/>
        <v>56261.74</v>
      </c>
      <c r="J281" s="660">
        <f t="shared" si="454"/>
        <v>56261.74</v>
      </c>
      <c r="K281" s="681">
        <f>'far 1 a(for internal use only)'!K749</f>
        <v>0</v>
      </c>
      <c r="L281" s="681">
        <f>'far 1 a(for internal use only)'!L749</f>
        <v>0</v>
      </c>
      <c r="M281" s="681">
        <f>'far 1 a(for internal use only)'!M749</f>
        <v>0</v>
      </c>
      <c r="N281" s="661">
        <f t="shared" si="455"/>
        <v>56261.74</v>
      </c>
      <c r="O281" s="681">
        <f>'far 1 a(for internal use only)'!O749</f>
        <v>0</v>
      </c>
      <c r="P281" s="681">
        <f>'far 1 a(for internal use only)'!P749</f>
        <v>21000</v>
      </c>
      <c r="Q281" s="681">
        <f>'far 1 a(for internal use only)'!Q749</f>
        <v>35261.740000000005</v>
      </c>
      <c r="R281" s="681">
        <f>'far 1 a(for internal use only)'!R749</f>
        <v>0</v>
      </c>
      <c r="S281" s="662">
        <f t="shared" si="456"/>
        <v>56261.740000000005</v>
      </c>
      <c r="T281" s="681">
        <f>'far 1 a(for internal use only)'!T749</f>
        <v>0</v>
      </c>
      <c r="U281" s="681">
        <f>'far 1 a(for internal use only)'!U749</f>
        <v>21000</v>
      </c>
      <c r="V281" s="681">
        <f>'far 1 a(for internal use only)'!V749</f>
        <v>35261.740000000005</v>
      </c>
      <c r="W281" s="681">
        <f>'far 1 a(for internal use only)'!W749</f>
        <v>0</v>
      </c>
      <c r="X281" s="662">
        <f t="shared" si="457"/>
        <v>56261.740000000005</v>
      </c>
      <c r="Y281" s="662">
        <f t="shared" si="458"/>
        <v>0</v>
      </c>
      <c r="Z281" s="662">
        <f t="shared" si="459"/>
        <v>0</v>
      </c>
      <c r="AA281" s="682">
        <f>'far 1 a(for internal use only)'!AA749</f>
        <v>0</v>
      </c>
      <c r="AB281" s="663">
        <f t="shared" si="460"/>
        <v>0</v>
      </c>
    </row>
    <row r="282" spans="1:28" s="90" customFormat="1" ht="14.1" customHeight="1" x14ac:dyDescent="0.2">
      <c r="A282" s="301"/>
      <c r="B282" s="350" t="s">
        <v>338</v>
      </c>
      <c r="C282" s="608"/>
      <c r="D282" s="608"/>
      <c r="E282" s="608"/>
      <c r="F282" s="370" t="s">
        <v>339</v>
      </c>
      <c r="G282" s="681">
        <f>'far 1 a(for internal use only)'!G750</f>
        <v>0</v>
      </c>
      <c r="H282" s="681">
        <f>'far 1 a(for internal use only)'!H750</f>
        <v>0</v>
      </c>
      <c r="I282" s="660">
        <f t="shared" si="453"/>
        <v>0</v>
      </c>
      <c r="J282" s="660">
        <f t="shared" si="454"/>
        <v>0</v>
      </c>
      <c r="K282" s="681">
        <f>'far 1 a(for internal use only)'!K750</f>
        <v>0</v>
      </c>
      <c r="L282" s="681">
        <f>'far 1 a(for internal use only)'!L750</f>
        <v>0</v>
      </c>
      <c r="M282" s="681">
        <f>'far 1 a(for internal use only)'!M750</f>
        <v>0</v>
      </c>
      <c r="N282" s="661">
        <f t="shared" si="455"/>
        <v>0</v>
      </c>
      <c r="O282" s="681">
        <f>'far 1 a(for internal use only)'!O750</f>
        <v>0</v>
      </c>
      <c r="P282" s="681">
        <f>'far 1 a(for internal use only)'!P750</f>
        <v>0</v>
      </c>
      <c r="Q282" s="681">
        <f>'far 1 a(for internal use only)'!Q750</f>
        <v>0</v>
      </c>
      <c r="R282" s="681">
        <f>'far 1 a(for internal use only)'!R750</f>
        <v>0</v>
      </c>
      <c r="S282" s="662">
        <f t="shared" si="456"/>
        <v>0</v>
      </c>
      <c r="T282" s="681">
        <f>'far 1 a(for internal use only)'!T750</f>
        <v>0</v>
      </c>
      <c r="U282" s="681">
        <f>'far 1 a(for internal use only)'!U750</f>
        <v>0</v>
      </c>
      <c r="V282" s="681">
        <f>'far 1 a(for internal use only)'!V750</f>
        <v>0</v>
      </c>
      <c r="W282" s="681">
        <f>'far 1 a(for internal use only)'!W750</f>
        <v>0</v>
      </c>
      <c r="X282" s="662">
        <f t="shared" si="457"/>
        <v>0</v>
      </c>
      <c r="Y282" s="662">
        <f t="shared" si="458"/>
        <v>0</v>
      </c>
      <c r="Z282" s="662">
        <f t="shared" si="459"/>
        <v>0</v>
      </c>
      <c r="AA282" s="682">
        <f>'far 1 a(for internal use only)'!AA750</f>
        <v>0</v>
      </c>
      <c r="AB282" s="663">
        <f t="shared" si="460"/>
        <v>0</v>
      </c>
    </row>
    <row r="283" spans="1:28" s="90" customFormat="1" ht="14.1" customHeight="1" x14ac:dyDescent="0.2">
      <c r="A283" s="301"/>
      <c r="B283" s="351" t="s">
        <v>340</v>
      </c>
      <c r="C283" s="608"/>
      <c r="D283" s="608"/>
      <c r="E283" s="608"/>
      <c r="F283" s="370"/>
      <c r="G283" s="652"/>
      <c r="H283" s="652"/>
      <c r="I283" s="652"/>
      <c r="J283" s="652"/>
      <c r="K283" s="684"/>
      <c r="L283" s="684"/>
      <c r="M283" s="684"/>
      <c r="N283" s="685"/>
      <c r="O283" s="684"/>
      <c r="P283" s="684"/>
      <c r="Q283" s="684"/>
      <c r="R283" s="684"/>
      <c r="S283" s="684"/>
      <c r="T283" s="684"/>
      <c r="U283" s="684"/>
      <c r="V283" s="684"/>
      <c r="W283" s="684"/>
      <c r="X283" s="684"/>
      <c r="Y283" s="684"/>
      <c r="Z283" s="684"/>
      <c r="AA283" s="684"/>
      <c r="AB283" s="686"/>
    </row>
    <row r="284" spans="1:28" s="90" customFormat="1" ht="14.1" customHeight="1" x14ac:dyDescent="0.2">
      <c r="A284" s="301"/>
      <c r="B284" s="350" t="s">
        <v>341</v>
      </c>
      <c r="C284" s="608"/>
      <c r="D284" s="608"/>
      <c r="E284" s="608"/>
      <c r="F284" s="370" t="s">
        <v>342</v>
      </c>
      <c r="G284" s="681">
        <f>'far 1 a(for internal use only)'!G752</f>
        <v>7930.62</v>
      </c>
      <c r="H284" s="681">
        <f>'far 1 a(for internal use only)'!H752</f>
        <v>0</v>
      </c>
      <c r="I284" s="660">
        <f t="shared" ref="I284:I285" si="461">G284+H284</f>
        <v>7930.62</v>
      </c>
      <c r="J284" s="660">
        <f t="shared" ref="J284:J285" si="462">I284</f>
        <v>7930.62</v>
      </c>
      <c r="K284" s="681">
        <f>'far 1 a(for internal use only)'!K752</f>
        <v>0</v>
      </c>
      <c r="L284" s="681">
        <f>'far 1 a(for internal use only)'!L752</f>
        <v>0</v>
      </c>
      <c r="M284" s="681">
        <f>'far 1 a(for internal use only)'!M752</f>
        <v>0</v>
      </c>
      <c r="N284" s="661">
        <f t="shared" ref="N284:N285" si="463">J284+K284-L284+M284</f>
        <v>7930.62</v>
      </c>
      <c r="O284" s="681">
        <f>'far 1 a(for internal use only)'!O752</f>
        <v>0</v>
      </c>
      <c r="P284" s="681">
        <f>'far 1 a(for internal use only)'!P752</f>
        <v>4622.13</v>
      </c>
      <c r="Q284" s="681">
        <f>'far 1 a(for internal use only)'!Q752</f>
        <v>3308.49</v>
      </c>
      <c r="R284" s="681">
        <f>'far 1 a(for internal use only)'!R752</f>
        <v>0</v>
      </c>
      <c r="S284" s="662">
        <f t="shared" ref="S284:S285" si="464">SUM(O284:R284)</f>
        <v>7930.62</v>
      </c>
      <c r="T284" s="681">
        <f>'far 1 a(for internal use only)'!T752</f>
        <v>0</v>
      </c>
      <c r="U284" s="681">
        <f>'far 1 a(for internal use only)'!U752</f>
        <v>4622.13</v>
      </c>
      <c r="V284" s="681">
        <f>'far 1 a(for internal use only)'!V752</f>
        <v>3308.49</v>
      </c>
      <c r="W284" s="681">
        <f>'far 1 a(for internal use only)'!W752</f>
        <v>0</v>
      </c>
      <c r="X284" s="662">
        <f t="shared" ref="X284:X285" si="465">SUM(T284:W284)</f>
        <v>7930.62</v>
      </c>
      <c r="Y284" s="662">
        <f t="shared" ref="Y284:Y285" si="466">I284-N284</f>
        <v>0</v>
      </c>
      <c r="Z284" s="662">
        <f t="shared" ref="Z284:Z285" si="467">N284-S284</f>
        <v>0</v>
      </c>
      <c r="AA284" s="682">
        <f>'far 1 a(for internal use only)'!AA752</f>
        <v>0</v>
      </c>
      <c r="AB284" s="663">
        <f t="shared" ref="AB284:AB285" si="468">+S284-X284-AA284</f>
        <v>0</v>
      </c>
    </row>
    <row r="285" spans="1:28" s="90" customFormat="1" ht="14.1" customHeight="1" x14ac:dyDescent="0.2">
      <c r="A285" s="301"/>
      <c r="B285" s="350" t="s">
        <v>343</v>
      </c>
      <c r="C285" s="608"/>
      <c r="D285" s="608"/>
      <c r="E285" s="608"/>
      <c r="F285" s="370" t="s">
        <v>344</v>
      </c>
      <c r="G285" s="681">
        <f>'far 1 a(for internal use only)'!G753</f>
        <v>0</v>
      </c>
      <c r="H285" s="681">
        <f>'far 1 a(for internal use only)'!H753</f>
        <v>0</v>
      </c>
      <c r="I285" s="660">
        <f t="shared" si="461"/>
        <v>0</v>
      </c>
      <c r="J285" s="660">
        <f t="shared" si="462"/>
        <v>0</v>
      </c>
      <c r="K285" s="681">
        <f>'far 1 a(for internal use only)'!K753</f>
        <v>0</v>
      </c>
      <c r="L285" s="681">
        <f>'far 1 a(for internal use only)'!L753</f>
        <v>0</v>
      </c>
      <c r="M285" s="681">
        <f>'far 1 a(for internal use only)'!M753</f>
        <v>0</v>
      </c>
      <c r="N285" s="661">
        <f t="shared" si="463"/>
        <v>0</v>
      </c>
      <c r="O285" s="681">
        <f>'far 1 a(for internal use only)'!O753</f>
        <v>0</v>
      </c>
      <c r="P285" s="681">
        <f>'far 1 a(for internal use only)'!P753</f>
        <v>0</v>
      </c>
      <c r="Q285" s="681">
        <f>'far 1 a(for internal use only)'!Q753</f>
        <v>0</v>
      </c>
      <c r="R285" s="681">
        <f>'far 1 a(for internal use only)'!R753</f>
        <v>0</v>
      </c>
      <c r="S285" s="662">
        <f t="shared" si="464"/>
        <v>0</v>
      </c>
      <c r="T285" s="681">
        <f>'far 1 a(for internal use only)'!T753</f>
        <v>0</v>
      </c>
      <c r="U285" s="681">
        <f>'far 1 a(for internal use only)'!U753</f>
        <v>0</v>
      </c>
      <c r="V285" s="681">
        <f>'far 1 a(for internal use only)'!V753</f>
        <v>0</v>
      </c>
      <c r="W285" s="681">
        <f>'far 1 a(for internal use only)'!W753</f>
        <v>0</v>
      </c>
      <c r="X285" s="662">
        <f t="shared" si="465"/>
        <v>0</v>
      </c>
      <c r="Y285" s="662">
        <f t="shared" si="466"/>
        <v>0</v>
      </c>
      <c r="Z285" s="662">
        <f t="shared" si="467"/>
        <v>0</v>
      </c>
      <c r="AA285" s="682">
        <f>'far 1 a(for internal use only)'!AA753</f>
        <v>0</v>
      </c>
      <c r="AB285" s="663">
        <f t="shared" si="468"/>
        <v>0</v>
      </c>
    </row>
    <row r="286" spans="1:28" s="90" customFormat="1" ht="14.1" customHeight="1" x14ac:dyDescent="0.2">
      <c r="A286" s="301"/>
      <c r="B286" s="351" t="s">
        <v>345</v>
      </c>
      <c r="C286" s="608"/>
      <c r="D286" s="608"/>
      <c r="E286" s="608"/>
      <c r="F286" s="370"/>
      <c r="G286" s="652"/>
      <c r="H286" s="652"/>
      <c r="I286" s="652"/>
      <c r="J286" s="652"/>
      <c r="K286" s="684"/>
      <c r="L286" s="684"/>
      <c r="M286" s="684"/>
      <c r="N286" s="685"/>
      <c r="O286" s="684"/>
      <c r="P286" s="684"/>
      <c r="Q286" s="684"/>
      <c r="R286" s="684"/>
      <c r="S286" s="684"/>
      <c r="T286" s="684"/>
      <c r="U286" s="684"/>
      <c r="V286" s="684"/>
      <c r="W286" s="684"/>
      <c r="X286" s="684"/>
      <c r="Y286" s="684"/>
      <c r="Z286" s="684"/>
      <c r="AA286" s="684"/>
      <c r="AB286" s="686"/>
    </row>
    <row r="287" spans="1:28" s="90" customFormat="1" ht="14.1" customHeight="1" x14ac:dyDescent="0.2">
      <c r="A287" s="301"/>
      <c r="B287" s="350" t="s">
        <v>346</v>
      </c>
      <c r="C287" s="608"/>
      <c r="D287" s="608"/>
      <c r="E287" s="608"/>
      <c r="F287" s="370" t="s">
        <v>347</v>
      </c>
      <c r="G287" s="681">
        <f>'far 1 a(for internal use only)'!G755</f>
        <v>5508.2</v>
      </c>
      <c r="H287" s="681">
        <f>'far 1 a(for internal use only)'!H755</f>
        <v>0</v>
      </c>
      <c r="I287" s="660">
        <f t="shared" ref="I287:I291" si="469">G287+H287</f>
        <v>5508.2</v>
      </c>
      <c r="J287" s="660">
        <f t="shared" ref="J287:J291" si="470">I287</f>
        <v>5508.2</v>
      </c>
      <c r="K287" s="681">
        <f>'far 1 a(for internal use only)'!K755</f>
        <v>0</v>
      </c>
      <c r="L287" s="681">
        <f>'far 1 a(for internal use only)'!L755</f>
        <v>0</v>
      </c>
      <c r="M287" s="681">
        <f>'far 1 a(for internal use only)'!M755</f>
        <v>0</v>
      </c>
      <c r="N287" s="661">
        <f t="shared" ref="N287:N291" si="471">J287+K287-L287+M287</f>
        <v>5508.2</v>
      </c>
      <c r="O287" s="681">
        <f>'far 1 a(for internal use only)'!O755</f>
        <v>0</v>
      </c>
      <c r="P287" s="681">
        <f>'far 1 a(for internal use only)'!P755</f>
        <v>3940</v>
      </c>
      <c r="Q287" s="681">
        <f>'far 1 a(for internal use only)'!Q755</f>
        <v>1568.2</v>
      </c>
      <c r="R287" s="681">
        <f>'far 1 a(for internal use only)'!R755</f>
        <v>0</v>
      </c>
      <c r="S287" s="662">
        <f t="shared" ref="S287:S291" si="472">SUM(O287:R287)</f>
        <v>5508.2</v>
      </c>
      <c r="T287" s="681">
        <f>'far 1 a(for internal use only)'!T755</f>
        <v>0</v>
      </c>
      <c r="U287" s="681">
        <f>'far 1 a(for internal use only)'!U755</f>
        <v>3940</v>
      </c>
      <c r="V287" s="681">
        <f>'far 1 a(for internal use only)'!V755</f>
        <v>1568.2</v>
      </c>
      <c r="W287" s="681">
        <f>'far 1 a(for internal use only)'!W755</f>
        <v>0</v>
      </c>
      <c r="X287" s="662">
        <f t="shared" ref="X287:X291" si="473">SUM(T287:W287)</f>
        <v>5508.2</v>
      </c>
      <c r="Y287" s="662">
        <f t="shared" ref="Y287:Y291" si="474">I287-N287</f>
        <v>0</v>
      </c>
      <c r="Z287" s="662">
        <f t="shared" ref="Z287:Z291" si="475">N287-S287</f>
        <v>0</v>
      </c>
      <c r="AA287" s="682">
        <f>'far 1 a(for internal use only)'!AA755</f>
        <v>0</v>
      </c>
      <c r="AB287" s="663">
        <f t="shared" ref="AB287:AB291" si="476">+S287-X287-AA287</f>
        <v>0</v>
      </c>
    </row>
    <row r="288" spans="1:28" s="90" customFormat="1" ht="14.1" customHeight="1" x14ac:dyDescent="0.2">
      <c r="A288" s="301"/>
      <c r="B288" s="350" t="s">
        <v>348</v>
      </c>
      <c r="C288" s="608"/>
      <c r="D288" s="608"/>
      <c r="E288" s="608"/>
      <c r="F288" s="370" t="s">
        <v>349</v>
      </c>
      <c r="G288" s="681">
        <f>'far 1 a(for internal use only)'!G756</f>
        <v>6100</v>
      </c>
      <c r="H288" s="681">
        <f>'far 1 a(for internal use only)'!H756</f>
        <v>0</v>
      </c>
      <c r="I288" s="660">
        <f t="shared" si="469"/>
        <v>6100</v>
      </c>
      <c r="J288" s="660">
        <f t="shared" si="470"/>
        <v>6100</v>
      </c>
      <c r="K288" s="681">
        <f>'far 1 a(for internal use only)'!K756</f>
        <v>0</v>
      </c>
      <c r="L288" s="681">
        <f>'far 1 a(for internal use only)'!L756</f>
        <v>0</v>
      </c>
      <c r="M288" s="681">
        <f>'far 1 a(for internal use only)'!M756</f>
        <v>0</v>
      </c>
      <c r="N288" s="661">
        <f t="shared" si="471"/>
        <v>6100</v>
      </c>
      <c r="O288" s="681">
        <f>'far 1 a(for internal use only)'!O756</f>
        <v>0</v>
      </c>
      <c r="P288" s="681">
        <f>'far 1 a(for internal use only)'!P756</f>
        <v>6100</v>
      </c>
      <c r="Q288" s="681">
        <f>'far 1 a(for internal use only)'!Q756</f>
        <v>0</v>
      </c>
      <c r="R288" s="681">
        <f>'far 1 a(for internal use only)'!R756</f>
        <v>0</v>
      </c>
      <c r="S288" s="662">
        <f t="shared" si="472"/>
        <v>6100</v>
      </c>
      <c r="T288" s="681">
        <f>'far 1 a(for internal use only)'!T756</f>
        <v>0</v>
      </c>
      <c r="U288" s="681">
        <f>'far 1 a(for internal use only)'!U756</f>
        <v>6100</v>
      </c>
      <c r="V288" s="681">
        <f>'far 1 a(for internal use only)'!V756</f>
        <v>0</v>
      </c>
      <c r="W288" s="681">
        <f>'far 1 a(for internal use only)'!W756</f>
        <v>0</v>
      </c>
      <c r="X288" s="662">
        <f t="shared" si="473"/>
        <v>6100</v>
      </c>
      <c r="Y288" s="662">
        <f t="shared" si="474"/>
        <v>0</v>
      </c>
      <c r="Z288" s="662">
        <f t="shared" si="475"/>
        <v>0</v>
      </c>
      <c r="AA288" s="682">
        <f>'far 1 a(for internal use only)'!AA756</f>
        <v>0</v>
      </c>
      <c r="AB288" s="663">
        <f t="shared" si="476"/>
        <v>0</v>
      </c>
    </row>
    <row r="289" spans="1:28" s="90" customFormat="1" ht="14.1" customHeight="1" x14ac:dyDescent="0.2">
      <c r="A289" s="301"/>
      <c r="B289" s="350" t="s">
        <v>350</v>
      </c>
      <c r="C289" s="608"/>
      <c r="D289" s="608"/>
      <c r="E289" s="608"/>
      <c r="F289" s="370" t="s">
        <v>351</v>
      </c>
      <c r="G289" s="681">
        <f>'far 1 a(for internal use only)'!G757</f>
        <v>7163.96</v>
      </c>
      <c r="H289" s="681">
        <f>'far 1 a(for internal use only)'!H757</f>
        <v>0</v>
      </c>
      <c r="I289" s="660">
        <f t="shared" si="469"/>
        <v>7163.96</v>
      </c>
      <c r="J289" s="660">
        <f t="shared" si="470"/>
        <v>7163.96</v>
      </c>
      <c r="K289" s="681">
        <f>'far 1 a(for internal use only)'!K757</f>
        <v>0</v>
      </c>
      <c r="L289" s="681">
        <f>'far 1 a(for internal use only)'!L757</f>
        <v>0</v>
      </c>
      <c r="M289" s="681">
        <f>'far 1 a(for internal use only)'!M757</f>
        <v>0</v>
      </c>
      <c r="N289" s="661">
        <f t="shared" si="471"/>
        <v>7163.96</v>
      </c>
      <c r="O289" s="681">
        <f>'far 1 a(for internal use only)'!O757</f>
        <v>0</v>
      </c>
      <c r="P289" s="681">
        <f>'far 1 a(for internal use only)'!P757</f>
        <v>7163.9599999999991</v>
      </c>
      <c r="Q289" s="681">
        <f>'far 1 a(for internal use only)'!Q757</f>
        <v>0</v>
      </c>
      <c r="R289" s="681">
        <f>'far 1 a(for internal use only)'!R757</f>
        <v>0</v>
      </c>
      <c r="S289" s="662">
        <f t="shared" si="472"/>
        <v>7163.9599999999991</v>
      </c>
      <c r="T289" s="681">
        <f>'far 1 a(for internal use only)'!T757</f>
        <v>0</v>
      </c>
      <c r="U289" s="681">
        <f>'far 1 a(for internal use only)'!U757</f>
        <v>7163.9599999999991</v>
      </c>
      <c r="V289" s="681">
        <f>'far 1 a(for internal use only)'!V757</f>
        <v>0</v>
      </c>
      <c r="W289" s="681">
        <f>'far 1 a(for internal use only)'!W757</f>
        <v>0</v>
      </c>
      <c r="X289" s="662">
        <f t="shared" si="473"/>
        <v>7163.9599999999991</v>
      </c>
      <c r="Y289" s="662">
        <f t="shared" si="474"/>
        <v>0</v>
      </c>
      <c r="Z289" s="662">
        <f t="shared" si="475"/>
        <v>0</v>
      </c>
      <c r="AA289" s="682">
        <f>'far 1 a(for internal use only)'!AA757</f>
        <v>0</v>
      </c>
      <c r="AB289" s="663">
        <f t="shared" si="476"/>
        <v>0</v>
      </c>
    </row>
    <row r="290" spans="1:28" s="90" customFormat="1" ht="14.1" customHeight="1" x14ac:dyDescent="0.2">
      <c r="A290" s="301"/>
      <c r="B290" s="350" t="s">
        <v>352</v>
      </c>
      <c r="C290" s="608"/>
      <c r="D290" s="608"/>
      <c r="E290" s="608"/>
      <c r="F290" s="370" t="s">
        <v>353</v>
      </c>
      <c r="G290" s="681">
        <f>'far 1 a(for internal use only)'!G758</f>
        <v>0</v>
      </c>
      <c r="H290" s="681">
        <f>'far 1 a(for internal use only)'!H758</f>
        <v>0</v>
      </c>
      <c r="I290" s="660">
        <f t="shared" si="469"/>
        <v>0</v>
      </c>
      <c r="J290" s="660">
        <f t="shared" si="470"/>
        <v>0</v>
      </c>
      <c r="K290" s="681">
        <f>'far 1 a(for internal use only)'!K758</f>
        <v>0</v>
      </c>
      <c r="L290" s="681">
        <f>'far 1 a(for internal use only)'!L758</f>
        <v>0</v>
      </c>
      <c r="M290" s="681">
        <f>'far 1 a(for internal use only)'!M758</f>
        <v>0</v>
      </c>
      <c r="N290" s="661">
        <f t="shared" si="471"/>
        <v>0</v>
      </c>
      <c r="O290" s="681">
        <f>'far 1 a(for internal use only)'!O758</f>
        <v>0</v>
      </c>
      <c r="P290" s="681">
        <f>'far 1 a(for internal use only)'!P758</f>
        <v>0</v>
      </c>
      <c r="Q290" s="681">
        <f>'far 1 a(for internal use only)'!Q758</f>
        <v>0</v>
      </c>
      <c r="R290" s="681">
        <f>'far 1 a(for internal use only)'!R758</f>
        <v>0</v>
      </c>
      <c r="S290" s="662">
        <f t="shared" si="472"/>
        <v>0</v>
      </c>
      <c r="T290" s="681">
        <f>'far 1 a(for internal use only)'!T758</f>
        <v>0</v>
      </c>
      <c r="U290" s="681">
        <f>'far 1 a(for internal use only)'!U758</f>
        <v>0</v>
      </c>
      <c r="V290" s="681">
        <f>'far 1 a(for internal use only)'!V758</f>
        <v>0</v>
      </c>
      <c r="W290" s="681">
        <f>'far 1 a(for internal use only)'!W758</f>
        <v>0</v>
      </c>
      <c r="X290" s="662">
        <f t="shared" si="473"/>
        <v>0</v>
      </c>
      <c r="Y290" s="662">
        <f t="shared" si="474"/>
        <v>0</v>
      </c>
      <c r="Z290" s="662">
        <f t="shared" si="475"/>
        <v>0</v>
      </c>
      <c r="AA290" s="682">
        <f>'far 1 a(for internal use only)'!AA758</f>
        <v>0</v>
      </c>
      <c r="AB290" s="663">
        <f t="shared" si="476"/>
        <v>0</v>
      </c>
    </row>
    <row r="291" spans="1:28" s="90" customFormat="1" ht="14.1" hidden="1" customHeight="1" x14ac:dyDescent="0.2">
      <c r="A291" s="301"/>
      <c r="B291" s="350" t="s">
        <v>354</v>
      </c>
      <c r="C291" s="608"/>
      <c r="D291" s="608"/>
      <c r="E291" s="608"/>
      <c r="F291" s="370" t="s">
        <v>355</v>
      </c>
      <c r="G291" s="681">
        <f>'far 1 a(for internal use only)'!G759</f>
        <v>0</v>
      </c>
      <c r="H291" s="681">
        <f>'far 1 a(for internal use only)'!H759</f>
        <v>0</v>
      </c>
      <c r="I291" s="660">
        <f t="shared" si="469"/>
        <v>0</v>
      </c>
      <c r="J291" s="660">
        <f t="shared" si="470"/>
        <v>0</v>
      </c>
      <c r="K291" s="681">
        <f>'far 1 a(for internal use only)'!K759</f>
        <v>0</v>
      </c>
      <c r="L291" s="681">
        <f>'far 1 a(for internal use only)'!L759</f>
        <v>0</v>
      </c>
      <c r="M291" s="681">
        <f>'far 1 a(for internal use only)'!M759</f>
        <v>0</v>
      </c>
      <c r="N291" s="661">
        <f t="shared" si="471"/>
        <v>0</v>
      </c>
      <c r="O291" s="681">
        <f>'far 1 a(for internal use only)'!O759</f>
        <v>0</v>
      </c>
      <c r="P291" s="681">
        <f>'far 1 a(for internal use only)'!P759</f>
        <v>0</v>
      </c>
      <c r="Q291" s="681">
        <f>'far 1 a(for internal use only)'!Q759</f>
        <v>0</v>
      </c>
      <c r="R291" s="681">
        <f>'far 1 a(for internal use only)'!R759</f>
        <v>0</v>
      </c>
      <c r="S291" s="662">
        <f t="shared" si="472"/>
        <v>0</v>
      </c>
      <c r="T291" s="681">
        <f>'far 1 a(for internal use only)'!T759</f>
        <v>0</v>
      </c>
      <c r="U291" s="681">
        <f>'far 1 a(for internal use only)'!U759</f>
        <v>0</v>
      </c>
      <c r="V291" s="681">
        <f>'far 1 a(for internal use only)'!V759</f>
        <v>0</v>
      </c>
      <c r="W291" s="681">
        <f>'far 1 a(for internal use only)'!W759</f>
        <v>0</v>
      </c>
      <c r="X291" s="662">
        <f t="shared" si="473"/>
        <v>0</v>
      </c>
      <c r="Y291" s="662">
        <f t="shared" si="474"/>
        <v>0</v>
      </c>
      <c r="Z291" s="662">
        <f t="shared" si="475"/>
        <v>0</v>
      </c>
      <c r="AA291" s="682">
        <f>'far 1 a(for internal use only)'!AA759</f>
        <v>0</v>
      </c>
      <c r="AB291" s="663">
        <f t="shared" si="476"/>
        <v>0</v>
      </c>
    </row>
    <row r="292" spans="1:28" s="90" customFormat="1" ht="14.1" hidden="1" customHeight="1" x14ac:dyDescent="0.2">
      <c r="A292" s="301"/>
      <c r="B292" s="351" t="s">
        <v>356</v>
      </c>
      <c r="C292" s="608"/>
      <c r="D292" s="608"/>
      <c r="E292" s="608"/>
      <c r="F292" s="370"/>
      <c r="G292" s="652"/>
      <c r="H292" s="652"/>
      <c r="I292" s="652"/>
      <c r="J292" s="652"/>
      <c r="K292" s="684"/>
      <c r="L292" s="684"/>
      <c r="M292" s="684"/>
      <c r="N292" s="685"/>
      <c r="O292" s="684"/>
      <c r="P292" s="684"/>
      <c r="Q292" s="684"/>
      <c r="R292" s="684"/>
      <c r="S292" s="684"/>
      <c r="T292" s="684"/>
      <c r="U292" s="684"/>
      <c r="V292" s="684"/>
      <c r="W292" s="684"/>
      <c r="X292" s="684"/>
      <c r="Y292" s="684"/>
      <c r="Z292" s="684"/>
      <c r="AA292" s="684"/>
      <c r="AB292" s="686"/>
    </row>
    <row r="293" spans="1:28" s="90" customFormat="1" ht="14.1" hidden="1" customHeight="1" x14ac:dyDescent="0.2">
      <c r="A293" s="301"/>
      <c r="B293" s="350" t="s">
        <v>357</v>
      </c>
      <c r="C293" s="608"/>
      <c r="D293" s="608"/>
      <c r="E293" s="608"/>
      <c r="F293" s="370" t="s">
        <v>358</v>
      </c>
      <c r="G293" s="681">
        <f>'far 1 a(for internal use only)'!G761</f>
        <v>0</v>
      </c>
      <c r="H293" s="681">
        <f>'far 1 a(for internal use only)'!H761</f>
        <v>0</v>
      </c>
      <c r="I293" s="660">
        <f t="shared" ref="I293" si="477">G293+H293</f>
        <v>0</v>
      </c>
      <c r="J293" s="660">
        <f t="shared" ref="J293" si="478">I293</f>
        <v>0</v>
      </c>
      <c r="K293" s="681">
        <f>'far 1 a(for internal use only)'!K761</f>
        <v>0</v>
      </c>
      <c r="L293" s="681">
        <f>'far 1 a(for internal use only)'!L761</f>
        <v>0</v>
      </c>
      <c r="M293" s="681">
        <f>'far 1 a(for internal use only)'!M761</f>
        <v>0</v>
      </c>
      <c r="N293" s="661">
        <f>J293+K293-L293+M293</f>
        <v>0</v>
      </c>
      <c r="O293" s="681">
        <f>'far 1 a(for internal use only)'!O761</f>
        <v>0</v>
      </c>
      <c r="P293" s="681">
        <f>'far 1 a(for internal use only)'!P761</f>
        <v>0</v>
      </c>
      <c r="Q293" s="681">
        <f>'far 1 a(for internal use only)'!Q761</f>
        <v>0</v>
      </c>
      <c r="R293" s="681">
        <f>'far 1 a(for internal use only)'!R761</f>
        <v>0</v>
      </c>
      <c r="S293" s="662">
        <f t="shared" ref="S293" si="479">SUM(O293:R293)</f>
        <v>0</v>
      </c>
      <c r="T293" s="681">
        <f>'far 1 a(for internal use only)'!T761</f>
        <v>0</v>
      </c>
      <c r="U293" s="681">
        <f>'far 1 a(for internal use only)'!U761</f>
        <v>0</v>
      </c>
      <c r="V293" s="681">
        <f>'far 1 a(for internal use only)'!V761</f>
        <v>0</v>
      </c>
      <c r="W293" s="681">
        <f>'far 1 a(for internal use only)'!W761</f>
        <v>0</v>
      </c>
      <c r="X293" s="662">
        <f t="shared" ref="X293" si="480">SUM(T293:W293)</f>
        <v>0</v>
      </c>
      <c r="Y293" s="662">
        <f t="shared" ref="Y293" si="481">I293-N293</f>
        <v>0</v>
      </c>
      <c r="Z293" s="662">
        <f t="shared" ref="Z293" si="482">N293-S293</f>
        <v>0</v>
      </c>
      <c r="AA293" s="682">
        <f>'far 1 a(for internal use only)'!AA761</f>
        <v>0</v>
      </c>
      <c r="AB293" s="663">
        <f t="shared" ref="AB293" si="483">+S293-X293-AA293</f>
        <v>0</v>
      </c>
    </row>
    <row r="294" spans="1:28" s="90" customFormat="1" ht="14.1" hidden="1" customHeight="1" x14ac:dyDescent="0.2">
      <c r="A294" s="301"/>
      <c r="B294" s="351" t="s">
        <v>359</v>
      </c>
      <c r="C294" s="608"/>
      <c r="D294" s="608"/>
      <c r="E294" s="608"/>
      <c r="F294" s="370"/>
      <c r="G294" s="652"/>
      <c r="H294" s="652"/>
      <c r="I294" s="652"/>
      <c r="J294" s="652"/>
      <c r="K294" s="684"/>
      <c r="L294" s="684"/>
      <c r="M294" s="684"/>
      <c r="N294" s="685"/>
      <c r="O294" s="684"/>
      <c r="P294" s="684"/>
      <c r="Q294" s="684"/>
      <c r="R294" s="684"/>
      <c r="S294" s="684"/>
      <c r="T294" s="684"/>
      <c r="U294" s="684"/>
      <c r="V294" s="684"/>
      <c r="W294" s="684"/>
      <c r="X294" s="684"/>
      <c r="Y294" s="684"/>
      <c r="Z294" s="684"/>
      <c r="AA294" s="684"/>
      <c r="AB294" s="686"/>
    </row>
    <row r="295" spans="1:28" s="90" customFormat="1" ht="14.1" hidden="1" customHeight="1" x14ac:dyDescent="0.2">
      <c r="A295" s="301"/>
      <c r="B295" s="350" t="s">
        <v>360</v>
      </c>
      <c r="C295" s="608"/>
      <c r="D295" s="608"/>
      <c r="E295" s="608"/>
      <c r="F295" s="370" t="s">
        <v>361</v>
      </c>
      <c r="G295" s="681">
        <f>'far 1 a(for internal use only)'!G763</f>
        <v>0</v>
      </c>
      <c r="H295" s="681">
        <f>'far 1 a(for internal use only)'!H763</f>
        <v>0</v>
      </c>
      <c r="I295" s="660">
        <f t="shared" ref="I295:I298" si="484">G295+H295</f>
        <v>0</v>
      </c>
      <c r="J295" s="660">
        <f t="shared" ref="J295:J298" si="485">I295</f>
        <v>0</v>
      </c>
      <c r="K295" s="681">
        <f>'far 1 a(for internal use only)'!K763</f>
        <v>0</v>
      </c>
      <c r="L295" s="681">
        <f>'far 1 a(for internal use only)'!L763</f>
        <v>0</v>
      </c>
      <c r="M295" s="681">
        <f>'far 1 a(for internal use only)'!M763</f>
        <v>0</v>
      </c>
      <c r="N295" s="661">
        <f t="shared" ref="N295:N298" si="486">J295+K295-L295+M295</f>
        <v>0</v>
      </c>
      <c r="O295" s="681">
        <f>'far 1 a(for internal use only)'!O763</f>
        <v>0</v>
      </c>
      <c r="P295" s="681">
        <f>'far 1 a(for internal use only)'!P763</f>
        <v>0</v>
      </c>
      <c r="Q295" s="681">
        <f>'far 1 a(for internal use only)'!Q763</f>
        <v>0</v>
      </c>
      <c r="R295" s="681">
        <f>'far 1 a(for internal use only)'!R763</f>
        <v>0</v>
      </c>
      <c r="S295" s="662">
        <f t="shared" ref="S295:S298" si="487">SUM(O295:R295)</f>
        <v>0</v>
      </c>
      <c r="T295" s="681">
        <f>'far 1 a(for internal use only)'!T763</f>
        <v>0</v>
      </c>
      <c r="U295" s="681">
        <f>'far 1 a(for internal use only)'!U763</f>
        <v>0</v>
      </c>
      <c r="V295" s="681">
        <f>'far 1 a(for internal use only)'!V763</f>
        <v>0</v>
      </c>
      <c r="W295" s="681">
        <f>'far 1 a(for internal use only)'!W763</f>
        <v>0</v>
      </c>
      <c r="X295" s="662">
        <f t="shared" ref="X295:X298" si="488">SUM(T295:W295)</f>
        <v>0</v>
      </c>
      <c r="Y295" s="662">
        <f t="shared" ref="Y295:Y298" si="489">I295-N295</f>
        <v>0</v>
      </c>
      <c r="Z295" s="662">
        <f t="shared" ref="Z295:Z298" si="490">N295-S295</f>
        <v>0</v>
      </c>
      <c r="AA295" s="682">
        <f>'far 1 a(for internal use only)'!AA763</f>
        <v>0</v>
      </c>
      <c r="AB295" s="663">
        <f t="shared" ref="AB295:AB298" si="491">+S295-X295-AA295</f>
        <v>0</v>
      </c>
    </row>
    <row r="296" spans="1:28" s="90" customFormat="1" ht="14.1" hidden="1" customHeight="1" x14ac:dyDescent="0.2">
      <c r="A296" s="301"/>
      <c r="B296" s="350" t="s">
        <v>362</v>
      </c>
      <c r="C296" s="608"/>
      <c r="D296" s="608"/>
      <c r="E296" s="608"/>
      <c r="F296" s="370" t="s">
        <v>363</v>
      </c>
      <c r="G296" s="681">
        <f>'far 1 a(for internal use only)'!G764</f>
        <v>0</v>
      </c>
      <c r="H296" s="681">
        <f>'far 1 a(for internal use only)'!H764</f>
        <v>0</v>
      </c>
      <c r="I296" s="660">
        <f t="shared" si="484"/>
        <v>0</v>
      </c>
      <c r="J296" s="660">
        <f t="shared" si="485"/>
        <v>0</v>
      </c>
      <c r="K296" s="681">
        <f>'far 1 a(for internal use only)'!K764</f>
        <v>0</v>
      </c>
      <c r="L296" s="681">
        <f>'far 1 a(for internal use only)'!L764</f>
        <v>0</v>
      </c>
      <c r="M296" s="681">
        <f>'far 1 a(for internal use only)'!M764</f>
        <v>0</v>
      </c>
      <c r="N296" s="661">
        <f t="shared" si="486"/>
        <v>0</v>
      </c>
      <c r="O296" s="681">
        <f>'far 1 a(for internal use only)'!O764</f>
        <v>0</v>
      </c>
      <c r="P296" s="681">
        <f>'far 1 a(for internal use only)'!P764</f>
        <v>0</v>
      </c>
      <c r="Q296" s="681">
        <f>'far 1 a(for internal use only)'!Q764</f>
        <v>0</v>
      </c>
      <c r="R296" s="681">
        <f>'far 1 a(for internal use only)'!R764</f>
        <v>0</v>
      </c>
      <c r="S296" s="662">
        <f t="shared" si="487"/>
        <v>0</v>
      </c>
      <c r="T296" s="681">
        <f>'far 1 a(for internal use only)'!T764</f>
        <v>0</v>
      </c>
      <c r="U296" s="681">
        <f>'far 1 a(for internal use only)'!U764</f>
        <v>0</v>
      </c>
      <c r="V296" s="681">
        <f>'far 1 a(for internal use only)'!V764</f>
        <v>0</v>
      </c>
      <c r="W296" s="681">
        <f>'far 1 a(for internal use only)'!W764</f>
        <v>0</v>
      </c>
      <c r="X296" s="662">
        <f t="shared" si="488"/>
        <v>0</v>
      </c>
      <c r="Y296" s="662">
        <f t="shared" si="489"/>
        <v>0</v>
      </c>
      <c r="Z296" s="662">
        <f t="shared" si="490"/>
        <v>0</v>
      </c>
      <c r="AA296" s="682">
        <f>'far 1 a(for internal use only)'!AA764</f>
        <v>0</v>
      </c>
      <c r="AB296" s="663">
        <f t="shared" si="491"/>
        <v>0</v>
      </c>
    </row>
    <row r="297" spans="1:28" s="90" customFormat="1" ht="14.1" hidden="1" customHeight="1" x14ac:dyDescent="0.2">
      <c r="A297" s="301"/>
      <c r="B297" s="350" t="s">
        <v>722</v>
      </c>
      <c r="C297" s="718"/>
      <c r="D297" s="718"/>
      <c r="E297" s="718"/>
      <c r="F297" s="370" t="s">
        <v>723</v>
      </c>
      <c r="G297" s="681">
        <f>'far 1 a(for internal use only)'!G765</f>
        <v>0</v>
      </c>
      <c r="H297" s="681">
        <f>'far 1 a(for internal use only)'!H765</f>
        <v>0</v>
      </c>
      <c r="I297" s="660">
        <f t="shared" si="484"/>
        <v>0</v>
      </c>
      <c r="J297" s="660">
        <f t="shared" si="485"/>
        <v>0</v>
      </c>
      <c r="K297" s="681">
        <f>'far 1 a(for internal use only)'!K765</f>
        <v>0</v>
      </c>
      <c r="L297" s="681">
        <f>'far 1 a(for internal use only)'!L765</f>
        <v>0</v>
      </c>
      <c r="M297" s="681">
        <f>'far 1 a(for internal use only)'!M765</f>
        <v>0</v>
      </c>
      <c r="N297" s="661">
        <f t="shared" si="486"/>
        <v>0</v>
      </c>
      <c r="O297" s="681">
        <f>'far 1 a(for internal use only)'!O765</f>
        <v>0</v>
      </c>
      <c r="P297" s="681">
        <f>'far 1 a(for internal use only)'!P765</f>
        <v>0</v>
      </c>
      <c r="Q297" s="681">
        <f>'far 1 a(for internal use only)'!Q765</f>
        <v>0</v>
      </c>
      <c r="R297" s="681">
        <f>'far 1 a(for internal use only)'!R765</f>
        <v>0</v>
      </c>
      <c r="S297" s="662">
        <f t="shared" si="487"/>
        <v>0</v>
      </c>
      <c r="T297" s="681">
        <f>'far 1 a(for internal use only)'!T765</f>
        <v>0</v>
      </c>
      <c r="U297" s="681">
        <f>'far 1 a(for internal use only)'!U765</f>
        <v>0</v>
      </c>
      <c r="V297" s="681">
        <f>'far 1 a(for internal use only)'!V765</f>
        <v>0</v>
      </c>
      <c r="W297" s="681">
        <f>'far 1 a(for internal use only)'!W765</f>
        <v>0</v>
      </c>
      <c r="X297" s="662">
        <f t="shared" si="488"/>
        <v>0</v>
      </c>
      <c r="Y297" s="662">
        <f t="shared" si="489"/>
        <v>0</v>
      </c>
      <c r="Z297" s="662">
        <f t="shared" si="490"/>
        <v>0</v>
      </c>
      <c r="AA297" s="682">
        <f>'far 1 a(for internal use only)'!AA765</f>
        <v>0</v>
      </c>
      <c r="AB297" s="663">
        <f t="shared" si="491"/>
        <v>0</v>
      </c>
    </row>
    <row r="298" spans="1:28" s="90" customFormat="1" ht="14.1" hidden="1" customHeight="1" x14ac:dyDescent="0.2">
      <c r="A298" s="301"/>
      <c r="B298" s="350" t="s">
        <v>364</v>
      </c>
      <c r="C298" s="608"/>
      <c r="D298" s="608"/>
      <c r="E298" s="608"/>
      <c r="F298" s="370" t="s">
        <v>365</v>
      </c>
      <c r="G298" s="681">
        <f>'far 1 a(for internal use only)'!G766</f>
        <v>0</v>
      </c>
      <c r="H298" s="681">
        <f>'far 1 a(for internal use only)'!H766</f>
        <v>0</v>
      </c>
      <c r="I298" s="660">
        <f t="shared" si="484"/>
        <v>0</v>
      </c>
      <c r="J298" s="660">
        <f t="shared" si="485"/>
        <v>0</v>
      </c>
      <c r="K298" s="681">
        <f>'far 1 a(for internal use only)'!K766</f>
        <v>0</v>
      </c>
      <c r="L298" s="681">
        <f>'far 1 a(for internal use only)'!L766</f>
        <v>0</v>
      </c>
      <c r="M298" s="681">
        <f>'far 1 a(for internal use only)'!M766</f>
        <v>0</v>
      </c>
      <c r="N298" s="661">
        <f t="shared" si="486"/>
        <v>0</v>
      </c>
      <c r="O298" s="681">
        <f>'far 1 a(for internal use only)'!O766</f>
        <v>0</v>
      </c>
      <c r="P298" s="681">
        <f>'far 1 a(for internal use only)'!P766</f>
        <v>0</v>
      </c>
      <c r="Q298" s="681">
        <f>'far 1 a(for internal use only)'!Q766</f>
        <v>0</v>
      </c>
      <c r="R298" s="681">
        <f>'far 1 a(for internal use only)'!R766</f>
        <v>0</v>
      </c>
      <c r="S298" s="662">
        <f t="shared" si="487"/>
        <v>0</v>
      </c>
      <c r="T298" s="681">
        <f>'far 1 a(for internal use only)'!T766</f>
        <v>0</v>
      </c>
      <c r="U298" s="681">
        <f>'far 1 a(for internal use only)'!U766</f>
        <v>0</v>
      </c>
      <c r="V298" s="681">
        <f>'far 1 a(for internal use only)'!V766</f>
        <v>0</v>
      </c>
      <c r="W298" s="681">
        <f>'far 1 a(for internal use only)'!W766</f>
        <v>0</v>
      </c>
      <c r="X298" s="662">
        <f t="shared" si="488"/>
        <v>0</v>
      </c>
      <c r="Y298" s="662">
        <f t="shared" si="489"/>
        <v>0</v>
      </c>
      <c r="Z298" s="662">
        <f t="shared" si="490"/>
        <v>0</v>
      </c>
      <c r="AA298" s="682">
        <f>'far 1 a(for internal use only)'!AA766</f>
        <v>0</v>
      </c>
      <c r="AB298" s="663">
        <f t="shared" si="491"/>
        <v>0</v>
      </c>
    </row>
    <row r="299" spans="1:28" s="90" customFormat="1" ht="14.1" hidden="1" customHeight="1" x14ac:dyDescent="0.2">
      <c r="A299" s="301"/>
      <c r="B299" s="351" t="s">
        <v>366</v>
      </c>
      <c r="C299" s="608"/>
      <c r="D299" s="608"/>
      <c r="E299" s="608"/>
      <c r="F299" s="370"/>
      <c r="G299" s="652"/>
      <c r="H299" s="652"/>
      <c r="I299" s="652"/>
      <c r="J299" s="652"/>
      <c r="K299" s="684"/>
      <c r="L299" s="684"/>
      <c r="M299" s="684"/>
      <c r="N299" s="685"/>
      <c r="O299" s="684"/>
      <c r="P299" s="684"/>
      <c r="Q299" s="684"/>
      <c r="R299" s="684"/>
      <c r="S299" s="684"/>
      <c r="T299" s="684"/>
      <c r="U299" s="684"/>
      <c r="V299" s="684"/>
      <c r="W299" s="684"/>
      <c r="X299" s="684"/>
      <c r="Y299" s="684"/>
      <c r="Z299" s="684"/>
      <c r="AA299" s="684"/>
      <c r="AB299" s="686"/>
    </row>
    <row r="300" spans="1:28" s="90" customFormat="1" ht="14.1" hidden="1" customHeight="1" x14ac:dyDescent="0.2">
      <c r="A300" s="301"/>
      <c r="B300" s="350" t="s">
        <v>366</v>
      </c>
      <c r="C300" s="608"/>
      <c r="D300" s="608"/>
      <c r="E300" s="608"/>
      <c r="F300" s="370" t="s">
        <v>367</v>
      </c>
      <c r="G300" s="681">
        <f>'far 1 a(for internal use only)'!G768</f>
        <v>0</v>
      </c>
      <c r="H300" s="681">
        <f>'far 1 a(for internal use only)'!H768</f>
        <v>0</v>
      </c>
      <c r="I300" s="660">
        <f t="shared" ref="I300:I304" si="492">G300+H300</f>
        <v>0</v>
      </c>
      <c r="J300" s="660">
        <f t="shared" ref="J300:J304" si="493">I300</f>
        <v>0</v>
      </c>
      <c r="K300" s="681">
        <f>'far 1 a(for internal use only)'!K768</f>
        <v>0</v>
      </c>
      <c r="L300" s="681">
        <f>'far 1 a(for internal use only)'!L768</f>
        <v>0</v>
      </c>
      <c r="M300" s="681">
        <f>'far 1 a(for internal use only)'!M768</f>
        <v>0</v>
      </c>
      <c r="N300" s="661">
        <f t="shared" ref="N300:N304" si="494">J300+K300-L300+M300</f>
        <v>0</v>
      </c>
      <c r="O300" s="681">
        <f>'far 1 a(for internal use only)'!O768</f>
        <v>0</v>
      </c>
      <c r="P300" s="681">
        <f>'far 1 a(for internal use only)'!P768</f>
        <v>0</v>
      </c>
      <c r="Q300" s="681">
        <f>'far 1 a(for internal use only)'!Q768</f>
        <v>0</v>
      </c>
      <c r="R300" s="681">
        <f>'far 1 a(for internal use only)'!R768</f>
        <v>0</v>
      </c>
      <c r="S300" s="662">
        <f t="shared" ref="S300:S304" si="495">SUM(O300:R300)</f>
        <v>0</v>
      </c>
      <c r="T300" s="681">
        <f>'far 1 a(for internal use only)'!T768</f>
        <v>0</v>
      </c>
      <c r="U300" s="681">
        <f>'far 1 a(for internal use only)'!U768</f>
        <v>0</v>
      </c>
      <c r="V300" s="681">
        <f>'far 1 a(for internal use only)'!V768</f>
        <v>0</v>
      </c>
      <c r="W300" s="681">
        <f>'far 1 a(for internal use only)'!W768</f>
        <v>0</v>
      </c>
      <c r="X300" s="662">
        <f t="shared" ref="X300:X304" si="496">SUM(T300:W300)</f>
        <v>0</v>
      </c>
      <c r="Y300" s="662">
        <f t="shared" ref="Y300:Y304" si="497">I300-N300</f>
        <v>0</v>
      </c>
      <c r="Z300" s="662">
        <f t="shared" ref="Z300:Z304" si="498">N300-S300</f>
        <v>0</v>
      </c>
      <c r="AA300" s="682">
        <f>'far 1 a(for internal use only)'!AA768</f>
        <v>0</v>
      </c>
      <c r="AB300" s="663">
        <f t="shared" ref="AB300:AB304" si="499">+S300-X300-AA300</f>
        <v>0</v>
      </c>
    </row>
    <row r="301" spans="1:28" s="90" customFormat="1" ht="14.1" hidden="1" customHeight="1" x14ac:dyDescent="0.2">
      <c r="A301" s="301"/>
      <c r="B301" s="350" t="s">
        <v>724</v>
      </c>
      <c r="C301" s="718"/>
      <c r="D301" s="718"/>
      <c r="E301" s="718"/>
      <c r="F301" s="370" t="s">
        <v>725</v>
      </c>
      <c r="G301" s="681">
        <f>'far 1 a(for internal use only)'!G769</f>
        <v>0</v>
      </c>
      <c r="H301" s="681">
        <f>'far 1 a(for internal use only)'!H769</f>
        <v>0</v>
      </c>
      <c r="I301" s="660">
        <f t="shared" ref="I301" si="500">G301+H301</f>
        <v>0</v>
      </c>
      <c r="J301" s="660">
        <f t="shared" ref="J301" si="501">I301</f>
        <v>0</v>
      </c>
      <c r="K301" s="681">
        <f>'far 1 a(for internal use only)'!K769</f>
        <v>0</v>
      </c>
      <c r="L301" s="681">
        <f>'far 1 a(for internal use only)'!L769</f>
        <v>0</v>
      </c>
      <c r="M301" s="681">
        <f>'far 1 a(for internal use only)'!M769</f>
        <v>0</v>
      </c>
      <c r="N301" s="661">
        <f t="shared" ref="N301" si="502">J301+K301-L301+M301</f>
        <v>0</v>
      </c>
      <c r="O301" s="681">
        <f>'far 1 a(for internal use only)'!O769</f>
        <v>0</v>
      </c>
      <c r="P301" s="681">
        <f>'far 1 a(for internal use only)'!P769</f>
        <v>0</v>
      </c>
      <c r="Q301" s="681">
        <f>'far 1 a(for internal use only)'!Q769</f>
        <v>0</v>
      </c>
      <c r="R301" s="681">
        <f>'far 1 a(for internal use only)'!R769</f>
        <v>0</v>
      </c>
      <c r="S301" s="662">
        <f t="shared" ref="S301" si="503">SUM(O301:R301)</f>
        <v>0</v>
      </c>
      <c r="T301" s="681">
        <f>'far 1 a(for internal use only)'!T769</f>
        <v>0</v>
      </c>
      <c r="U301" s="681">
        <f>'far 1 a(for internal use only)'!U769</f>
        <v>0</v>
      </c>
      <c r="V301" s="681">
        <f>'far 1 a(for internal use only)'!V769</f>
        <v>0</v>
      </c>
      <c r="W301" s="681">
        <f>'far 1 a(for internal use only)'!W769</f>
        <v>0</v>
      </c>
      <c r="X301" s="662">
        <f t="shared" ref="X301" si="504">SUM(T301:W301)</f>
        <v>0</v>
      </c>
      <c r="Y301" s="662">
        <f t="shared" ref="Y301" si="505">I301-N301</f>
        <v>0</v>
      </c>
      <c r="Z301" s="662">
        <f t="shared" ref="Z301" si="506">N301-S301</f>
        <v>0</v>
      </c>
      <c r="AA301" s="682">
        <f>'far 1 a(for internal use only)'!AA769</f>
        <v>0</v>
      </c>
      <c r="AB301" s="663">
        <f t="shared" ref="AB301" si="507">+S301-X301-AA301</f>
        <v>0</v>
      </c>
    </row>
    <row r="302" spans="1:28" s="90" customFormat="1" ht="14.1" customHeight="1" x14ac:dyDescent="0.2">
      <c r="A302" s="301"/>
      <c r="B302" s="350" t="s">
        <v>368</v>
      </c>
      <c r="C302" s="608"/>
      <c r="D302" s="608"/>
      <c r="E302" s="608"/>
      <c r="F302" s="370" t="s">
        <v>369</v>
      </c>
      <c r="G302" s="681">
        <f>'far 1 a(for internal use only)'!G770</f>
        <v>28505.66</v>
      </c>
      <c r="H302" s="681">
        <f>'far 1 a(for internal use only)'!H770</f>
        <v>0</v>
      </c>
      <c r="I302" s="660">
        <f t="shared" si="492"/>
        <v>28505.66</v>
      </c>
      <c r="J302" s="660">
        <f t="shared" si="493"/>
        <v>28505.66</v>
      </c>
      <c r="K302" s="681">
        <f>'far 1 a(for internal use only)'!K770</f>
        <v>0</v>
      </c>
      <c r="L302" s="681">
        <f>'far 1 a(for internal use only)'!L770</f>
        <v>0</v>
      </c>
      <c r="M302" s="681">
        <f>'far 1 a(for internal use only)'!M770</f>
        <v>0</v>
      </c>
      <c r="N302" s="661">
        <f t="shared" si="494"/>
        <v>28505.66</v>
      </c>
      <c r="O302" s="681">
        <f>'far 1 a(for internal use only)'!O770</f>
        <v>0</v>
      </c>
      <c r="P302" s="681">
        <f>'far 1 a(for internal use only)'!P770</f>
        <v>0</v>
      </c>
      <c r="Q302" s="681">
        <f>'far 1 a(for internal use only)'!Q770</f>
        <v>28505.659999999996</v>
      </c>
      <c r="R302" s="681">
        <f>'far 1 a(for internal use only)'!R770</f>
        <v>0</v>
      </c>
      <c r="S302" s="662">
        <f t="shared" si="495"/>
        <v>28505.659999999996</v>
      </c>
      <c r="T302" s="681">
        <f>'far 1 a(for internal use only)'!T770</f>
        <v>0</v>
      </c>
      <c r="U302" s="681">
        <f>'far 1 a(for internal use only)'!U770</f>
        <v>0</v>
      </c>
      <c r="V302" s="681">
        <f>'far 1 a(for internal use only)'!V770</f>
        <v>28505.659999999996</v>
      </c>
      <c r="W302" s="681">
        <f>'far 1 a(for internal use only)'!W770</f>
        <v>0</v>
      </c>
      <c r="X302" s="662">
        <f t="shared" si="496"/>
        <v>28505.659999999996</v>
      </c>
      <c r="Y302" s="662">
        <f t="shared" si="497"/>
        <v>0</v>
      </c>
      <c r="Z302" s="662">
        <f t="shared" si="498"/>
        <v>0</v>
      </c>
      <c r="AA302" s="682">
        <f>'far 1 a(for internal use only)'!AA770</f>
        <v>0</v>
      </c>
      <c r="AB302" s="663">
        <f t="shared" si="499"/>
        <v>0</v>
      </c>
    </row>
    <row r="303" spans="1:28" s="90" customFormat="1" ht="14.1" customHeight="1" x14ac:dyDescent="0.2">
      <c r="A303" s="301"/>
      <c r="B303" s="350" t="s">
        <v>370</v>
      </c>
      <c r="C303" s="608"/>
      <c r="D303" s="608"/>
      <c r="E303" s="608"/>
      <c r="F303" s="370" t="s">
        <v>371</v>
      </c>
      <c r="G303" s="681">
        <f>'far 1 a(for internal use only)'!G771</f>
        <v>9366.36</v>
      </c>
      <c r="H303" s="681">
        <f>'far 1 a(for internal use only)'!H771</f>
        <v>0</v>
      </c>
      <c r="I303" s="660">
        <f t="shared" si="492"/>
        <v>9366.36</v>
      </c>
      <c r="J303" s="660">
        <f t="shared" si="493"/>
        <v>9366.36</v>
      </c>
      <c r="K303" s="681">
        <f>'far 1 a(for internal use only)'!K771</f>
        <v>0</v>
      </c>
      <c r="L303" s="681">
        <f>'far 1 a(for internal use only)'!L771</f>
        <v>0</v>
      </c>
      <c r="M303" s="681">
        <f>'far 1 a(for internal use only)'!M771</f>
        <v>0</v>
      </c>
      <c r="N303" s="661">
        <f t="shared" si="494"/>
        <v>9366.36</v>
      </c>
      <c r="O303" s="681">
        <f>'far 1 a(for internal use only)'!O771</f>
        <v>0</v>
      </c>
      <c r="P303" s="681">
        <f>'far 1 a(for internal use only)'!P771</f>
        <v>0</v>
      </c>
      <c r="Q303" s="681">
        <f>'far 1 a(for internal use only)'!Q771</f>
        <v>9366.36</v>
      </c>
      <c r="R303" s="681">
        <f>'far 1 a(for internal use only)'!R771</f>
        <v>0</v>
      </c>
      <c r="S303" s="662">
        <f t="shared" si="495"/>
        <v>9366.36</v>
      </c>
      <c r="T303" s="681">
        <f>'far 1 a(for internal use only)'!T771</f>
        <v>0</v>
      </c>
      <c r="U303" s="681">
        <f>'far 1 a(for internal use only)'!U771</f>
        <v>0</v>
      </c>
      <c r="V303" s="681">
        <f>'far 1 a(for internal use only)'!V771</f>
        <v>9366.36</v>
      </c>
      <c r="W303" s="681">
        <f>'far 1 a(for internal use only)'!W771</f>
        <v>0</v>
      </c>
      <c r="X303" s="662">
        <f t="shared" si="496"/>
        <v>9366.36</v>
      </c>
      <c r="Y303" s="662">
        <f t="shared" si="497"/>
        <v>0</v>
      </c>
      <c r="Z303" s="662">
        <f t="shared" si="498"/>
        <v>0</v>
      </c>
      <c r="AA303" s="682">
        <f>'far 1 a(for internal use only)'!AA771</f>
        <v>0</v>
      </c>
      <c r="AB303" s="663">
        <f t="shared" si="499"/>
        <v>0</v>
      </c>
    </row>
    <row r="304" spans="1:28" s="90" customFormat="1" ht="14.1" hidden="1" customHeight="1" x14ac:dyDescent="0.2">
      <c r="A304" s="301"/>
      <c r="B304" s="350" t="s">
        <v>372</v>
      </c>
      <c r="C304" s="608"/>
      <c r="D304" s="608"/>
      <c r="E304" s="608"/>
      <c r="F304" s="370" t="s">
        <v>373</v>
      </c>
      <c r="G304" s="681">
        <f>'far 1 a(for internal use only)'!G772</f>
        <v>0</v>
      </c>
      <c r="H304" s="681">
        <f>'far 1 a(for internal use only)'!H772</f>
        <v>0</v>
      </c>
      <c r="I304" s="660">
        <f t="shared" si="492"/>
        <v>0</v>
      </c>
      <c r="J304" s="660">
        <f t="shared" si="493"/>
        <v>0</v>
      </c>
      <c r="K304" s="681">
        <f>'far 1 a(for internal use only)'!K772</f>
        <v>0</v>
      </c>
      <c r="L304" s="681">
        <f>'far 1 a(for internal use only)'!L772</f>
        <v>0</v>
      </c>
      <c r="M304" s="681">
        <f>'far 1 a(for internal use only)'!M772</f>
        <v>0</v>
      </c>
      <c r="N304" s="661">
        <f t="shared" si="494"/>
        <v>0</v>
      </c>
      <c r="O304" s="681">
        <f>'far 1 a(for internal use only)'!O772</f>
        <v>0</v>
      </c>
      <c r="P304" s="681">
        <f>'far 1 a(for internal use only)'!P772</f>
        <v>0</v>
      </c>
      <c r="Q304" s="681">
        <f>'far 1 a(for internal use only)'!Q772</f>
        <v>0</v>
      </c>
      <c r="R304" s="681">
        <f>'far 1 a(for internal use only)'!R772</f>
        <v>0</v>
      </c>
      <c r="S304" s="662">
        <f t="shared" si="495"/>
        <v>0</v>
      </c>
      <c r="T304" s="681">
        <f>'far 1 a(for internal use only)'!T772</f>
        <v>0</v>
      </c>
      <c r="U304" s="681">
        <f>'far 1 a(for internal use only)'!U772</f>
        <v>0</v>
      </c>
      <c r="V304" s="681">
        <f>'far 1 a(for internal use only)'!V772</f>
        <v>0</v>
      </c>
      <c r="W304" s="681">
        <f>'far 1 a(for internal use only)'!W772</f>
        <v>0</v>
      </c>
      <c r="X304" s="662">
        <f t="shared" si="496"/>
        <v>0</v>
      </c>
      <c r="Y304" s="662">
        <f t="shared" si="497"/>
        <v>0</v>
      </c>
      <c r="Z304" s="662">
        <f t="shared" si="498"/>
        <v>0</v>
      </c>
      <c r="AA304" s="682">
        <f>'far 1 a(for internal use only)'!AA772</f>
        <v>0</v>
      </c>
      <c r="AB304" s="663">
        <f t="shared" si="499"/>
        <v>0</v>
      </c>
    </row>
    <row r="305" spans="1:28" s="90" customFormat="1" ht="14.1" hidden="1" customHeight="1" x14ac:dyDescent="0.2">
      <c r="A305" s="301"/>
      <c r="B305" s="351" t="s">
        <v>374</v>
      </c>
      <c r="C305" s="608"/>
      <c r="D305" s="608"/>
      <c r="E305" s="608"/>
      <c r="F305" s="370"/>
      <c r="G305" s="652"/>
      <c r="H305" s="652"/>
      <c r="I305" s="652"/>
      <c r="J305" s="652"/>
      <c r="K305" s="684"/>
      <c r="L305" s="684"/>
      <c r="M305" s="684"/>
      <c r="N305" s="685"/>
      <c r="O305" s="684"/>
      <c r="P305" s="684"/>
      <c r="Q305" s="684"/>
      <c r="R305" s="684"/>
      <c r="S305" s="684"/>
      <c r="T305" s="684"/>
      <c r="U305" s="684"/>
      <c r="V305" s="684"/>
      <c r="W305" s="684"/>
      <c r="X305" s="684"/>
      <c r="Y305" s="684"/>
      <c r="Z305" s="684"/>
      <c r="AA305" s="684"/>
      <c r="AB305" s="686"/>
    </row>
    <row r="306" spans="1:28" s="90" customFormat="1" ht="14.1" hidden="1" customHeight="1" x14ac:dyDescent="0.2">
      <c r="A306" s="301"/>
      <c r="B306" s="350" t="s">
        <v>375</v>
      </c>
      <c r="C306" s="608"/>
      <c r="D306" s="608"/>
      <c r="E306" s="608"/>
      <c r="F306" s="370" t="s">
        <v>376</v>
      </c>
      <c r="G306" s="681">
        <f>'far 1 a(for internal use only)'!G774</f>
        <v>0</v>
      </c>
      <c r="H306" s="681">
        <f>'far 1 a(for internal use only)'!H774</f>
        <v>0</v>
      </c>
      <c r="I306" s="660">
        <f t="shared" ref="I306:I323" si="508">G306+H306</f>
        <v>0</v>
      </c>
      <c r="J306" s="660">
        <f t="shared" ref="J306:J323" si="509">I306</f>
        <v>0</v>
      </c>
      <c r="K306" s="681">
        <f>'far 1 a(for internal use only)'!K774</f>
        <v>0</v>
      </c>
      <c r="L306" s="681">
        <f>'far 1 a(for internal use only)'!L774</f>
        <v>0</v>
      </c>
      <c r="M306" s="681">
        <f>'far 1 a(for internal use only)'!M774</f>
        <v>0</v>
      </c>
      <c r="N306" s="661">
        <f t="shared" ref="N306:N323" si="510">J306+K306-L306+M306</f>
        <v>0</v>
      </c>
      <c r="O306" s="681">
        <f>'far 1 a(for internal use only)'!O774</f>
        <v>0</v>
      </c>
      <c r="P306" s="681">
        <f>'far 1 a(for internal use only)'!P774</f>
        <v>0</v>
      </c>
      <c r="Q306" s="681">
        <f>'far 1 a(for internal use only)'!Q774</f>
        <v>0</v>
      </c>
      <c r="R306" s="681">
        <f>'far 1 a(for internal use only)'!R774</f>
        <v>0</v>
      </c>
      <c r="S306" s="662">
        <f t="shared" ref="S306:S323" si="511">SUM(O306:R306)</f>
        <v>0</v>
      </c>
      <c r="T306" s="681">
        <f>'far 1 a(for internal use only)'!T774</f>
        <v>0</v>
      </c>
      <c r="U306" s="681">
        <f>'far 1 a(for internal use only)'!U774</f>
        <v>0</v>
      </c>
      <c r="V306" s="681">
        <f>'far 1 a(for internal use only)'!V774</f>
        <v>0</v>
      </c>
      <c r="W306" s="681">
        <f>'far 1 a(for internal use only)'!W774</f>
        <v>0</v>
      </c>
      <c r="X306" s="662">
        <f t="shared" ref="X306:X323" si="512">SUM(T306:W306)</f>
        <v>0</v>
      </c>
      <c r="Y306" s="662">
        <f t="shared" ref="Y306:Y323" si="513">I306-N306</f>
        <v>0</v>
      </c>
      <c r="Z306" s="662">
        <f t="shared" ref="Z306:Z323" si="514">N306-S306</f>
        <v>0</v>
      </c>
      <c r="AA306" s="682">
        <f>'far 1 a(for internal use only)'!AA774</f>
        <v>0</v>
      </c>
      <c r="AB306" s="663">
        <f t="shared" ref="AB306:AB323" si="515">+S306-X306-AA306</f>
        <v>0</v>
      </c>
    </row>
    <row r="307" spans="1:28" s="90" customFormat="1" ht="14.1" hidden="1" customHeight="1" x14ac:dyDescent="0.2">
      <c r="A307" s="301"/>
      <c r="B307" s="350" t="s">
        <v>377</v>
      </c>
      <c r="C307" s="608"/>
      <c r="D307" s="608"/>
      <c r="E307" s="608"/>
      <c r="F307" s="370" t="s">
        <v>378</v>
      </c>
      <c r="G307" s="681">
        <f>'far 1 a(for internal use only)'!G775</f>
        <v>0</v>
      </c>
      <c r="H307" s="681">
        <f>'far 1 a(for internal use only)'!H775</f>
        <v>0</v>
      </c>
      <c r="I307" s="660">
        <f t="shared" si="508"/>
        <v>0</v>
      </c>
      <c r="J307" s="660">
        <f t="shared" si="509"/>
        <v>0</v>
      </c>
      <c r="K307" s="681">
        <f>'far 1 a(for internal use only)'!K775</f>
        <v>0</v>
      </c>
      <c r="L307" s="681">
        <f>'far 1 a(for internal use only)'!L775</f>
        <v>0</v>
      </c>
      <c r="M307" s="681">
        <f>'far 1 a(for internal use only)'!M775</f>
        <v>0</v>
      </c>
      <c r="N307" s="661">
        <f t="shared" si="510"/>
        <v>0</v>
      </c>
      <c r="O307" s="681">
        <f>'far 1 a(for internal use only)'!O775</f>
        <v>0</v>
      </c>
      <c r="P307" s="681">
        <f>'far 1 a(for internal use only)'!P775</f>
        <v>0</v>
      </c>
      <c r="Q307" s="681">
        <f>'far 1 a(for internal use only)'!Q775</f>
        <v>0</v>
      </c>
      <c r="R307" s="681">
        <f>'far 1 a(for internal use only)'!R775</f>
        <v>0</v>
      </c>
      <c r="S307" s="662">
        <f t="shared" si="511"/>
        <v>0</v>
      </c>
      <c r="T307" s="681">
        <f>'far 1 a(for internal use only)'!T775</f>
        <v>0</v>
      </c>
      <c r="U307" s="681">
        <f>'far 1 a(for internal use only)'!U775</f>
        <v>0</v>
      </c>
      <c r="V307" s="681">
        <f>'far 1 a(for internal use only)'!V775</f>
        <v>0</v>
      </c>
      <c r="W307" s="681">
        <f>'far 1 a(for internal use only)'!W775</f>
        <v>0</v>
      </c>
      <c r="X307" s="662">
        <f t="shared" si="512"/>
        <v>0</v>
      </c>
      <c r="Y307" s="662">
        <f t="shared" si="513"/>
        <v>0</v>
      </c>
      <c r="Z307" s="662">
        <f t="shared" si="514"/>
        <v>0</v>
      </c>
      <c r="AA307" s="682">
        <f>'far 1 a(for internal use only)'!AA775</f>
        <v>0</v>
      </c>
      <c r="AB307" s="663">
        <f t="shared" si="515"/>
        <v>0</v>
      </c>
    </row>
    <row r="308" spans="1:28" s="90" customFormat="1" ht="14.1" hidden="1" customHeight="1" x14ac:dyDescent="0.2">
      <c r="A308" s="301"/>
      <c r="B308" s="350" t="s">
        <v>379</v>
      </c>
      <c r="C308" s="608"/>
      <c r="D308" s="608"/>
      <c r="E308" s="608"/>
      <c r="F308" s="370" t="s">
        <v>380</v>
      </c>
      <c r="G308" s="681">
        <f>'far 1 a(for internal use only)'!G776</f>
        <v>0</v>
      </c>
      <c r="H308" s="681">
        <f>'far 1 a(for internal use only)'!H776</f>
        <v>0</v>
      </c>
      <c r="I308" s="660">
        <f t="shared" si="508"/>
        <v>0</v>
      </c>
      <c r="J308" s="660">
        <f t="shared" si="509"/>
        <v>0</v>
      </c>
      <c r="K308" s="681">
        <f>'far 1 a(for internal use only)'!K776</f>
        <v>0</v>
      </c>
      <c r="L308" s="681">
        <f>'far 1 a(for internal use only)'!L776</f>
        <v>0</v>
      </c>
      <c r="M308" s="681">
        <f>'far 1 a(for internal use only)'!M776</f>
        <v>0</v>
      </c>
      <c r="N308" s="661">
        <f t="shared" si="510"/>
        <v>0</v>
      </c>
      <c r="O308" s="681">
        <f>'far 1 a(for internal use only)'!O776</f>
        <v>0</v>
      </c>
      <c r="P308" s="681">
        <f>'far 1 a(for internal use only)'!P776</f>
        <v>0</v>
      </c>
      <c r="Q308" s="681">
        <f>'far 1 a(for internal use only)'!Q776</f>
        <v>0</v>
      </c>
      <c r="R308" s="681">
        <f>'far 1 a(for internal use only)'!R776</f>
        <v>0</v>
      </c>
      <c r="S308" s="662">
        <f t="shared" si="511"/>
        <v>0</v>
      </c>
      <c r="T308" s="681">
        <f>'far 1 a(for internal use only)'!T776</f>
        <v>0</v>
      </c>
      <c r="U308" s="681">
        <f>'far 1 a(for internal use only)'!U776</f>
        <v>0</v>
      </c>
      <c r="V308" s="681">
        <f>'far 1 a(for internal use only)'!V776</f>
        <v>0</v>
      </c>
      <c r="W308" s="681">
        <f>'far 1 a(for internal use only)'!W776</f>
        <v>0</v>
      </c>
      <c r="X308" s="662">
        <f t="shared" si="512"/>
        <v>0</v>
      </c>
      <c r="Y308" s="662">
        <f t="shared" si="513"/>
        <v>0</v>
      </c>
      <c r="Z308" s="662">
        <f t="shared" si="514"/>
        <v>0</v>
      </c>
      <c r="AA308" s="682">
        <f>'far 1 a(for internal use only)'!AA776</f>
        <v>0</v>
      </c>
      <c r="AB308" s="663">
        <f t="shared" si="515"/>
        <v>0</v>
      </c>
    </row>
    <row r="309" spans="1:28" s="90" customFormat="1" ht="14.1" hidden="1" customHeight="1" x14ac:dyDescent="0.2">
      <c r="A309" s="301"/>
      <c r="B309" s="350" t="s">
        <v>381</v>
      </c>
      <c r="C309" s="608"/>
      <c r="D309" s="608"/>
      <c r="E309" s="608"/>
      <c r="F309" s="370" t="s">
        <v>382</v>
      </c>
      <c r="G309" s="681">
        <f>'far 1 a(for internal use only)'!G777</f>
        <v>0</v>
      </c>
      <c r="H309" s="681">
        <f>'far 1 a(for internal use only)'!H777</f>
        <v>0</v>
      </c>
      <c r="I309" s="660">
        <f t="shared" si="508"/>
        <v>0</v>
      </c>
      <c r="J309" s="660">
        <f t="shared" si="509"/>
        <v>0</v>
      </c>
      <c r="K309" s="681">
        <f>'far 1 a(for internal use only)'!K777</f>
        <v>0</v>
      </c>
      <c r="L309" s="681">
        <f>'far 1 a(for internal use only)'!L777</f>
        <v>0</v>
      </c>
      <c r="M309" s="681">
        <f>'far 1 a(for internal use only)'!M777</f>
        <v>0</v>
      </c>
      <c r="N309" s="661">
        <f t="shared" si="510"/>
        <v>0</v>
      </c>
      <c r="O309" s="681">
        <f>'far 1 a(for internal use only)'!O777</f>
        <v>0</v>
      </c>
      <c r="P309" s="681">
        <f>'far 1 a(for internal use only)'!P777</f>
        <v>0</v>
      </c>
      <c r="Q309" s="681">
        <f>'far 1 a(for internal use only)'!Q777</f>
        <v>0</v>
      </c>
      <c r="R309" s="681">
        <f>'far 1 a(for internal use only)'!R777</f>
        <v>0</v>
      </c>
      <c r="S309" s="662">
        <f t="shared" si="511"/>
        <v>0</v>
      </c>
      <c r="T309" s="681">
        <f>'far 1 a(for internal use only)'!T777</f>
        <v>0</v>
      </c>
      <c r="U309" s="681">
        <f>'far 1 a(for internal use only)'!U777</f>
        <v>0</v>
      </c>
      <c r="V309" s="681">
        <f>'far 1 a(for internal use only)'!V777</f>
        <v>0</v>
      </c>
      <c r="W309" s="681">
        <f>'far 1 a(for internal use only)'!W777</f>
        <v>0</v>
      </c>
      <c r="X309" s="662">
        <f t="shared" si="512"/>
        <v>0</v>
      </c>
      <c r="Y309" s="662">
        <f t="shared" si="513"/>
        <v>0</v>
      </c>
      <c r="Z309" s="662">
        <f t="shared" si="514"/>
        <v>0</v>
      </c>
      <c r="AA309" s="682">
        <f>'far 1 a(for internal use only)'!AA777</f>
        <v>0</v>
      </c>
      <c r="AB309" s="663">
        <f t="shared" si="515"/>
        <v>0</v>
      </c>
    </row>
    <row r="310" spans="1:28" s="90" customFormat="1" ht="14.1" hidden="1" customHeight="1" x14ac:dyDescent="0.2">
      <c r="A310" s="301"/>
      <c r="B310" s="350" t="s">
        <v>383</v>
      </c>
      <c r="C310" s="608"/>
      <c r="D310" s="608"/>
      <c r="E310" s="608"/>
      <c r="F310" s="370" t="s">
        <v>384</v>
      </c>
      <c r="G310" s="681">
        <f>'far 1 a(for internal use only)'!G778</f>
        <v>0</v>
      </c>
      <c r="H310" s="681">
        <f>'far 1 a(for internal use only)'!H778</f>
        <v>0</v>
      </c>
      <c r="I310" s="660">
        <f t="shared" si="508"/>
        <v>0</v>
      </c>
      <c r="J310" s="660">
        <f t="shared" si="509"/>
        <v>0</v>
      </c>
      <c r="K310" s="681">
        <f>'far 1 a(for internal use only)'!K778</f>
        <v>0</v>
      </c>
      <c r="L310" s="681">
        <f>'far 1 a(for internal use only)'!L778</f>
        <v>0</v>
      </c>
      <c r="M310" s="681">
        <f>'far 1 a(for internal use only)'!M778</f>
        <v>0</v>
      </c>
      <c r="N310" s="661">
        <f t="shared" si="510"/>
        <v>0</v>
      </c>
      <c r="O310" s="681">
        <f>'far 1 a(for internal use only)'!O778</f>
        <v>0</v>
      </c>
      <c r="P310" s="681">
        <f>'far 1 a(for internal use only)'!P778</f>
        <v>0</v>
      </c>
      <c r="Q310" s="681">
        <f>'far 1 a(for internal use only)'!Q778</f>
        <v>0</v>
      </c>
      <c r="R310" s="681">
        <f>'far 1 a(for internal use only)'!R778</f>
        <v>0</v>
      </c>
      <c r="S310" s="662">
        <f t="shared" si="511"/>
        <v>0</v>
      </c>
      <c r="T310" s="681">
        <f>'far 1 a(for internal use only)'!T778</f>
        <v>0</v>
      </c>
      <c r="U310" s="681">
        <f>'far 1 a(for internal use only)'!U778</f>
        <v>0</v>
      </c>
      <c r="V310" s="681">
        <f>'far 1 a(for internal use only)'!V778</f>
        <v>0</v>
      </c>
      <c r="W310" s="681">
        <f>'far 1 a(for internal use only)'!W778</f>
        <v>0</v>
      </c>
      <c r="X310" s="662">
        <f t="shared" si="512"/>
        <v>0</v>
      </c>
      <c r="Y310" s="662">
        <f t="shared" si="513"/>
        <v>0</v>
      </c>
      <c r="Z310" s="662">
        <f t="shared" si="514"/>
        <v>0</v>
      </c>
      <c r="AA310" s="682">
        <f>'far 1 a(for internal use only)'!AA778</f>
        <v>0</v>
      </c>
      <c r="AB310" s="663">
        <f t="shared" si="515"/>
        <v>0</v>
      </c>
    </row>
    <row r="311" spans="1:28" s="90" customFormat="1" ht="14.1" hidden="1" customHeight="1" x14ac:dyDescent="0.2">
      <c r="A311" s="301"/>
      <c r="B311" s="350" t="s">
        <v>385</v>
      </c>
      <c r="C311" s="608"/>
      <c r="D311" s="608"/>
      <c r="E311" s="608"/>
      <c r="F311" s="370" t="s">
        <v>386</v>
      </c>
      <c r="G311" s="681">
        <f>'far 1 a(for internal use only)'!G779</f>
        <v>0</v>
      </c>
      <c r="H311" s="681">
        <f>'far 1 a(for internal use only)'!H779</f>
        <v>0</v>
      </c>
      <c r="I311" s="660">
        <f t="shared" si="508"/>
        <v>0</v>
      </c>
      <c r="J311" s="660">
        <f t="shared" si="509"/>
        <v>0</v>
      </c>
      <c r="K311" s="681">
        <f>'far 1 a(for internal use only)'!K779</f>
        <v>0</v>
      </c>
      <c r="L311" s="681">
        <f>'far 1 a(for internal use only)'!L779</f>
        <v>0</v>
      </c>
      <c r="M311" s="681">
        <f>'far 1 a(for internal use only)'!M779</f>
        <v>0</v>
      </c>
      <c r="N311" s="661">
        <f t="shared" si="510"/>
        <v>0</v>
      </c>
      <c r="O311" s="681">
        <f>'far 1 a(for internal use only)'!O779</f>
        <v>0</v>
      </c>
      <c r="P311" s="681">
        <f>'far 1 a(for internal use only)'!P779</f>
        <v>0</v>
      </c>
      <c r="Q311" s="681">
        <f>'far 1 a(for internal use only)'!Q779</f>
        <v>0</v>
      </c>
      <c r="R311" s="681">
        <f>'far 1 a(for internal use only)'!R779</f>
        <v>0</v>
      </c>
      <c r="S311" s="662">
        <f t="shared" si="511"/>
        <v>0</v>
      </c>
      <c r="T311" s="681">
        <f>'far 1 a(for internal use only)'!T779</f>
        <v>0</v>
      </c>
      <c r="U311" s="681">
        <f>'far 1 a(for internal use only)'!U779</f>
        <v>0</v>
      </c>
      <c r="V311" s="681">
        <f>'far 1 a(for internal use only)'!V779</f>
        <v>0</v>
      </c>
      <c r="W311" s="681">
        <f>'far 1 a(for internal use only)'!W779</f>
        <v>0</v>
      </c>
      <c r="X311" s="662">
        <f t="shared" si="512"/>
        <v>0</v>
      </c>
      <c r="Y311" s="662">
        <f t="shared" si="513"/>
        <v>0</v>
      </c>
      <c r="Z311" s="662">
        <f t="shared" si="514"/>
        <v>0</v>
      </c>
      <c r="AA311" s="682">
        <f>'far 1 a(for internal use only)'!AA779</f>
        <v>0</v>
      </c>
      <c r="AB311" s="663">
        <f t="shared" si="515"/>
        <v>0</v>
      </c>
    </row>
    <row r="312" spans="1:28" s="90" customFormat="1" ht="14.1" hidden="1" customHeight="1" x14ac:dyDescent="0.2">
      <c r="A312" s="301"/>
      <c r="B312" s="350" t="s">
        <v>726</v>
      </c>
      <c r="C312" s="718"/>
      <c r="D312" s="718"/>
      <c r="E312" s="718"/>
      <c r="F312" s="370" t="s">
        <v>387</v>
      </c>
      <c r="G312" s="681">
        <f>'far 1 a(for internal use only)'!G780</f>
        <v>0</v>
      </c>
      <c r="H312" s="681">
        <f>'far 1 a(for internal use only)'!H780</f>
        <v>0</v>
      </c>
      <c r="I312" s="660">
        <f t="shared" si="508"/>
        <v>0</v>
      </c>
      <c r="J312" s="660">
        <f t="shared" si="509"/>
        <v>0</v>
      </c>
      <c r="K312" s="681">
        <f>'far 1 a(for internal use only)'!K780</f>
        <v>0</v>
      </c>
      <c r="L312" s="681">
        <f>'far 1 a(for internal use only)'!L780</f>
        <v>0</v>
      </c>
      <c r="M312" s="681">
        <f>'far 1 a(for internal use only)'!M780</f>
        <v>0</v>
      </c>
      <c r="N312" s="661">
        <f t="shared" si="510"/>
        <v>0</v>
      </c>
      <c r="O312" s="681">
        <f>'far 1 a(for internal use only)'!O780</f>
        <v>0</v>
      </c>
      <c r="P312" s="681">
        <f>'far 1 a(for internal use only)'!P780</f>
        <v>0</v>
      </c>
      <c r="Q312" s="681">
        <f>'far 1 a(for internal use only)'!Q780</f>
        <v>0</v>
      </c>
      <c r="R312" s="681">
        <f>'far 1 a(for internal use only)'!R780</f>
        <v>0</v>
      </c>
      <c r="S312" s="662">
        <f t="shared" si="511"/>
        <v>0</v>
      </c>
      <c r="T312" s="681">
        <f>'far 1 a(for internal use only)'!T780</f>
        <v>0</v>
      </c>
      <c r="U312" s="681">
        <f>'far 1 a(for internal use only)'!U780</f>
        <v>0</v>
      </c>
      <c r="V312" s="681">
        <f>'far 1 a(for internal use only)'!V780</f>
        <v>0</v>
      </c>
      <c r="W312" s="681">
        <f>'far 1 a(for internal use only)'!W780</f>
        <v>0</v>
      </c>
      <c r="X312" s="662">
        <f t="shared" si="512"/>
        <v>0</v>
      </c>
      <c r="Y312" s="662">
        <f t="shared" si="513"/>
        <v>0</v>
      </c>
      <c r="Z312" s="662">
        <f t="shared" si="514"/>
        <v>0</v>
      </c>
      <c r="AA312" s="682">
        <f>'far 1 a(for internal use only)'!AA780</f>
        <v>0</v>
      </c>
      <c r="AB312" s="663">
        <f t="shared" si="515"/>
        <v>0</v>
      </c>
    </row>
    <row r="313" spans="1:28" s="90" customFormat="1" ht="14.1" hidden="1" customHeight="1" x14ac:dyDescent="0.2">
      <c r="A313" s="301"/>
      <c r="B313" s="350" t="s">
        <v>388</v>
      </c>
      <c r="C313" s="608"/>
      <c r="D313" s="608"/>
      <c r="E313" s="608"/>
      <c r="F313" s="370" t="s">
        <v>389</v>
      </c>
      <c r="G313" s="681">
        <f>'far 1 a(for internal use only)'!G781</f>
        <v>0</v>
      </c>
      <c r="H313" s="681">
        <f>'far 1 a(for internal use only)'!H781</f>
        <v>0</v>
      </c>
      <c r="I313" s="660">
        <f t="shared" si="508"/>
        <v>0</v>
      </c>
      <c r="J313" s="660">
        <f t="shared" si="509"/>
        <v>0</v>
      </c>
      <c r="K313" s="681">
        <f>'far 1 a(for internal use only)'!K781</f>
        <v>0</v>
      </c>
      <c r="L313" s="681">
        <f>'far 1 a(for internal use only)'!L781</f>
        <v>0</v>
      </c>
      <c r="M313" s="681">
        <f>'far 1 a(for internal use only)'!M781</f>
        <v>0</v>
      </c>
      <c r="N313" s="661">
        <f t="shared" si="510"/>
        <v>0</v>
      </c>
      <c r="O313" s="681">
        <f>'far 1 a(for internal use only)'!O781</f>
        <v>0</v>
      </c>
      <c r="P313" s="681">
        <f>'far 1 a(for internal use only)'!P781</f>
        <v>0</v>
      </c>
      <c r="Q313" s="681">
        <f>'far 1 a(for internal use only)'!Q781</f>
        <v>0</v>
      </c>
      <c r="R313" s="681">
        <f>'far 1 a(for internal use only)'!R781</f>
        <v>0</v>
      </c>
      <c r="S313" s="662">
        <f t="shared" si="511"/>
        <v>0</v>
      </c>
      <c r="T313" s="681">
        <f>'far 1 a(for internal use only)'!T781</f>
        <v>0</v>
      </c>
      <c r="U313" s="681">
        <f>'far 1 a(for internal use only)'!U781</f>
        <v>0</v>
      </c>
      <c r="V313" s="681">
        <f>'far 1 a(for internal use only)'!V781</f>
        <v>0</v>
      </c>
      <c r="W313" s="681">
        <f>'far 1 a(for internal use only)'!W781</f>
        <v>0</v>
      </c>
      <c r="X313" s="662">
        <f t="shared" si="512"/>
        <v>0</v>
      </c>
      <c r="Y313" s="662">
        <f t="shared" si="513"/>
        <v>0</v>
      </c>
      <c r="Z313" s="662">
        <f t="shared" si="514"/>
        <v>0</v>
      </c>
      <c r="AA313" s="682">
        <f>'far 1 a(for internal use only)'!AA781</f>
        <v>0</v>
      </c>
      <c r="AB313" s="663">
        <f t="shared" si="515"/>
        <v>0</v>
      </c>
    </row>
    <row r="314" spans="1:28" s="90" customFormat="1" ht="14.1" hidden="1" customHeight="1" x14ac:dyDescent="0.2">
      <c r="A314" s="301"/>
      <c r="B314" s="350" t="s">
        <v>390</v>
      </c>
      <c r="C314" s="608"/>
      <c r="D314" s="608"/>
      <c r="E314" s="608"/>
      <c r="F314" s="370" t="s">
        <v>391</v>
      </c>
      <c r="G314" s="681">
        <f>'far 1 a(for internal use only)'!G782</f>
        <v>0</v>
      </c>
      <c r="H314" s="681">
        <f>'far 1 a(for internal use only)'!H782</f>
        <v>0</v>
      </c>
      <c r="I314" s="660">
        <f t="shared" si="508"/>
        <v>0</v>
      </c>
      <c r="J314" s="660">
        <f t="shared" si="509"/>
        <v>0</v>
      </c>
      <c r="K314" s="681">
        <f>'far 1 a(for internal use only)'!K782</f>
        <v>0</v>
      </c>
      <c r="L314" s="681">
        <f>'far 1 a(for internal use only)'!L782</f>
        <v>0</v>
      </c>
      <c r="M314" s="681">
        <f>'far 1 a(for internal use only)'!M782</f>
        <v>0</v>
      </c>
      <c r="N314" s="661">
        <f t="shared" si="510"/>
        <v>0</v>
      </c>
      <c r="O314" s="681">
        <f>'far 1 a(for internal use only)'!O782</f>
        <v>0</v>
      </c>
      <c r="P314" s="681">
        <f>'far 1 a(for internal use only)'!P782</f>
        <v>0</v>
      </c>
      <c r="Q314" s="681">
        <f>'far 1 a(for internal use only)'!Q782</f>
        <v>0</v>
      </c>
      <c r="R314" s="681">
        <f>'far 1 a(for internal use only)'!R782</f>
        <v>0</v>
      </c>
      <c r="S314" s="662">
        <f t="shared" si="511"/>
        <v>0</v>
      </c>
      <c r="T314" s="681">
        <f>'far 1 a(for internal use only)'!T782</f>
        <v>0</v>
      </c>
      <c r="U314" s="681">
        <f>'far 1 a(for internal use only)'!U782</f>
        <v>0</v>
      </c>
      <c r="V314" s="681">
        <f>'far 1 a(for internal use only)'!V782</f>
        <v>0</v>
      </c>
      <c r="W314" s="681">
        <f>'far 1 a(for internal use only)'!W782</f>
        <v>0</v>
      </c>
      <c r="X314" s="662">
        <f t="shared" si="512"/>
        <v>0</v>
      </c>
      <c r="Y314" s="662">
        <f t="shared" si="513"/>
        <v>0</v>
      </c>
      <c r="Z314" s="662">
        <f t="shared" si="514"/>
        <v>0</v>
      </c>
      <c r="AA314" s="682">
        <f>'far 1 a(for internal use only)'!AA782</f>
        <v>0</v>
      </c>
      <c r="AB314" s="663">
        <f t="shared" si="515"/>
        <v>0</v>
      </c>
    </row>
    <row r="315" spans="1:28" s="90" customFormat="1" ht="14.1" hidden="1" customHeight="1" x14ac:dyDescent="0.2">
      <c r="A315" s="301"/>
      <c r="B315" s="350" t="s">
        <v>392</v>
      </c>
      <c r="C315" s="608"/>
      <c r="D315" s="608"/>
      <c r="E315" s="608"/>
      <c r="F315" s="370" t="s">
        <v>393</v>
      </c>
      <c r="G315" s="681">
        <f>'far 1 a(for internal use only)'!G783</f>
        <v>0</v>
      </c>
      <c r="H315" s="681">
        <f>'far 1 a(for internal use only)'!H783</f>
        <v>0</v>
      </c>
      <c r="I315" s="660">
        <f t="shared" si="508"/>
        <v>0</v>
      </c>
      <c r="J315" s="660">
        <f t="shared" si="509"/>
        <v>0</v>
      </c>
      <c r="K315" s="681">
        <f>'far 1 a(for internal use only)'!K783</f>
        <v>0</v>
      </c>
      <c r="L315" s="681">
        <f>'far 1 a(for internal use only)'!L783</f>
        <v>0</v>
      </c>
      <c r="M315" s="681">
        <f>'far 1 a(for internal use only)'!M783</f>
        <v>0</v>
      </c>
      <c r="N315" s="661">
        <f t="shared" si="510"/>
        <v>0</v>
      </c>
      <c r="O315" s="681">
        <f>'far 1 a(for internal use only)'!O783</f>
        <v>0</v>
      </c>
      <c r="P315" s="681">
        <f>'far 1 a(for internal use only)'!P783</f>
        <v>0</v>
      </c>
      <c r="Q315" s="681">
        <f>'far 1 a(for internal use only)'!Q783</f>
        <v>0</v>
      </c>
      <c r="R315" s="681">
        <f>'far 1 a(for internal use only)'!R783</f>
        <v>0</v>
      </c>
      <c r="S315" s="662">
        <f t="shared" si="511"/>
        <v>0</v>
      </c>
      <c r="T315" s="681">
        <f>'far 1 a(for internal use only)'!T783</f>
        <v>0</v>
      </c>
      <c r="U315" s="681">
        <f>'far 1 a(for internal use only)'!U783</f>
        <v>0</v>
      </c>
      <c r="V315" s="681">
        <f>'far 1 a(for internal use only)'!V783</f>
        <v>0</v>
      </c>
      <c r="W315" s="681">
        <f>'far 1 a(for internal use only)'!W783</f>
        <v>0</v>
      </c>
      <c r="X315" s="662">
        <f t="shared" si="512"/>
        <v>0</v>
      </c>
      <c r="Y315" s="662">
        <f t="shared" si="513"/>
        <v>0</v>
      </c>
      <c r="Z315" s="662">
        <f t="shared" si="514"/>
        <v>0</v>
      </c>
      <c r="AA315" s="682">
        <f>'far 1 a(for internal use only)'!AA783</f>
        <v>0</v>
      </c>
      <c r="AB315" s="663">
        <f t="shared" si="515"/>
        <v>0</v>
      </c>
    </row>
    <row r="316" spans="1:28" s="90" customFormat="1" ht="14.1" hidden="1" customHeight="1" x14ac:dyDescent="0.2">
      <c r="A316" s="301"/>
      <c r="B316" s="350" t="s">
        <v>394</v>
      </c>
      <c r="C316" s="608"/>
      <c r="D316" s="608"/>
      <c r="E316" s="608"/>
      <c r="F316" s="370" t="s">
        <v>395</v>
      </c>
      <c r="G316" s="681">
        <f>'far 1 a(for internal use only)'!G784</f>
        <v>0</v>
      </c>
      <c r="H316" s="681">
        <f>'far 1 a(for internal use only)'!H784</f>
        <v>0</v>
      </c>
      <c r="I316" s="660">
        <f t="shared" si="508"/>
        <v>0</v>
      </c>
      <c r="J316" s="660">
        <f t="shared" si="509"/>
        <v>0</v>
      </c>
      <c r="K316" s="681">
        <f>'far 1 a(for internal use only)'!K784</f>
        <v>0</v>
      </c>
      <c r="L316" s="681">
        <f>'far 1 a(for internal use only)'!L784</f>
        <v>0</v>
      </c>
      <c r="M316" s="681">
        <f>'far 1 a(for internal use only)'!M784</f>
        <v>0</v>
      </c>
      <c r="N316" s="661">
        <f t="shared" si="510"/>
        <v>0</v>
      </c>
      <c r="O316" s="681">
        <f>'far 1 a(for internal use only)'!O784</f>
        <v>0</v>
      </c>
      <c r="P316" s="681">
        <f>'far 1 a(for internal use only)'!P784</f>
        <v>0</v>
      </c>
      <c r="Q316" s="681">
        <f>'far 1 a(for internal use only)'!Q784</f>
        <v>0</v>
      </c>
      <c r="R316" s="681">
        <f>'far 1 a(for internal use only)'!R784</f>
        <v>0</v>
      </c>
      <c r="S316" s="662">
        <f t="shared" si="511"/>
        <v>0</v>
      </c>
      <c r="T316" s="681">
        <f>'far 1 a(for internal use only)'!T784</f>
        <v>0</v>
      </c>
      <c r="U316" s="681">
        <f>'far 1 a(for internal use only)'!U784</f>
        <v>0</v>
      </c>
      <c r="V316" s="681">
        <f>'far 1 a(for internal use only)'!V784</f>
        <v>0</v>
      </c>
      <c r="W316" s="681">
        <f>'far 1 a(for internal use only)'!W784</f>
        <v>0</v>
      </c>
      <c r="X316" s="662">
        <f t="shared" si="512"/>
        <v>0</v>
      </c>
      <c r="Y316" s="662">
        <f t="shared" si="513"/>
        <v>0</v>
      </c>
      <c r="Z316" s="662">
        <f t="shared" si="514"/>
        <v>0</v>
      </c>
      <c r="AA316" s="682">
        <f>'far 1 a(for internal use only)'!AA784</f>
        <v>0</v>
      </c>
      <c r="AB316" s="663">
        <f t="shared" si="515"/>
        <v>0</v>
      </c>
    </row>
    <row r="317" spans="1:28" s="90" customFormat="1" ht="14.1" hidden="1" customHeight="1" x14ac:dyDescent="0.2">
      <c r="A317" s="301"/>
      <c r="B317" s="350" t="s">
        <v>396</v>
      </c>
      <c r="C317" s="608"/>
      <c r="D317" s="608"/>
      <c r="E317" s="608"/>
      <c r="F317" s="370" t="s">
        <v>397</v>
      </c>
      <c r="G317" s="681">
        <f>'far 1 a(for internal use only)'!G785</f>
        <v>0</v>
      </c>
      <c r="H317" s="681">
        <f>'far 1 a(for internal use only)'!H785</f>
        <v>0</v>
      </c>
      <c r="I317" s="660">
        <f t="shared" si="508"/>
        <v>0</v>
      </c>
      <c r="J317" s="660">
        <f t="shared" si="509"/>
        <v>0</v>
      </c>
      <c r="K317" s="681">
        <f>'far 1 a(for internal use only)'!K785</f>
        <v>0</v>
      </c>
      <c r="L317" s="681">
        <f>'far 1 a(for internal use only)'!L785</f>
        <v>0</v>
      </c>
      <c r="M317" s="681">
        <f>'far 1 a(for internal use only)'!M785</f>
        <v>0</v>
      </c>
      <c r="N317" s="661">
        <f t="shared" si="510"/>
        <v>0</v>
      </c>
      <c r="O317" s="681">
        <f>'far 1 a(for internal use only)'!O785</f>
        <v>0</v>
      </c>
      <c r="P317" s="681">
        <f>'far 1 a(for internal use only)'!P785</f>
        <v>0</v>
      </c>
      <c r="Q317" s="681">
        <f>'far 1 a(for internal use only)'!Q785</f>
        <v>0</v>
      </c>
      <c r="R317" s="681">
        <f>'far 1 a(for internal use only)'!R785</f>
        <v>0</v>
      </c>
      <c r="S317" s="662">
        <f t="shared" si="511"/>
        <v>0</v>
      </c>
      <c r="T317" s="681">
        <f>'far 1 a(for internal use only)'!T785</f>
        <v>0</v>
      </c>
      <c r="U317" s="681">
        <f>'far 1 a(for internal use only)'!U785</f>
        <v>0</v>
      </c>
      <c r="V317" s="681">
        <f>'far 1 a(for internal use only)'!V785</f>
        <v>0</v>
      </c>
      <c r="W317" s="681">
        <f>'far 1 a(for internal use only)'!W785</f>
        <v>0</v>
      </c>
      <c r="X317" s="662">
        <f t="shared" si="512"/>
        <v>0</v>
      </c>
      <c r="Y317" s="662">
        <f t="shared" si="513"/>
        <v>0</v>
      </c>
      <c r="Z317" s="662">
        <f t="shared" si="514"/>
        <v>0</v>
      </c>
      <c r="AA317" s="682">
        <f>'far 1 a(for internal use only)'!AA785</f>
        <v>0</v>
      </c>
      <c r="AB317" s="663">
        <f t="shared" si="515"/>
        <v>0</v>
      </c>
    </row>
    <row r="318" spans="1:28" s="90" customFormat="1" ht="14.1" hidden="1" customHeight="1" x14ac:dyDescent="0.2">
      <c r="A318" s="301"/>
      <c r="B318" s="350" t="s">
        <v>398</v>
      </c>
      <c r="C318" s="608"/>
      <c r="D318" s="608"/>
      <c r="E318" s="608"/>
      <c r="F318" s="370" t="s">
        <v>399</v>
      </c>
      <c r="G318" s="681">
        <f>'far 1 a(for internal use only)'!G786</f>
        <v>0</v>
      </c>
      <c r="H318" s="681">
        <f>'far 1 a(for internal use only)'!H786</f>
        <v>0</v>
      </c>
      <c r="I318" s="660">
        <f t="shared" si="508"/>
        <v>0</v>
      </c>
      <c r="J318" s="660">
        <f t="shared" si="509"/>
        <v>0</v>
      </c>
      <c r="K318" s="681">
        <f>'far 1 a(for internal use only)'!K786</f>
        <v>0</v>
      </c>
      <c r="L318" s="681">
        <f>'far 1 a(for internal use only)'!L786</f>
        <v>0</v>
      </c>
      <c r="M318" s="681">
        <f>'far 1 a(for internal use only)'!M786</f>
        <v>0</v>
      </c>
      <c r="N318" s="661">
        <f t="shared" si="510"/>
        <v>0</v>
      </c>
      <c r="O318" s="681">
        <f>'far 1 a(for internal use only)'!O786</f>
        <v>0</v>
      </c>
      <c r="P318" s="681">
        <f>'far 1 a(for internal use only)'!P786</f>
        <v>0</v>
      </c>
      <c r="Q318" s="681">
        <f>'far 1 a(for internal use only)'!Q786</f>
        <v>0</v>
      </c>
      <c r="R318" s="681">
        <f>'far 1 a(for internal use only)'!R786</f>
        <v>0</v>
      </c>
      <c r="S318" s="662">
        <f t="shared" si="511"/>
        <v>0</v>
      </c>
      <c r="T318" s="681">
        <f>'far 1 a(for internal use only)'!T786</f>
        <v>0</v>
      </c>
      <c r="U318" s="681">
        <f>'far 1 a(for internal use only)'!U786</f>
        <v>0</v>
      </c>
      <c r="V318" s="681">
        <f>'far 1 a(for internal use only)'!V786</f>
        <v>0</v>
      </c>
      <c r="W318" s="681">
        <f>'far 1 a(for internal use only)'!W786</f>
        <v>0</v>
      </c>
      <c r="X318" s="662">
        <f t="shared" si="512"/>
        <v>0</v>
      </c>
      <c r="Y318" s="662">
        <f t="shared" si="513"/>
        <v>0</v>
      </c>
      <c r="Z318" s="662">
        <f t="shared" si="514"/>
        <v>0</v>
      </c>
      <c r="AA318" s="682">
        <f>'far 1 a(for internal use only)'!AA786</f>
        <v>0</v>
      </c>
      <c r="AB318" s="663">
        <f t="shared" si="515"/>
        <v>0</v>
      </c>
    </row>
    <row r="319" spans="1:28" s="90" customFormat="1" ht="14.1" hidden="1" customHeight="1" x14ac:dyDescent="0.2">
      <c r="A319" s="301"/>
      <c r="B319" s="350" t="s">
        <v>400</v>
      </c>
      <c r="C319" s="608"/>
      <c r="D319" s="608"/>
      <c r="E319" s="608"/>
      <c r="F319" s="370" t="s">
        <v>401</v>
      </c>
      <c r="G319" s="681">
        <f>'far 1 a(for internal use only)'!G787</f>
        <v>0</v>
      </c>
      <c r="H319" s="681">
        <f>'far 1 a(for internal use only)'!H787</f>
        <v>0</v>
      </c>
      <c r="I319" s="660">
        <f t="shared" si="508"/>
        <v>0</v>
      </c>
      <c r="J319" s="660">
        <f t="shared" si="509"/>
        <v>0</v>
      </c>
      <c r="K319" s="681">
        <f>'far 1 a(for internal use only)'!K787</f>
        <v>0</v>
      </c>
      <c r="L319" s="681">
        <f>'far 1 a(for internal use only)'!L787</f>
        <v>0</v>
      </c>
      <c r="M319" s="681">
        <f>'far 1 a(for internal use only)'!M787</f>
        <v>0</v>
      </c>
      <c r="N319" s="661">
        <f t="shared" si="510"/>
        <v>0</v>
      </c>
      <c r="O319" s="681">
        <f>'far 1 a(for internal use only)'!O787</f>
        <v>0</v>
      </c>
      <c r="P319" s="681">
        <f>'far 1 a(for internal use only)'!P787</f>
        <v>0</v>
      </c>
      <c r="Q319" s="681">
        <f>'far 1 a(for internal use only)'!Q787</f>
        <v>0</v>
      </c>
      <c r="R319" s="681">
        <f>'far 1 a(for internal use only)'!R787</f>
        <v>0</v>
      </c>
      <c r="S319" s="662">
        <f t="shared" si="511"/>
        <v>0</v>
      </c>
      <c r="T319" s="681">
        <f>'far 1 a(for internal use only)'!T787</f>
        <v>0</v>
      </c>
      <c r="U319" s="681">
        <f>'far 1 a(for internal use only)'!U787</f>
        <v>0</v>
      </c>
      <c r="V319" s="681">
        <f>'far 1 a(for internal use only)'!V787</f>
        <v>0</v>
      </c>
      <c r="W319" s="681">
        <f>'far 1 a(for internal use only)'!W787</f>
        <v>0</v>
      </c>
      <c r="X319" s="662">
        <f t="shared" si="512"/>
        <v>0</v>
      </c>
      <c r="Y319" s="662">
        <f t="shared" si="513"/>
        <v>0</v>
      </c>
      <c r="Z319" s="662">
        <f t="shared" si="514"/>
        <v>0</v>
      </c>
      <c r="AA319" s="682">
        <f>'far 1 a(for internal use only)'!AA787</f>
        <v>0</v>
      </c>
      <c r="AB319" s="663">
        <f t="shared" si="515"/>
        <v>0</v>
      </c>
    </row>
    <row r="320" spans="1:28" s="90" customFormat="1" ht="14.1" hidden="1" customHeight="1" x14ac:dyDescent="0.2">
      <c r="A320" s="301"/>
      <c r="B320" s="350" t="s">
        <v>402</v>
      </c>
      <c r="C320" s="608"/>
      <c r="D320" s="608"/>
      <c r="E320" s="608"/>
      <c r="F320" s="370" t="s">
        <v>403</v>
      </c>
      <c r="G320" s="681">
        <f>'far 1 a(for internal use only)'!G788</f>
        <v>0</v>
      </c>
      <c r="H320" s="681">
        <f>'far 1 a(for internal use only)'!H788</f>
        <v>0</v>
      </c>
      <c r="I320" s="660">
        <f t="shared" si="508"/>
        <v>0</v>
      </c>
      <c r="J320" s="660">
        <f t="shared" si="509"/>
        <v>0</v>
      </c>
      <c r="K320" s="681">
        <f>'far 1 a(for internal use only)'!K788</f>
        <v>0</v>
      </c>
      <c r="L320" s="681">
        <f>'far 1 a(for internal use only)'!L788</f>
        <v>0</v>
      </c>
      <c r="M320" s="681">
        <f>'far 1 a(for internal use only)'!M788</f>
        <v>0</v>
      </c>
      <c r="N320" s="661">
        <f t="shared" si="510"/>
        <v>0</v>
      </c>
      <c r="O320" s="681">
        <f>'far 1 a(for internal use only)'!O788</f>
        <v>0</v>
      </c>
      <c r="P320" s="681">
        <f>'far 1 a(for internal use only)'!P788</f>
        <v>0</v>
      </c>
      <c r="Q320" s="681">
        <f>'far 1 a(for internal use only)'!Q788</f>
        <v>0</v>
      </c>
      <c r="R320" s="681">
        <f>'far 1 a(for internal use only)'!R788</f>
        <v>0</v>
      </c>
      <c r="S320" s="662">
        <f t="shared" si="511"/>
        <v>0</v>
      </c>
      <c r="T320" s="681">
        <f>'far 1 a(for internal use only)'!T788</f>
        <v>0</v>
      </c>
      <c r="U320" s="681">
        <f>'far 1 a(for internal use only)'!U788</f>
        <v>0</v>
      </c>
      <c r="V320" s="681">
        <f>'far 1 a(for internal use only)'!V788</f>
        <v>0</v>
      </c>
      <c r="W320" s="681">
        <f>'far 1 a(for internal use only)'!W788</f>
        <v>0</v>
      </c>
      <c r="X320" s="662">
        <f t="shared" si="512"/>
        <v>0</v>
      </c>
      <c r="Y320" s="662">
        <f t="shared" si="513"/>
        <v>0</v>
      </c>
      <c r="Z320" s="662">
        <f t="shared" si="514"/>
        <v>0</v>
      </c>
      <c r="AA320" s="682">
        <f>'far 1 a(for internal use only)'!AA788</f>
        <v>0</v>
      </c>
      <c r="AB320" s="663">
        <f t="shared" si="515"/>
        <v>0</v>
      </c>
    </row>
    <row r="321" spans="1:28" s="90" customFormat="1" ht="14.1" hidden="1" customHeight="1" x14ac:dyDescent="0.2">
      <c r="A321" s="301"/>
      <c r="B321" s="350" t="s">
        <v>404</v>
      </c>
      <c r="C321" s="608"/>
      <c r="D321" s="608"/>
      <c r="E321" s="608"/>
      <c r="F321" s="370" t="s">
        <v>405</v>
      </c>
      <c r="G321" s="681">
        <f>'far 1 a(for internal use only)'!G789</f>
        <v>0</v>
      </c>
      <c r="H321" s="681">
        <f>'far 1 a(for internal use only)'!H789</f>
        <v>0</v>
      </c>
      <c r="I321" s="660">
        <f t="shared" si="508"/>
        <v>0</v>
      </c>
      <c r="J321" s="660">
        <f t="shared" si="509"/>
        <v>0</v>
      </c>
      <c r="K321" s="681">
        <f>'far 1 a(for internal use only)'!K789</f>
        <v>0</v>
      </c>
      <c r="L321" s="681">
        <f>'far 1 a(for internal use only)'!L789</f>
        <v>0</v>
      </c>
      <c r="M321" s="681">
        <f>'far 1 a(for internal use only)'!M789</f>
        <v>0</v>
      </c>
      <c r="N321" s="661">
        <f t="shared" si="510"/>
        <v>0</v>
      </c>
      <c r="O321" s="681">
        <f>'far 1 a(for internal use only)'!O789</f>
        <v>0</v>
      </c>
      <c r="P321" s="681">
        <f>'far 1 a(for internal use only)'!P789</f>
        <v>0</v>
      </c>
      <c r="Q321" s="681">
        <f>'far 1 a(for internal use only)'!Q789</f>
        <v>0</v>
      </c>
      <c r="R321" s="681">
        <f>'far 1 a(for internal use only)'!R789</f>
        <v>0</v>
      </c>
      <c r="S321" s="662">
        <f t="shared" si="511"/>
        <v>0</v>
      </c>
      <c r="T321" s="681">
        <f>'far 1 a(for internal use only)'!T789</f>
        <v>0</v>
      </c>
      <c r="U321" s="681">
        <f>'far 1 a(for internal use only)'!U789</f>
        <v>0</v>
      </c>
      <c r="V321" s="681">
        <f>'far 1 a(for internal use only)'!V789</f>
        <v>0</v>
      </c>
      <c r="W321" s="681">
        <f>'far 1 a(for internal use only)'!W789</f>
        <v>0</v>
      </c>
      <c r="X321" s="662">
        <f t="shared" si="512"/>
        <v>0</v>
      </c>
      <c r="Y321" s="662">
        <f t="shared" si="513"/>
        <v>0</v>
      </c>
      <c r="Z321" s="662">
        <f t="shared" si="514"/>
        <v>0</v>
      </c>
      <c r="AA321" s="682">
        <f>'far 1 a(for internal use only)'!AA789</f>
        <v>0</v>
      </c>
      <c r="AB321" s="663">
        <f t="shared" si="515"/>
        <v>0</v>
      </c>
    </row>
    <row r="322" spans="1:28" s="90" customFormat="1" ht="14.1" hidden="1" customHeight="1" x14ac:dyDescent="0.2">
      <c r="A322" s="301"/>
      <c r="B322" s="350" t="s">
        <v>727</v>
      </c>
      <c r="C322" s="718"/>
      <c r="D322" s="718"/>
      <c r="E322" s="718"/>
      <c r="F322" s="370" t="s">
        <v>728</v>
      </c>
      <c r="G322" s="681">
        <f>'far 1 a(for internal use only)'!G790</f>
        <v>0</v>
      </c>
      <c r="H322" s="681">
        <f>'far 1 a(for internal use only)'!H790</f>
        <v>0</v>
      </c>
      <c r="I322" s="660">
        <f t="shared" ref="I322" si="516">G322+H322</f>
        <v>0</v>
      </c>
      <c r="J322" s="660">
        <f t="shared" ref="J322" si="517">I322</f>
        <v>0</v>
      </c>
      <c r="K322" s="681">
        <f>'far 1 a(for internal use only)'!K790</f>
        <v>0</v>
      </c>
      <c r="L322" s="681">
        <f>'far 1 a(for internal use only)'!L790</f>
        <v>0</v>
      </c>
      <c r="M322" s="681">
        <f>'far 1 a(for internal use only)'!M790</f>
        <v>0</v>
      </c>
      <c r="N322" s="661">
        <f t="shared" ref="N322" si="518">J322+K322-L322+M322</f>
        <v>0</v>
      </c>
      <c r="O322" s="681">
        <f>'far 1 a(for internal use only)'!O790</f>
        <v>0</v>
      </c>
      <c r="P322" s="681">
        <f>'far 1 a(for internal use only)'!P790</f>
        <v>0</v>
      </c>
      <c r="Q322" s="681">
        <f>'far 1 a(for internal use only)'!Q790</f>
        <v>0</v>
      </c>
      <c r="R322" s="681">
        <f>'far 1 a(for internal use only)'!R790</f>
        <v>0</v>
      </c>
      <c r="S322" s="662">
        <f t="shared" ref="S322" si="519">SUM(O322:R322)</f>
        <v>0</v>
      </c>
      <c r="T322" s="681">
        <f>'far 1 a(for internal use only)'!T790</f>
        <v>0</v>
      </c>
      <c r="U322" s="681">
        <f>'far 1 a(for internal use only)'!U790</f>
        <v>0</v>
      </c>
      <c r="V322" s="681">
        <f>'far 1 a(for internal use only)'!V790</f>
        <v>0</v>
      </c>
      <c r="W322" s="681">
        <f>'far 1 a(for internal use only)'!W790</f>
        <v>0</v>
      </c>
      <c r="X322" s="662">
        <f t="shared" ref="X322" si="520">SUM(T322:W322)</f>
        <v>0</v>
      </c>
      <c r="Y322" s="662">
        <f t="shared" ref="Y322" si="521">I322-N322</f>
        <v>0</v>
      </c>
      <c r="Z322" s="662">
        <f t="shared" ref="Z322" si="522">N322-S322</f>
        <v>0</v>
      </c>
      <c r="AA322" s="682">
        <f>'far 1 a(for internal use only)'!AA790</f>
        <v>0</v>
      </c>
      <c r="AB322" s="663">
        <f t="shared" ref="AB322" si="523">+S322-X322-AA322</f>
        <v>0</v>
      </c>
    </row>
    <row r="323" spans="1:28" s="90" customFormat="1" ht="14.1" hidden="1" customHeight="1" x14ac:dyDescent="0.2">
      <c r="A323" s="301"/>
      <c r="B323" s="350" t="s">
        <v>406</v>
      </c>
      <c r="C323" s="608"/>
      <c r="D323" s="608"/>
      <c r="E323" s="608"/>
      <c r="F323" s="370" t="s">
        <v>407</v>
      </c>
      <c r="G323" s="681">
        <f>'far 1 a(for internal use only)'!G791</f>
        <v>0</v>
      </c>
      <c r="H323" s="681">
        <f>'far 1 a(for internal use only)'!H791</f>
        <v>0</v>
      </c>
      <c r="I323" s="660">
        <f t="shared" si="508"/>
        <v>0</v>
      </c>
      <c r="J323" s="660">
        <f t="shared" si="509"/>
        <v>0</v>
      </c>
      <c r="K323" s="681">
        <f>'far 1 a(for internal use only)'!K791</f>
        <v>0</v>
      </c>
      <c r="L323" s="681">
        <f>'far 1 a(for internal use only)'!L791</f>
        <v>0</v>
      </c>
      <c r="M323" s="681">
        <f>'far 1 a(for internal use only)'!M791</f>
        <v>0</v>
      </c>
      <c r="N323" s="661">
        <f t="shared" si="510"/>
        <v>0</v>
      </c>
      <c r="O323" s="681">
        <f>'far 1 a(for internal use only)'!O791</f>
        <v>0</v>
      </c>
      <c r="P323" s="681">
        <f>'far 1 a(for internal use only)'!P791</f>
        <v>0</v>
      </c>
      <c r="Q323" s="681">
        <f>'far 1 a(for internal use only)'!Q791</f>
        <v>0</v>
      </c>
      <c r="R323" s="681">
        <f>'far 1 a(for internal use only)'!R791</f>
        <v>0</v>
      </c>
      <c r="S323" s="662">
        <f t="shared" si="511"/>
        <v>0</v>
      </c>
      <c r="T323" s="681">
        <f>'far 1 a(for internal use only)'!T791</f>
        <v>0</v>
      </c>
      <c r="U323" s="681">
        <f>'far 1 a(for internal use only)'!U791</f>
        <v>0</v>
      </c>
      <c r="V323" s="681">
        <f>'far 1 a(for internal use only)'!V791</f>
        <v>0</v>
      </c>
      <c r="W323" s="681">
        <f>'far 1 a(for internal use only)'!W791</f>
        <v>0</v>
      </c>
      <c r="X323" s="662">
        <f t="shared" si="512"/>
        <v>0</v>
      </c>
      <c r="Y323" s="662">
        <f t="shared" si="513"/>
        <v>0</v>
      </c>
      <c r="Z323" s="662">
        <f t="shared" si="514"/>
        <v>0</v>
      </c>
      <c r="AA323" s="682">
        <f>'far 1 a(for internal use only)'!AA791</f>
        <v>0</v>
      </c>
      <c r="AB323" s="663">
        <f t="shared" si="515"/>
        <v>0</v>
      </c>
    </row>
    <row r="324" spans="1:28" s="90" customFormat="1" ht="14.1" customHeight="1" x14ac:dyDescent="0.2">
      <c r="A324" s="301"/>
      <c r="B324" s="351" t="s">
        <v>408</v>
      </c>
      <c r="C324" s="608"/>
      <c r="D324" s="608"/>
      <c r="E324" s="608"/>
      <c r="F324" s="370"/>
      <c r="G324" s="652"/>
      <c r="H324" s="652"/>
      <c r="I324" s="652"/>
      <c r="J324" s="652"/>
      <c r="K324" s="684"/>
      <c r="L324" s="684"/>
      <c r="M324" s="684"/>
      <c r="N324" s="685"/>
      <c r="O324" s="684"/>
      <c r="P324" s="684"/>
      <c r="Q324" s="684"/>
      <c r="R324" s="684"/>
      <c r="S324" s="684"/>
      <c r="T324" s="684"/>
      <c r="U324" s="684"/>
      <c r="V324" s="684"/>
      <c r="W324" s="684"/>
      <c r="X324" s="684"/>
      <c r="Y324" s="684"/>
      <c r="Z324" s="684"/>
      <c r="AA324" s="684"/>
      <c r="AB324" s="686"/>
    </row>
    <row r="325" spans="1:28" s="90" customFormat="1" ht="14.1" customHeight="1" x14ac:dyDescent="0.2">
      <c r="A325" s="301"/>
      <c r="B325" s="350" t="s">
        <v>409</v>
      </c>
      <c r="C325" s="608"/>
      <c r="D325" s="608"/>
      <c r="E325" s="608"/>
      <c r="F325" s="370" t="s">
        <v>410</v>
      </c>
      <c r="G325" s="681">
        <f>'far 1 a(for internal use only)'!G793</f>
        <v>2601.88</v>
      </c>
      <c r="H325" s="681">
        <f>'far 1 a(for internal use only)'!H793</f>
        <v>0</v>
      </c>
      <c r="I325" s="660">
        <f t="shared" ref="I325:I327" si="524">G325+H325</f>
        <v>2601.88</v>
      </c>
      <c r="J325" s="660">
        <f t="shared" ref="J325:J327" si="525">I325</f>
        <v>2601.88</v>
      </c>
      <c r="K325" s="681">
        <f>'far 1 a(for internal use only)'!K793</f>
        <v>0</v>
      </c>
      <c r="L325" s="681">
        <f>'far 1 a(for internal use only)'!L793</f>
        <v>0</v>
      </c>
      <c r="M325" s="681">
        <f>'far 1 a(for internal use only)'!M793</f>
        <v>0</v>
      </c>
      <c r="N325" s="661">
        <f t="shared" ref="N325:N327" si="526">J325+K325-L325+M325</f>
        <v>2601.88</v>
      </c>
      <c r="O325" s="681">
        <f>'far 1 a(for internal use only)'!O793</f>
        <v>0</v>
      </c>
      <c r="P325" s="681">
        <f>'far 1 a(for internal use only)'!P793</f>
        <v>0</v>
      </c>
      <c r="Q325" s="681">
        <f>'far 1 a(for internal use only)'!Q793</f>
        <v>2229.06</v>
      </c>
      <c r="R325" s="681">
        <f>'far 1 a(for internal use only)'!R793</f>
        <v>372.82</v>
      </c>
      <c r="S325" s="662">
        <f t="shared" ref="S325:S327" si="527">SUM(O325:R325)</f>
        <v>2601.88</v>
      </c>
      <c r="T325" s="681">
        <f>'far 1 a(for internal use only)'!T793</f>
        <v>0</v>
      </c>
      <c r="U325" s="681">
        <f>'far 1 a(for internal use only)'!U793</f>
        <v>0</v>
      </c>
      <c r="V325" s="681">
        <f>'far 1 a(for internal use only)'!V793</f>
        <v>2229.06</v>
      </c>
      <c r="W325" s="681">
        <f>'far 1 a(for internal use only)'!W793</f>
        <v>372.82</v>
      </c>
      <c r="X325" s="662">
        <f t="shared" ref="X325:X327" si="528">SUM(T325:W325)</f>
        <v>2601.88</v>
      </c>
      <c r="Y325" s="662">
        <f t="shared" ref="Y325:Y327" si="529">I325-N325</f>
        <v>0</v>
      </c>
      <c r="Z325" s="662">
        <f t="shared" ref="Z325:Z327" si="530">N325-S325</f>
        <v>0</v>
      </c>
      <c r="AA325" s="682">
        <f>'far 1 a(for internal use only)'!AA793</f>
        <v>0</v>
      </c>
      <c r="AB325" s="663">
        <f t="shared" ref="AB325:AB327" si="531">+S325-X325-AA325</f>
        <v>0</v>
      </c>
    </row>
    <row r="326" spans="1:28" s="90" customFormat="1" ht="14.1" customHeight="1" x14ac:dyDescent="0.2">
      <c r="A326" s="301"/>
      <c r="B326" s="350" t="s">
        <v>411</v>
      </c>
      <c r="C326" s="608"/>
      <c r="D326" s="608"/>
      <c r="E326" s="608"/>
      <c r="F326" s="370" t="s">
        <v>412</v>
      </c>
      <c r="G326" s="681">
        <f>'far 1 a(for internal use only)'!G794</f>
        <v>20746.25</v>
      </c>
      <c r="H326" s="681">
        <f>'far 1 a(for internal use only)'!H794</f>
        <v>0</v>
      </c>
      <c r="I326" s="660">
        <f t="shared" si="524"/>
        <v>20746.25</v>
      </c>
      <c r="J326" s="660">
        <f t="shared" si="525"/>
        <v>20746.25</v>
      </c>
      <c r="K326" s="681">
        <f>'far 1 a(for internal use only)'!K794</f>
        <v>0</v>
      </c>
      <c r="L326" s="681">
        <f>'far 1 a(for internal use only)'!L794</f>
        <v>0</v>
      </c>
      <c r="M326" s="681">
        <f>'far 1 a(for internal use only)'!M794</f>
        <v>0</v>
      </c>
      <c r="N326" s="661">
        <f t="shared" si="526"/>
        <v>20746.25</v>
      </c>
      <c r="O326" s="681">
        <f>'far 1 a(for internal use only)'!O794</f>
        <v>0</v>
      </c>
      <c r="P326" s="681">
        <f>'far 1 a(for internal use only)'!P794</f>
        <v>0</v>
      </c>
      <c r="Q326" s="681">
        <f>'far 1 a(for internal use only)'!Q794</f>
        <v>2311.25</v>
      </c>
      <c r="R326" s="681">
        <f>'far 1 a(for internal use only)'!R794</f>
        <v>1500</v>
      </c>
      <c r="S326" s="662">
        <f t="shared" si="527"/>
        <v>3811.25</v>
      </c>
      <c r="T326" s="681">
        <f>'far 1 a(for internal use only)'!T794</f>
        <v>0</v>
      </c>
      <c r="U326" s="681">
        <f>'far 1 a(for internal use only)'!U794</f>
        <v>0</v>
      </c>
      <c r="V326" s="681">
        <f>'far 1 a(for internal use only)'!V794</f>
        <v>2311.25</v>
      </c>
      <c r="W326" s="681">
        <f>'far 1 a(for internal use only)'!W794</f>
        <v>1500</v>
      </c>
      <c r="X326" s="662">
        <f t="shared" si="528"/>
        <v>3811.25</v>
      </c>
      <c r="Y326" s="662">
        <f t="shared" si="529"/>
        <v>0</v>
      </c>
      <c r="Z326" s="662">
        <f t="shared" si="530"/>
        <v>16935</v>
      </c>
      <c r="AA326" s="682">
        <f>'far 1 a(for internal use only)'!AA794</f>
        <v>0</v>
      </c>
      <c r="AB326" s="663">
        <f t="shared" si="531"/>
        <v>0</v>
      </c>
    </row>
    <row r="327" spans="1:28" s="90" customFormat="1" ht="14.1" customHeight="1" x14ac:dyDescent="0.2">
      <c r="A327" s="301"/>
      <c r="B327" s="350" t="s">
        <v>413</v>
      </c>
      <c r="C327" s="608"/>
      <c r="D327" s="608"/>
      <c r="E327" s="608"/>
      <c r="F327" s="370" t="s">
        <v>414</v>
      </c>
      <c r="G327" s="681">
        <f>'far 1 a(for internal use only)'!G795</f>
        <v>33056.720000000001</v>
      </c>
      <c r="H327" s="681">
        <f>'far 1 a(for internal use only)'!H795</f>
        <v>0</v>
      </c>
      <c r="I327" s="660">
        <f t="shared" si="524"/>
        <v>33056.720000000001</v>
      </c>
      <c r="J327" s="660">
        <f t="shared" si="525"/>
        <v>33056.720000000001</v>
      </c>
      <c r="K327" s="681">
        <f>'far 1 a(for internal use only)'!K795</f>
        <v>0</v>
      </c>
      <c r="L327" s="681">
        <f>'far 1 a(for internal use only)'!L795</f>
        <v>0</v>
      </c>
      <c r="M327" s="681">
        <f>'far 1 a(for internal use only)'!M795</f>
        <v>0</v>
      </c>
      <c r="N327" s="661">
        <f t="shared" si="526"/>
        <v>33056.720000000001</v>
      </c>
      <c r="O327" s="681">
        <f>'far 1 a(for internal use only)'!O795</f>
        <v>0</v>
      </c>
      <c r="P327" s="681">
        <f>'far 1 a(for internal use only)'!P795</f>
        <v>0</v>
      </c>
      <c r="Q327" s="681">
        <f>'far 1 a(for internal use only)'!Q795</f>
        <v>33056.720000000001</v>
      </c>
      <c r="R327" s="681">
        <f>'far 1 a(for internal use only)'!R795</f>
        <v>0</v>
      </c>
      <c r="S327" s="662">
        <f t="shared" si="527"/>
        <v>33056.720000000001</v>
      </c>
      <c r="T327" s="681">
        <f>'far 1 a(for internal use only)'!T795</f>
        <v>0</v>
      </c>
      <c r="U327" s="681">
        <f>'far 1 a(for internal use only)'!U795</f>
        <v>0</v>
      </c>
      <c r="V327" s="681">
        <f>'far 1 a(for internal use only)'!V795</f>
        <v>33056.720000000001</v>
      </c>
      <c r="W327" s="681">
        <f>'far 1 a(for internal use only)'!W795</f>
        <v>0</v>
      </c>
      <c r="X327" s="662">
        <f t="shared" si="528"/>
        <v>33056.720000000001</v>
      </c>
      <c r="Y327" s="662">
        <f t="shared" si="529"/>
        <v>0</v>
      </c>
      <c r="Z327" s="662">
        <f t="shared" si="530"/>
        <v>0</v>
      </c>
      <c r="AA327" s="682">
        <f>'far 1 a(for internal use only)'!AA795</f>
        <v>0</v>
      </c>
      <c r="AB327" s="663">
        <f t="shared" si="531"/>
        <v>0</v>
      </c>
    </row>
    <row r="328" spans="1:28" s="90" customFormat="1" ht="14.1" customHeight="1" x14ac:dyDescent="0.2">
      <c r="A328" s="301"/>
      <c r="B328" s="351" t="s">
        <v>415</v>
      </c>
      <c r="C328" s="608"/>
      <c r="D328" s="608"/>
      <c r="E328" s="608"/>
      <c r="F328" s="370"/>
      <c r="G328" s="652"/>
      <c r="H328" s="652"/>
      <c r="I328" s="652"/>
      <c r="J328" s="652"/>
      <c r="K328" s="684"/>
      <c r="L328" s="684"/>
      <c r="M328" s="684"/>
      <c r="N328" s="685"/>
      <c r="O328" s="684"/>
      <c r="P328" s="684"/>
      <c r="Q328" s="684"/>
      <c r="R328" s="684"/>
      <c r="S328" s="684"/>
      <c r="T328" s="684"/>
      <c r="U328" s="684"/>
      <c r="V328" s="684"/>
      <c r="W328" s="684"/>
      <c r="X328" s="684"/>
      <c r="Y328" s="684"/>
      <c r="Z328" s="684"/>
      <c r="AA328" s="684"/>
      <c r="AB328" s="686"/>
    </row>
    <row r="329" spans="1:28" s="90" customFormat="1" ht="14.1" customHeight="1" x14ac:dyDescent="0.2">
      <c r="A329" s="301"/>
      <c r="B329" s="350" t="s">
        <v>416</v>
      </c>
      <c r="C329" s="608"/>
      <c r="D329" s="608"/>
      <c r="E329" s="608"/>
      <c r="F329" s="370" t="s">
        <v>417</v>
      </c>
      <c r="G329" s="681">
        <f>'far 1 a(for internal use only)'!G797</f>
        <v>16596.43</v>
      </c>
      <c r="H329" s="681">
        <f>'far 1 a(for internal use only)'!H797</f>
        <v>0</v>
      </c>
      <c r="I329" s="660">
        <f t="shared" ref="I329:I338" si="532">G329+H329</f>
        <v>16596.43</v>
      </c>
      <c r="J329" s="660">
        <f t="shared" ref="J329:J338" si="533">I329</f>
        <v>16596.43</v>
      </c>
      <c r="K329" s="681">
        <f>'far 1 a(for internal use only)'!K797</f>
        <v>0</v>
      </c>
      <c r="L329" s="681">
        <f>'far 1 a(for internal use only)'!L797</f>
        <v>0</v>
      </c>
      <c r="M329" s="681">
        <f>'far 1 a(for internal use only)'!M797</f>
        <v>0</v>
      </c>
      <c r="N329" s="661">
        <f t="shared" ref="N329:N338" si="534">J329+K329-L329+M329</f>
        <v>16596.43</v>
      </c>
      <c r="O329" s="681">
        <f>'far 1 a(for internal use only)'!O797</f>
        <v>0</v>
      </c>
      <c r="P329" s="681">
        <f>'far 1 a(for internal use only)'!P797</f>
        <v>0</v>
      </c>
      <c r="Q329" s="681">
        <f>'far 1 a(for internal use only)'!Q797</f>
        <v>0</v>
      </c>
      <c r="R329" s="681">
        <f>'far 1 a(for internal use only)'!R797</f>
        <v>0</v>
      </c>
      <c r="S329" s="662">
        <f t="shared" ref="S329:S338" si="535">SUM(O329:R329)</f>
        <v>0</v>
      </c>
      <c r="T329" s="681">
        <f>'far 1 a(for internal use only)'!T797</f>
        <v>0</v>
      </c>
      <c r="U329" s="681">
        <f>'far 1 a(for internal use only)'!U797</f>
        <v>0</v>
      </c>
      <c r="V329" s="681">
        <f>'far 1 a(for internal use only)'!V797</f>
        <v>0</v>
      </c>
      <c r="W329" s="681">
        <f>'far 1 a(for internal use only)'!W797</f>
        <v>0</v>
      </c>
      <c r="X329" s="662">
        <f t="shared" ref="X329:X338" si="536">SUM(T329:W329)</f>
        <v>0</v>
      </c>
      <c r="Y329" s="662">
        <f t="shared" ref="Y329:Y338" si="537">I329-N329</f>
        <v>0</v>
      </c>
      <c r="Z329" s="662">
        <f t="shared" ref="Z329:Z338" si="538">N329-S329</f>
        <v>16596.43</v>
      </c>
      <c r="AA329" s="682">
        <f>'far 1 a(for internal use only)'!AA797</f>
        <v>0</v>
      </c>
      <c r="AB329" s="663">
        <f t="shared" ref="AB329:AB338" si="539">+S329-X329-AA329</f>
        <v>0</v>
      </c>
    </row>
    <row r="330" spans="1:28" s="90" customFormat="1" ht="14.1" customHeight="1" x14ac:dyDescent="0.2">
      <c r="A330" s="301"/>
      <c r="B330" s="350" t="s">
        <v>418</v>
      </c>
      <c r="C330" s="608"/>
      <c r="D330" s="608"/>
      <c r="E330" s="608"/>
      <c r="F330" s="370" t="s">
        <v>419</v>
      </c>
      <c r="G330" s="681">
        <f>'far 1 a(for internal use only)'!G798</f>
        <v>52000</v>
      </c>
      <c r="H330" s="681">
        <f>'far 1 a(for internal use only)'!H798</f>
        <v>0</v>
      </c>
      <c r="I330" s="660">
        <f t="shared" si="532"/>
        <v>52000</v>
      </c>
      <c r="J330" s="660">
        <f t="shared" si="533"/>
        <v>52000</v>
      </c>
      <c r="K330" s="681">
        <f>'far 1 a(for internal use only)'!K798</f>
        <v>0</v>
      </c>
      <c r="L330" s="681">
        <f>'far 1 a(for internal use only)'!L798</f>
        <v>0</v>
      </c>
      <c r="M330" s="681">
        <f>'far 1 a(for internal use only)'!M798</f>
        <v>0</v>
      </c>
      <c r="N330" s="661">
        <f t="shared" si="534"/>
        <v>52000</v>
      </c>
      <c r="O330" s="681">
        <f>'far 1 a(for internal use only)'!O798</f>
        <v>0</v>
      </c>
      <c r="P330" s="681">
        <f>'far 1 a(for internal use only)'!P798</f>
        <v>0</v>
      </c>
      <c r="Q330" s="681">
        <f>'far 1 a(for internal use only)'!Q798</f>
        <v>0</v>
      </c>
      <c r="R330" s="681">
        <f>'far 1 a(for internal use only)'!R798</f>
        <v>30000</v>
      </c>
      <c r="S330" s="662">
        <f t="shared" si="535"/>
        <v>30000</v>
      </c>
      <c r="T330" s="681">
        <f>'far 1 a(for internal use only)'!T798</f>
        <v>0</v>
      </c>
      <c r="U330" s="681">
        <f>'far 1 a(for internal use only)'!U798</f>
        <v>0</v>
      </c>
      <c r="V330" s="681">
        <f>'far 1 a(for internal use only)'!V798</f>
        <v>0</v>
      </c>
      <c r="W330" s="681">
        <f>'far 1 a(for internal use only)'!W798</f>
        <v>30000</v>
      </c>
      <c r="X330" s="662">
        <f t="shared" si="536"/>
        <v>30000</v>
      </c>
      <c r="Y330" s="662">
        <f t="shared" si="537"/>
        <v>0</v>
      </c>
      <c r="Z330" s="662">
        <f t="shared" si="538"/>
        <v>22000</v>
      </c>
      <c r="AA330" s="682">
        <f>'far 1 a(for internal use only)'!AA798</f>
        <v>0</v>
      </c>
      <c r="AB330" s="663">
        <f t="shared" si="539"/>
        <v>0</v>
      </c>
    </row>
    <row r="331" spans="1:28" s="90" customFormat="1" ht="14.1" customHeight="1" x14ac:dyDescent="0.2">
      <c r="A331" s="301"/>
      <c r="B331" s="350" t="s">
        <v>420</v>
      </c>
      <c r="C331" s="608"/>
      <c r="D331" s="608"/>
      <c r="E331" s="608"/>
      <c r="F331" s="370" t="s">
        <v>421</v>
      </c>
      <c r="G331" s="681">
        <f>'far 1 a(for internal use only)'!G799</f>
        <v>0</v>
      </c>
      <c r="H331" s="681">
        <f>'far 1 a(for internal use only)'!H799</f>
        <v>0</v>
      </c>
      <c r="I331" s="660">
        <f t="shared" si="532"/>
        <v>0</v>
      </c>
      <c r="J331" s="660">
        <f t="shared" si="533"/>
        <v>0</v>
      </c>
      <c r="K331" s="681">
        <f>'far 1 a(for internal use only)'!K799</f>
        <v>0</v>
      </c>
      <c r="L331" s="681">
        <f>'far 1 a(for internal use only)'!L799</f>
        <v>0</v>
      </c>
      <c r="M331" s="681">
        <f>'far 1 a(for internal use only)'!M799</f>
        <v>0</v>
      </c>
      <c r="N331" s="661">
        <f t="shared" si="534"/>
        <v>0</v>
      </c>
      <c r="O331" s="681">
        <f>'far 1 a(for internal use only)'!O799</f>
        <v>0</v>
      </c>
      <c r="P331" s="681">
        <f>'far 1 a(for internal use only)'!P799</f>
        <v>0</v>
      </c>
      <c r="Q331" s="681">
        <f>'far 1 a(for internal use only)'!Q799</f>
        <v>0</v>
      </c>
      <c r="R331" s="681">
        <f>'far 1 a(for internal use only)'!R799</f>
        <v>0</v>
      </c>
      <c r="S331" s="662">
        <f t="shared" si="535"/>
        <v>0</v>
      </c>
      <c r="T331" s="681">
        <f>'far 1 a(for internal use only)'!T799</f>
        <v>0</v>
      </c>
      <c r="U331" s="681">
        <f>'far 1 a(for internal use only)'!U799</f>
        <v>0</v>
      </c>
      <c r="V331" s="681">
        <f>'far 1 a(for internal use only)'!V799</f>
        <v>0</v>
      </c>
      <c r="W331" s="681">
        <f>'far 1 a(for internal use only)'!W799</f>
        <v>0</v>
      </c>
      <c r="X331" s="662">
        <f t="shared" si="536"/>
        <v>0</v>
      </c>
      <c r="Y331" s="662">
        <f t="shared" si="537"/>
        <v>0</v>
      </c>
      <c r="Z331" s="662">
        <f t="shared" si="538"/>
        <v>0</v>
      </c>
      <c r="AA331" s="682">
        <f>'far 1 a(for internal use only)'!AA799</f>
        <v>0</v>
      </c>
      <c r="AB331" s="663">
        <f t="shared" si="539"/>
        <v>0</v>
      </c>
    </row>
    <row r="332" spans="1:28" s="90" customFormat="1" ht="14.1" customHeight="1" x14ac:dyDescent="0.2">
      <c r="A332" s="301"/>
      <c r="B332" s="350" t="s">
        <v>422</v>
      </c>
      <c r="C332" s="608"/>
      <c r="D332" s="608"/>
      <c r="E332" s="608"/>
      <c r="F332" s="370" t="s">
        <v>423</v>
      </c>
      <c r="G332" s="681">
        <f>'far 1 a(for internal use only)'!G800</f>
        <v>27000</v>
      </c>
      <c r="H332" s="681">
        <f>'far 1 a(for internal use only)'!H800</f>
        <v>0</v>
      </c>
      <c r="I332" s="660">
        <f t="shared" si="532"/>
        <v>27000</v>
      </c>
      <c r="J332" s="660">
        <f t="shared" si="533"/>
        <v>27000</v>
      </c>
      <c r="K332" s="681">
        <f>'far 1 a(for internal use only)'!K800</f>
        <v>0</v>
      </c>
      <c r="L332" s="681">
        <f>'far 1 a(for internal use only)'!L800</f>
        <v>0</v>
      </c>
      <c r="M332" s="681">
        <f>'far 1 a(for internal use only)'!M800</f>
        <v>0</v>
      </c>
      <c r="N332" s="661">
        <f t="shared" si="534"/>
        <v>27000</v>
      </c>
      <c r="O332" s="681">
        <f>'far 1 a(for internal use only)'!O800</f>
        <v>0</v>
      </c>
      <c r="P332" s="681">
        <f>'far 1 a(for internal use only)'!P800</f>
        <v>12650</v>
      </c>
      <c r="Q332" s="681">
        <f>'far 1 a(for internal use only)'!Q800</f>
        <v>14350</v>
      </c>
      <c r="R332" s="681">
        <f>'far 1 a(for internal use only)'!R800</f>
        <v>0</v>
      </c>
      <c r="S332" s="662">
        <f t="shared" si="535"/>
        <v>27000</v>
      </c>
      <c r="T332" s="681">
        <f>'far 1 a(for internal use only)'!T800</f>
        <v>0</v>
      </c>
      <c r="U332" s="681">
        <f>'far 1 a(for internal use only)'!U800</f>
        <v>12650</v>
      </c>
      <c r="V332" s="681">
        <f>'far 1 a(for internal use only)'!V800</f>
        <v>14350</v>
      </c>
      <c r="W332" s="681">
        <f>'far 1 a(for internal use only)'!W800</f>
        <v>0</v>
      </c>
      <c r="X332" s="662">
        <f t="shared" si="536"/>
        <v>27000</v>
      </c>
      <c r="Y332" s="662">
        <f t="shared" si="537"/>
        <v>0</v>
      </c>
      <c r="Z332" s="662">
        <f t="shared" si="538"/>
        <v>0</v>
      </c>
      <c r="AA332" s="682">
        <f>'far 1 a(for internal use only)'!AA800</f>
        <v>0</v>
      </c>
      <c r="AB332" s="663">
        <f t="shared" si="539"/>
        <v>0</v>
      </c>
    </row>
    <row r="333" spans="1:28" s="90" customFormat="1" ht="14.1" customHeight="1" x14ac:dyDescent="0.2">
      <c r="A333" s="301"/>
      <c r="B333" s="350" t="s">
        <v>424</v>
      </c>
      <c r="C333" s="608"/>
      <c r="D333" s="608"/>
      <c r="E333" s="608"/>
      <c r="F333" s="370" t="s">
        <v>425</v>
      </c>
      <c r="G333" s="681">
        <f>'far 1 a(for internal use only)'!G801</f>
        <v>5871.4</v>
      </c>
      <c r="H333" s="681">
        <f>'far 1 a(for internal use only)'!H801</f>
        <v>0</v>
      </c>
      <c r="I333" s="660">
        <f t="shared" si="532"/>
        <v>5871.4</v>
      </c>
      <c r="J333" s="660">
        <f t="shared" si="533"/>
        <v>5871.4</v>
      </c>
      <c r="K333" s="681">
        <f>'far 1 a(for internal use only)'!K801</f>
        <v>0</v>
      </c>
      <c r="L333" s="681">
        <f>'far 1 a(for internal use only)'!L801</f>
        <v>0</v>
      </c>
      <c r="M333" s="681">
        <f>'far 1 a(for internal use only)'!M801</f>
        <v>0</v>
      </c>
      <c r="N333" s="661">
        <f t="shared" si="534"/>
        <v>5871.4</v>
      </c>
      <c r="O333" s="681">
        <f>'far 1 a(for internal use only)'!O801</f>
        <v>0</v>
      </c>
      <c r="P333" s="681">
        <f>'far 1 a(for internal use only)'!P801</f>
        <v>5090</v>
      </c>
      <c r="Q333" s="681">
        <f>'far 1 a(for internal use only)'!Q801</f>
        <v>781.4</v>
      </c>
      <c r="R333" s="681">
        <f>'far 1 a(for internal use only)'!R801</f>
        <v>0</v>
      </c>
      <c r="S333" s="662">
        <f t="shared" si="535"/>
        <v>5871.4</v>
      </c>
      <c r="T333" s="681">
        <f>'far 1 a(for internal use only)'!T801</f>
        <v>0</v>
      </c>
      <c r="U333" s="681">
        <f>'far 1 a(for internal use only)'!U801</f>
        <v>5090</v>
      </c>
      <c r="V333" s="681">
        <f>'far 1 a(for internal use only)'!V801</f>
        <v>781.4</v>
      </c>
      <c r="W333" s="681">
        <f>'far 1 a(for internal use only)'!W801</f>
        <v>0</v>
      </c>
      <c r="X333" s="662">
        <f t="shared" si="536"/>
        <v>5871.4</v>
      </c>
      <c r="Y333" s="662">
        <f t="shared" si="537"/>
        <v>0</v>
      </c>
      <c r="Z333" s="662">
        <f t="shared" si="538"/>
        <v>0</v>
      </c>
      <c r="AA333" s="682">
        <f>'far 1 a(for internal use only)'!AA801</f>
        <v>0</v>
      </c>
      <c r="AB333" s="663">
        <f t="shared" si="539"/>
        <v>0</v>
      </c>
    </row>
    <row r="334" spans="1:28" s="90" customFormat="1" ht="14.1" hidden="1" customHeight="1" x14ac:dyDescent="0.2">
      <c r="A334" s="301"/>
      <c r="B334" s="350" t="s">
        <v>426</v>
      </c>
      <c r="C334" s="608"/>
      <c r="D334" s="608"/>
      <c r="E334" s="608"/>
      <c r="F334" s="370" t="s">
        <v>427</v>
      </c>
      <c r="G334" s="681">
        <f>'far 1 a(for internal use only)'!G802</f>
        <v>0</v>
      </c>
      <c r="H334" s="681">
        <f>'far 1 a(for internal use only)'!H802</f>
        <v>0</v>
      </c>
      <c r="I334" s="660">
        <f t="shared" si="532"/>
        <v>0</v>
      </c>
      <c r="J334" s="660">
        <f t="shared" si="533"/>
        <v>0</v>
      </c>
      <c r="K334" s="681">
        <f>'far 1 a(for internal use only)'!K802</f>
        <v>0</v>
      </c>
      <c r="L334" s="681">
        <f>'far 1 a(for internal use only)'!L802</f>
        <v>0</v>
      </c>
      <c r="M334" s="681">
        <f>'far 1 a(for internal use only)'!M802</f>
        <v>0</v>
      </c>
      <c r="N334" s="661">
        <f t="shared" si="534"/>
        <v>0</v>
      </c>
      <c r="O334" s="681">
        <f>'far 1 a(for internal use only)'!O802</f>
        <v>0</v>
      </c>
      <c r="P334" s="681">
        <f>'far 1 a(for internal use only)'!P802</f>
        <v>0</v>
      </c>
      <c r="Q334" s="681">
        <f>'far 1 a(for internal use only)'!Q802</f>
        <v>0</v>
      </c>
      <c r="R334" s="681">
        <f>'far 1 a(for internal use only)'!R802</f>
        <v>0</v>
      </c>
      <c r="S334" s="662">
        <f t="shared" si="535"/>
        <v>0</v>
      </c>
      <c r="T334" s="681">
        <f>'far 1 a(for internal use only)'!T802</f>
        <v>0</v>
      </c>
      <c r="U334" s="681">
        <f>'far 1 a(for internal use only)'!U802</f>
        <v>0</v>
      </c>
      <c r="V334" s="681">
        <f>'far 1 a(for internal use only)'!V802</f>
        <v>0</v>
      </c>
      <c r="W334" s="681">
        <f>'far 1 a(for internal use only)'!W802</f>
        <v>0</v>
      </c>
      <c r="X334" s="662">
        <f t="shared" si="536"/>
        <v>0</v>
      </c>
      <c r="Y334" s="662">
        <f t="shared" si="537"/>
        <v>0</v>
      </c>
      <c r="Z334" s="662">
        <f t="shared" si="538"/>
        <v>0</v>
      </c>
      <c r="AA334" s="682">
        <f>'far 1 a(for internal use only)'!AA802</f>
        <v>0</v>
      </c>
      <c r="AB334" s="663">
        <f t="shared" si="539"/>
        <v>0</v>
      </c>
    </row>
    <row r="335" spans="1:28" s="90" customFormat="1" ht="14.1" hidden="1" customHeight="1" x14ac:dyDescent="0.2">
      <c r="A335" s="301"/>
      <c r="B335" s="350" t="s">
        <v>428</v>
      </c>
      <c r="C335" s="608"/>
      <c r="D335" s="608"/>
      <c r="E335" s="608"/>
      <c r="F335" s="370" t="s">
        <v>429</v>
      </c>
      <c r="G335" s="681">
        <f>'far 1 a(for internal use only)'!G803</f>
        <v>0</v>
      </c>
      <c r="H335" s="681">
        <f>'far 1 a(for internal use only)'!H803</f>
        <v>0</v>
      </c>
      <c r="I335" s="660">
        <f t="shared" si="532"/>
        <v>0</v>
      </c>
      <c r="J335" s="660">
        <f t="shared" si="533"/>
        <v>0</v>
      </c>
      <c r="K335" s="681">
        <f>'far 1 a(for internal use only)'!K803</f>
        <v>0</v>
      </c>
      <c r="L335" s="681">
        <f>'far 1 a(for internal use only)'!L803</f>
        <v>0</v>
      </c>
      <c r="M335" s="681">
        <f>'far 1 a(for internal use only)'!M803</f>
        <v>0</v>
      </c>
      <c r="N335" s="661">
        <f t="shared" si="534"/>
        <v>0</v>
      </c>
      <c r="O335" s="681">
        <f>'far 1 a(for internal use only)'!O803</f>
        <v>0</v>
      </c>
      <c r="P335" s="681">
        <f>'far 1 a(for internal use only)'!P803</f>
        <v>0</v>
      </c>
      <c r="Q335" s="681">
        <f>'far 1 a(for internal use only)'!Q803</f>
        <v>0</v>
      </c>
      <c r="R335" s="681">
        <f>'far 1 a(for internal use only)'!R803</f>
        <v>0</v>
      </c>
      <c r="S335" s="662">
        <f t="shared" si="535"/>
        <v>0</v>
      </c>
      <c r="T335" s="681">
        <f>'far 1 a(for internal use only)'!T803</f>
        <v>0</v>
      </c>
      <c r="U335" s="681">
        <f>'far 1 a(for internal use only)'!U803</f>
        <v>0</v>
      </c>
      <c r="V335" s="681">
        <f>'far 1 a(for internal use only)'!V803</f>
        <v>0</v>
      </c>
      <c r="W335" s="681">
        <f>'far 1 a(for internal use only)'!W803</f>
        <v>0</v>
      </c>
      <c r="X335" s="662">
        <f t="shared" si="536"/>
        <v>0</v>
      </c>
      <c r="Y335" s="662">
        <f t="shared" si="537"/>
        <v>0</v>
      </c>
      <c r="Z335" s="662">
        <f t="shared" si="538"/>
        <v>0</v>
      </c>
      <c r="AA335" s="682">
        <f>'far 1 a(for internal use only)'!AA803</f>
        <v>0</v>
      </c>
      <c r="AB335" s="663">
        <f t="shared" si="539"/>
        <v>0</v>
      </c>
    </row>
    <row r="336" spans="1:28" s="90" customFormat="1" ht="14.1" hidden="1" customHeight="1" x14ac:dyDescent="0.2">
      <c r="A336" s="301"/>
      <c r="B336" s="350" t="s">
        <v>430</v>
      </c>
      <c r="C336" s="608"/>
      <c r="D336" s="608"/>
      <c r="E336" s="608"/>
      <c r="F336" s="370" t="s">
        <v>431</v>
      </c>
      <c r="G336" s="681">
        <f>'far 1 a(for internal use only)'!G804</f>
        <v>0</v>
      </c>
      <c r="H336" s="681">
        <f>'far 1 a(for internal use only)'!H804</f>
        <v>0</v>
      </c>
      <c r="I336" s="660">
        <f t="shared" si="532"/>
        <v>0</v>
      </c>
      <c r="J336" s="660">
        <f t="shared" si="533"/>
        <v>0</v>
      </c>
      <c r="K336" s="681">
        <f>'far 1 a(for internal use only)'!K804</f>
        <v>0</v>
      </c>
      <c r="L336" s="681">
        <f>'far 1 a(for internal use only)'!L804</f>
        <v>0</v>
      </c>
      <c r="M336" s="681">
        <f>'far 1 a(for internal use only)'!M804</f>
        <v>0</v>
      </c>
      <c r="N336" s="661">
        <f t="shared" si="534"/>
        <v>0</v>
      </c>
      <c r="O336" s="681">
        <f>'far 1 a(for internal use only)'!O804</f>
        <v>0</v>
      </c>
      <c r="P336" s="681">
        <f>'far 1 a(for internal use only)'!P804</f>
        <v>0</v>
      </c>
      <c r="Q336" s="681">
        <f>'far 1 a(for internal use only)'!Q804</f>
        <v>0</v>
      </c>
      <c r="R336" s="681">
        <f>'far 1 a(for internal use only)'!R804</f>
        <v>0</v>
      </c>
      <c r="S336" s="662">
        <f t="shared" si="535"/>
        <v>0</v>
      </c>
      <c r="T336" s="681">
        <f>'far 1 a(for internal use only)'!T804</f>
        <v>0</v>
      </c>
      <c r="U336" s="681">
        <f>'far 1 a(for internal use only)'!U804</f>
        <v>0</v>
      </c>
      <c r="V336" s="681">
        <f>'far 1 a(for internal use only)'!V804</f>
        <v>0</v>
      </c>
      <c r="W336" s="681">
        <f>'far 1 a(for internal use only)'!W804</f>
        <v>0</v>
      </c>
      <c r="X336" s="662">
        <f t="shared" si="536"/>
        <v>0</v>
      </c>
      <c r="Y336" s="662">
        <f t="shared" si="537"/>
        <v>0</v>
      </c>
      <c r="Z336" s="662">
        <f t="shared" si="538"/>
        <v>0</v>
      </c>
      <c r="AA336" s="682">
        <f>'far 1 a(for internal use only)'!AA804</f>
        <v>0</v>
      </c>
      <c r="AB336" s="663">
        <f t="shared" si="539"/>
        <v>0</v>
      </c>
    </row>
    <row r="337" spans="1:28" s="90" customFormat="1" ht="14.1" hidden="1" customHeight="1" x14ac:dyDescent="0.2">
      <c r="A337" s="301"/>
      <c r="B337" s="350" t="s">
        <v>432</v>
      </c>
      <c r="C337" s="608"/>
      <c r="D337" s="608"/>
      <c r="E337" s="608"/>
      <c r="F337" s="370" t="s">
        <v>433</v>
      </c>
      <c r="G337" s="681">
        <f>'far 1 a(for internal use only)'!G805</f>
        <v>0</v>
      </c>
      <c r="H337" s="681">
        <f>'far 1 a(for internal use only)'!H805</f>
        <v>0</v>
      </c>
      <c r="I337" s="660">
        <f t="shared" si="532"/>
        <v>0</v>
      </c>
      <c r="J337" s="660">
        <f t="shared" si="533"/>
        <v>0</v>
      </c>
      <c r="K337" s="681">
        <f>'far 1 a(for internal use only)'!K805</f>
        <v>0</v>
      </c>
      <c r="L337" s="681">
        <f>'far 1 a(for internal use only)'!L805</f>
        <v>0</v>
      </c>
      <c r="M337" s="681">
        <f>'far 1 a(for internal use only)'!M805</f>
        <v>0</v>
      </c>
      <c r="N337" s="661">
        <f t="shared" si="534"/>
        <v>0</v>
      </c>
      <c r="O337" s="681">
        <f>'far 1 a(for internal use only)'!O805</f>
        <v>0</v>
      </c>
      <c r="P337" s="681">
        <f>'far 1 a(for internal use only)'!P805</f>
        <v>0</v>
      </c>
      <c r="Q337" s="681">
        <f>'far 1 a(for internal use only)'!Q805</f>
        <v>0</v>
      </c>
      <c r="R337" s="681">
        <f>'far 1 a(for internal use only)'!R805</f>
        <v>0</v>
      </c>
      <c r="S337" s="662">
        <f t="shared" si="535"/>
        <v>0</v>
      </c>
      <c r="T337" s="681">
        <f>'far 1 a(for internal use only)'!T805</f>
        <v>0</v>
      </c>
      <c r="U337" s="681">
        <f>'far 1 a(for internal use only)'!U805</f>
        <v>0</v>
      </c>
      <c r="V337" s="681">
        <f>'far 1 a(for internal use only)'!V805</f>
        <v>0</v>
      </c>
      <c r="W337" s="681">
        <f>'far 1 a(for internal use only)'!W805</f>
        <v>0</v>
      </c>
      <c r="X337" s="662">
        <f t="shared" si="536"/>
        <v>0</v>
      </c>
      <c r="Y337" s="662">
        <f t="shared" si="537"/>
        <v>0</v>
      </c>
      <c r="Z337" s="662">
        <f t="shared" si="538"/>
        <v>0</v>
      </c>
      <c r="AA337" s="682">
        <f>'far 1 a(for internal use only)'!AA805</f>
        <v>0</v>
      </c>
      <c r="AB337" s="663">
        <f t="shared" si="539"/>
        <v>0</v>
      </c>
    </row>
    <row r="338" spans="1:28" s="90" customFormat="1" ht="14.1" hidden="1" customHeight="1" x14ac:dyDescent="0.2">
      <c r="A338" s="301"/>
      <c r="B338" s="350" t="s">
        <v>730</v>
      </c>
      <c r="C338" s="744"/>
      <c r="D338" s="744"/>
      <c r="E338" s="744"/>
      <c r="F338" s="370" t="s">
        <v>733</v>
      </c>
      <c r="G338" s="681">
        <f>'far 1 a(for internal use only)'!G806</f>
        <v>0</v>
      </c>
      <c r="H338" s="681">
        <f>'far 1 a(for internal use only)'!H806</f>
        <v>0</v>
      </c>
      <c r="I338" s="660">
        <f t="shared" si="532"/>
        <v>0</v>
      </c>
      <c r="J338" s="660">
        <f t="shared" si="533"/>
        <v>0</v>
      </c>
      <c r="K338" s="681">
        <f>'far 1 a(for internal use only)'!K806</f>
        <v>0</v>
      </c>
      <c r="L338" s="681">
        <f>'far 1 a(for internal use only)'!L806</f>
        <v>0</v>
      </c>
      <c r="M338" s="681">
        <f>'far 1 a(for internal use only)'!M806</f>
        <v>0</v>
      </c>
      <c r="N338" s="661">
        <f t="shared" si="534"/>
        <v>0</v>
      </c>
      <c r="O338" s="681">
        <f>'far 1 a(for internal use only)'!O806</f>
        <v>0</v>
      </c>
      <c r="P338" s="681">
        <f>'far 1 a(for internal use only)'!P806</f>
        <v>0</v>
      </c>
      <c r="Q338" s="681">
        <f>'far 1 a(for internal use only)'!Q806</f>
        <v>0</v>
      </c>
      <c r="R338" s="681">
        <f>'far 1 a(for internal use only)'!R806</f>
        <v>0</v>
      </c>
      <c r="S338" s="662">
        <f t="shared" si="535"/>
        <v>0</v>
      </c>
      <c r="T338" s="681">
        <f>'far 1 a(for internal use only)'!T806</f>
        <v>0</v>
      </c>
      <c r="U338" s="681">
        <f>'far 1 a(for internal use only)'!U806</f>
        <v>0</v>
      </c>
      <c r="V338" s="681">
        <f>'far 1 a(for internal use only)'!V806</f>
        <v>0</v>
      </c>
      <c r="W338" s="681">
        <f>'far 1 a(for internal use only)'!W806</f>
        <v>0</v>
      </c>
      <c r="X338" s="662">
        <f t="shared" si="536"/>
        <v>0</v>
      </c>
      <c r="Y338" s="662">
        <f t="shared" si="537"/>
        <v>0</v>
      </c>
      <c r="Z338" s="662">
        <f t="shared" si="538"/>
        <v>0</v>
      </c>
      <c r="AA338" s="682">
        <f>'far 1 a(for internal use only)'!AA806</f>
        <v>0</v>
      </c>
      <c r="AB338" s="663">
        <f t="shared" si="539"/>
        <v>0</v>
      </c>
    </row>
    <row r="339" spans="1:28" s="90" customFormat="1" ht="14.1" customHeight="1" x14ac:dyDescent="0.2">
      <c r="A339" s="74"/>
      <c r="B339" s="350" t="s">
        <v>737</v>
      </c>
      <c r="C339" s="744"/>
      <c r="D339" s="744"/>
      <c r="E339" s="744"/>
      <c r="F339" s="370" t="s">
        <v>738</v>
      </c>
      <c r="G339" s="681">
        <f>'far 1 a(for internal use only)'!G807</f>
        <v>11590</v>
      </c>
      <c r="H339" s="681">
        <f>'far 1 a(for internal use only)'!H807</f>
        <v>0</v>
      </c>
      <c r="I339" s="660">
        <f t="shared" ref="I339:I341" si="540">G339+H339</f>
        <v>11590</v>
      </c>
      <c r="J339" s="660">
        <f t="shared" ref="J339:J341" si="541">I339</f>
        <v>11590</v>
      </c>
      <c r="K339" s="681">
        <f>'far 1 a(for internal use only)'!K807</f>
        <v>0</v>
      </c>
      <c r="L339" s="681">
        <f>'far 1 a(for internal use only)'!L807</f>
        <v>0</v>
      </c>
      <c r="M339" s="681">
        <f>'far 1 a(for internal use only)'!M807</f>
        <v>0</v>
      </c>
      <c r="N339" s="661">
        <f t="shared" ref="N339:N341" si="542">J339+K339-L339+M339</f>
        <v>11590</v>
      </c>
      <c r="O339" s="681">
        <f>'far 1 a(for internal use only)'!O807</f>
        <v>0</v>
      </c>
      <c r="P339" s="681">
        <f>'far 1 a(for internal use only)'!P807</f>
        <v>1680</v>
      </c>
      <c r="Q339" s="681">
        <f>'far 1 a(for internal use only)'!Q807</f>
        <v>5375</v>
      </c>
      <c r="R339" s="681">
        <f>'far 1 a(for internal use only)'!R807</f>
        <v>4535</v>
      </c>
      <c r="S339" s="662">
        <f t="shared" ref="S339:S341" si="543">SUM(O339:R339)</f>
        <v>11590</v>
      </c>
      <c r="T339" s="681">
        <f>'far 1 a(for internal use only)'!T807</f>
        <v>0</v>
      </c>
      <c r="U339" s="681">
        <f>'far 1 a(for internal use only)'!U807</f>
        <v>1680</v>
      </c>
      <c r="V339" s="681">
        <f>'far 1 a(for internal use only)'!V807</f>
        <v>5375</v>
      </c>
      <c r="W339" s="681">
        <f>'far 1 a(for internal use only)'!W807</f>
        <v>4535</v>
      </c>
      <c r="X339" s="662">
        <f t="shared" ref="X339:X341" si="544">SUM(T339:W339)</f>
        <v>11590</v>
      </c>
      <c r="Y339" s="662">
        <f t="shared" ref="Y339:Y341" si="545">I339-N339</f>
        <v>0</v>
      </c>
      <c r="Z339" s="662">
        <f t="shared" ref="Z339:Z341" si="546">N339-S339</f>
        <v>0</v>
      </c>
      <c r="AA339" s="682">
        <f>'far 1 a(for internal use only)'!AA807</f>
        <v>0</v>
      </c>
      <c r="AB339" s="663">
        <f t="shared" ref="AB339:AB341" si="547">+S339-X339-AA339</f>
        <v>0</v>
      </c>
    </row>
    <row r="340" spans="1:28" s="90" customFormat="1" ht="14.1" hidden="1" customHeight="1" x14ac:dyDescent="0.2">
      <c r="A340" s="74"/>
      <c r="B340" s="350" t="s">
        <v>434</v>
      </c>
      <c r="C340" s="718"/>
      <c r="D340" s="718"/>
      <c r="E340" s="718"/>
      <c r="F340" s="370" t="s">
        <v>435</v>
      </c>
      <c r="G340" s="681">
        <f>'far 1 a(for internal use only)'!G808</f>
        <v>0</v>
      </c>
      <c r="H340" s="681">
        <f>'far 1 a(for internal use only)'!H808</f>
        <v>0</v>
      </c>
      <c r="I340" s="660">
        <f t="shared" si="540"/>
        <v>0</v>
      </c>
      <c r="J340" s="660">
        <f t="shared" si="541"/>
        <v>0</v>
      </c>
      <c r="K340" s="681">
        <f>'far 1 a(for internal use only)'!K808</f>
        <v>0</v>
      </c>
      <c r="L340" s="681">
        <f>'far 1 a(for internal use only)'!L808</f>
        <v>0</v>
      </c>
      <c r="M340" s="681">
        <f>'far 1 a(for internal use only)'!M808</f>
        <v>0</v>
      </c>
      <c r="N340" s="661">
        <f t="shared" si="542"/>
        <v>0</v>
      </c>
      <c r="O340" s="681">
        <f>'far 1 a(for internal use only)'!O808</f>
        <v>0</v>
      </c>
      <c r="P340" s="681">
        <f>'far 1 a(for internal use only)'!P808</f>
        <v>0</v>
      </c>
      <c r="Q340" s="681">
        <f>'far 1 a(for internal use only)'!Q808</f>
        <v>0</v>
      </c>
      <c r="R340" s="681">
        <f>'far 1 a(for internal use only)'!R808</f>
        <v>0</v>
      </c>
      <c r="S340" s="662">
        <f t="shared" si="543"/>
        <v>0</v>
      </c>
      <c r="T340" s="681">
        <f>'far 1 a(for internal use only)'!T808</f>
        <v>0</v>
      </c>
      <c r="U340" s="681">
        <f>'far 1 a(for internal use only)'!U808</f>
        <v>0</v>
      </c>
      <c r="V340" s="681">
        <f>'far 1 a(for internal use only)'!V808</f>
        <v>0</v>
      </c>
      <c r="W340" s="681">
        <f>'far 1 a(for internal use only)'!W808</f>
        <v>0</v>
      </c>
      <c r="X340" s="662">
        <f t="shared" si="544"/>
        <v>0</v>
      </c>
      <c r="Y340" s="662">
        <f t="shared" si="545"/>
        <v>0</v>
      </c>
      <c r="Z340" s="662">
        <f t="shared" si="546"/>
        <v>0</v>
      </c>
      <c r="AA340" s="682">
        <f>'far 1 a(for internal use only)'!AA808</f>
        <v>0</v>
      </c>
      <c r="AB340" s="663">
        <f t="shared" si="547"/>
        <v>0</v>
      </c>
    </row>
    <row r="341" spans="1:28" s="90" customFormat="1" ht="14.1" hidden="1" customHeight="1" x14ac:dyDescent="0.2">
      <c r="A341" s="301"/>
      <c r="B341" s="350" t="s">
        <v>732</v>
      </c>
      <c r="C341" s="718"/>
      <c r="D341" s="718"/>
      <c r="E341" s="718"/>
      <c r="F341" s="370" t="s">
        <v>731</v>
      </c>
      <c r="G341" s="681">
        <f>'far 1 a(for internal use only)'!G809</f>
        <v>0</v>
      </c>
      <c r="H341" s="681">
        <f>'far 1 a(for internal use only)'!H809</f>
        <v>0</v>
      </c>
      <c r="I341" s="660">
        <f t="shared" si="540"/>
        <v>0</v>
      </c>
      <c r="J341" s="660">
        <f t="shared" si="541"/>
        <v>0</v>
      </c>
      <c r="K341" s="681">
        <f>'far 1 a(for internal use only)'!K809</f>
        <v>0</v>
      </c>
      <c r="L341" s="681">
        <f>'far 1 a(for internal use only)'!L809</f>
        <v>0</v>
      </c>
      <c r="M341" s="681">
        <f>'far 1 a(for internal use only)'!M809</f>
        <v>0</v>
      </c>
      <c r="N341" s="661">
        <f t="shared" si="542"/>
        <v>0</v>
      </c>
      <c r="O341" s="681">
        <f>'far 1 a(for internal use only)'!O809</f>
        <v>0</v>
      </c>
      <c r="P341" s="681">
        <f>'far 1 a(for internal use only)'!P809</f>
        <v>0</v>
      </c>
      <c r="Q341" s="681">
        <f>'far 1 a(for internal use only)'!Q809</f>
        <v>0</v>
      </c>
      <c r="R341" s="681">
        <f>'far 1 a(for internal use only)'!R809</f>
        <v>0</v>
      </c>
      <c r="S341" s="662">
        <f t="shared" si="543"/>
        <v>0</v>
      </c>
      <c r="T341" s="681">
        <f>'far 1 a(for internal use only)'!T809</f>
        <v>0</v>
      </c>
      <c r="U341" s="681">
        <f>'far 1 a(for internal use only)'!U809</f>
        <v>0</v>
      </c>
      <c r="V341" s="681">
        <f>'far 1 a(for internal use only)'!V809</f>
        <v>0</v>
      </c>
      <c r="W341" s="681">
        <f>'far 1 a(for internal use only)'!W809</f>
        <v>0</v>
      </c>
      <c r="X341" s="662">
        <f t="shared" si="544"/>
        <v>0</v>
      </c>
      <c r="Y341" s="662">
        <f t="shared" si="545"/>
        <v>0</v>
      </c>
      <c r="Z341" s="662">
        <f t="shared" si="546"/>
        <v>0</v>
      </c>
      <c r="AA341" s="682">
        <f>'far 1 a(for internal use only)'!AA809</f>
        <v>0</v>
      </c>
      <c r="AB341" s="663">
        <f t="shared" si="547"/>
        <v>0</v>
      </c>
    </row>
    <row r="342" spans="1:28" s="90" customFormat="1" ht="14.1" customHeight="1" x14ac:dyDescent="0.2">
      <c r="A342" s="301"/>
      <c r="B342" s="15"/>
      <c r="C342" s="608"/>
      <c r="D342" s="608"/>
      <c r="E342" s="608"/>
      <c r="F342" s="370"/>
      <c r="G342" s="664"/>
      <c r="H342" s="664"/>
      <c r="I342" s="664"/>
      <c r="J342" s="664"/>
      <c r="K342" s="666"/>
      <c r="L342" s="666"/>
      <c r="M342" s="666"/>
      <c r="N342" s="665"/>
      <c r="O342" s="666"/>
      <c r="P342" s="666"/>
      <c r="Q342" s="666"/>
      <c r="R342" s="666"/>
      <c r="S342" s="666"/>
      <c r="T342" s="666"/>
      <c r="U342" s="666"/>
      <c r="V342" s="666"/>
      <c r="W342" s="666"/>
      <c r="X342" s="666"/>
      <c r="Y342" s="666"/>
      <c r="Z342" s="666"/>
      <c r="AA342" s="666"/>
      <c r="AB342" s="667"/>
    </row>
    <row r="343" spans="1:28" s="287" customFormat="1" ht="14.1" customHeight="1" x14ac:dyDescent="0.2">
      <c r="A343" s="301"/>
      <c r="B343" s="355" t="s">
        <v>436</v>
      </c>
      <c r="C343" s="608"/>
      <c r="D343" s="608"/>
      <c r="E343" s="608"/>
      <c r="F343" s="371"/>
      <c r="G343" s="656">
        <f t="shared" ref="G343" si="548">SUM(G346:G370)</f>
        <v>0</v>
      </c>
      <c r="H343" s="656">
        <f t="shared" ref="H343:AB343" si="549">SUM(H346:H370)</f>
        <v>0</v>
      </c>
      <c r="I343" s="656">
        <f t="shared" si="549"/>
        <v>0</v>
      </c>
      <c r="J343" s="656">
        <f t="shared" si="549"/>
        <v>0</v>
      </c>
      <c r="K343" s="656">
        <f t="shared" si="549"/>
        <v>0</v>
      </c>
      <c r="L343" s="656">
        <f t="shared" si="549"/>
        <v>0</v>
      </c>
      <c r="M343" s="656">
        <f t="shared" si="549"/>
        <v>0</v>
      </c>
      <c r="N343" s="703">
        <f t="shared" si="549"/>
        <v>0</v>
      </c>
      <c r="O343" s="656">
        <f t="shared" si="549"/>
        <v>0</v>
      </c>
      <c r="P343" s="656">
        <f t="shared" si="549"/>
        <v>0</v>
      </c>
      <c r="Q343" s="656">
        <f t="shared" si="549"/>
        <v>0</v>
      </c>
      <c r="R343" s="656">
        <f t="shared" si="549"/>
        <v>0</v>
      </c>
      <c r="S343" s="656">
        <f t="shared" si="549"/>
        <v>0</v>
      </c>
      <c r="T343" s="656">
        <f t="shared" si="549"/>
        <v>0</v>
      </c>
      <c r="U343" s="656">
        <f t="shared" si="549"/>
        <v>0</v>
      </c>
      <c r="V343" s="656">
        <f t="shared" si="549"/>
        <v>0</v>
      </c>
      <c r="W343" s="656">
        <f t="shared" si="549"/>
        <v>0</v>
      </c>
      <c r="X343" s="656">
        <f t="shared" si="549"/>
        <v>0</v>
      </c>
      <c r="Y343" s="656">
        <f t="shared" si="549"/>
        <v>0</v>
      </c>
      <c r="Z343" s="656">
        <f t="shared" si="549"/>
        <v>0</v>
      </c>
      <c r="AA343" s="657">
        <f t="shared" si="549"/>
        <v>0</v>
      </c>
      <c r="AB343" s="659">
        <f t="shared" si="549"/>
        <v>0</v>
      </c>
    </row>
    <row r="344" spans="1:28" s="90" customFormat="1" ht="14.1" customHeight="1" x14ac:dyDescent="0.2">
      <c r="A344" s="301"/>
      <c r="B344" s="347" t="s">
        <v>437</v>
      </c>
      <c r="C344" s="608"/>
      <c r="D344" s="608"/>
      <c r="E344" s="608"/>
      <c r="F344" s="370"/>
      <c r="G344" s="664"/>
      <c r="H344" s="664"/>
      <c r="I344" s="664"/>
      <c r="J344" s="664"/>
      <c r="K344" s="666"/>
      <c r="L344" s="666"/>
      <c r="M344" s="666"/>
      <c r="N344" s="665"/>
      <c r="O344" s="666"/>
      <c r="P344" s="666"/>
      <c r="Q344" s="666"/>
      <c r="R344" s="666"/>
      <c r="S344" s="666"/>
      <c r="T344" s="666"/>
      <c r="U344" s="666"/>
      <c r="V344" s="666"/>
      <c r="W344" s="666"/>
      <c r="X344" s="666"/>
      <c r="Y344" s="666"/>
      <c r="Z344" s="666"/>
      <c r="AA344" s="666"/>
      <c r="AB344" s="667"/>
    </row>
    <row r="345" spans="1:28" s="90" customFormat="1" ht="14.1" hidden="1" customHeight="1" x14ac:dyDescent="0.2">
      <c r="A345" s="301"/>
      <c r="B345" s="348" t="s">
        <v>438</v>
      </c>
      <c r="C345" s="608"/>
      <c r="D345" s="608"/>
      <c r="E345" s="608"/>
      <c r="F345" s="370"/>
      <c r="G345" s="664"/>
      <c r="H345" s="664"/>
      <c r="I345" s="664"/>
      <c r="J345" s="664"/>
      <c r="K345" s="666"/>
      <c r="L345" s="666"/>
      <c r="M345" s="666"/>
      <c r="N345" s="665"/>
      <c r="O345" s="666"/>
      <c r="P345" s="666"/>
      <c r="Q345" s="666"/>
      <c r="R345" s="666"/>
      <c r="S345" s="666"/>
      <c r="T345" s="666"/>
      <c r="U345" s="666"/>
      <c r="V345" s="666"/>
      <c r="W345" s="666"/>
      <c r="X345" s="666"/>
      <c r="Y345" s="666"/>
      <c r="Z345" s="666"/>
      <c r="AA345" s="666"/>
      <c r="AB345" s="667"/>
    </row>
    <row r="346" spans="1:28" s="90" customFormat="1" ht="14.1" hidden="1" customHeight="1" x14ac:dyDescent="0.2">
      <c r="A346" s="301"/>
      <c r="B346" s="349" t="s">
        <v>439</v>
      </c>
      <c r="C346" s="608"/>
      <c r="D346" s="608"/>
      <c r="E346" s="608"/>
      <c r="F346" s="370" t="s">
        <v>440</v>
      </c>
      <c r="G346" s="681">
        <f>'far 1 a(for internal use only)'!G814</f>
        <v>0</v>
      </c>
      <c r="H346" s="681">
        <f>'far 1 a(for internal use only)'!H814</f>
        <v>0</v>
      </c>
      <c r="I346" s="660">
        <f t="shared" ref="I346:I347" si="550">G346+H346</f>
        <v>0</v>
      </c>
      <c r="J346" s="660">
        <f t="shared" ref="J346:J347" si="551">I346</f>
        <v>0</v>
      </c>
      <c r="K346" s="681">
        <f>'far 1 a(for internal use only)'!K814</f>
        <v>0</v>
      </c>
      <c r="L346" s="681">
        <f>'far 1 a(for internal use only)'!L814</f>
        <v>0</v>
      </c>
      <c r="M346" s="681">
        <f>'far 1 a(for internal use only)'!M814</f>
        <v>0</v>
      </c>
      <c r="N346" s="661">
        <f t="shared" ref="N346:N347" si="552">J346+K346-L346+M346</f>
        <v>0</v>
      </c>
      <c r="O346" s="681">
        <f>'far 1 a(for internal use only)'!O814</f>
        <v>0</v>
      </c>
      <c r="P346" s="681">
        <f>'far 1 a(for internal use only)'!P814</f>
        <v>0</v>
      </c>
      <c r="Q346" s="681">
        <f>'far 1 a(for internal use only)'!Q814</f>
        <v>0</v>
      </c>
      <c r="R346" s="681">
        <f>'far 1 a(for internal use only)'!R814</f>
        <v>0</v>
      </c>
      <c r="S346" s="662">
        <f t="shared" ref="S346:S347" si="553">SUM(O346:R346)</f>
        <v>0</v>
      </c>
      <c r="T346" s="681">
        <f>'far 1 a(for internal use only)'!T814</f>
        <v>0</v>
      </c>
      <c r="U346" s="681">
        <f>'far 1 a(for internal use only)'!U814</f>
        <v>0</v>
      </c>
      <c r="V346" s="681">
        <f>'far 1 a(for internal use only)'!V814</f>
        <v>0</v>
      </c>
      <c r="W346" s="681">
        <f>'far 1 a(for internal use only)'!W814</f>
        <v>0</v>
      </c>
      <c r="X346" s="662">
        <f t="shared" ref="X346:X347" si="554">SUM(T346:W346)</f>
        <v>0</v>
      </c>
      <c r="Y346" s="662">
        <f t="shared" ref="Y346:Y347" si="555">I346-N346</f>
        <v>0</v>
      </c>
      <c r="Z346" s="662">
        <f t="shared" ref="Z346:Z347" si="556">N346-S346</f>
        <v>0</v>
      </c>
      <c r="AA346" s="682">
        <f>'far 1 a(for internal use only)'!AA814</f>
        <v>0</v>
      </c>
      <c r="AB346" s="663">
        <f t="shared" ref="AB346:AB347" si="557">+S346-X346-AA346</f>
        <v>0</v>
      </c>
    </row>
    <row r="347" spans="1:28" s="90" customFormat="1" ht="14.1" hidden="1" customHeight="1" x14ac:dyDescent="0.2">
      <c r="A347" s="301"/>
      <c r="B347" s="349" t="s">
        <v>441</v>
      </c>
      <c r="C347" s="608"/>
      <c r="D347" s="608"/>
      <c r="E347" s="608"/>
      <c r="F347" s="370" t="s">
        <v>442</v>
      </c>
      <c r="G347" s="681">
        <f>'far 1 a(for internal use only)'!G815</f>
        <v>0</v>
      </c>
      <c r="H347" s="681">
        <f>'far 1 a(for internal use only)'!H815</f>
        <v>0</v>
      </c>
      <c r="I347" s="660">
        <f t="shared" si="550"/>
        <v>0</v>
      </c>
      <c r="J347" s="660">
        <f t="shared" si="551"/>
        <v>0</v>
      </c>
      <c r="K347" s="681">
        <f>'far 1 a(for internal use only)'!K815</f>
        <v>0</v>
      </c>
      <c r="L347" s="681">
        <f>'far 1 a(for internal use only)'!L815</f>
        <v>0</v>
      </c>
      <c r="M347" s="681">
        <f>'far 1 a(for internal use only)'!M815</f>
        <v>0</v>
      </c>
      <c r="N347" s="661">
        <f t="shared" si="552"/>
        <v>0</v>
      </c>
      <c r="O347" s="681">
        <f>'far 1 a(for internal use only)'!O815</f>
        <v>0</v>
      </c>
      <c r="P347" s="681">
        <f>'far 1 a(for internal use only)'!P815</f>
        <v>0</v>
      </c>
      <c r="Q347" s="681">
        <f>'far 1 a(for internal use only)'!Q815</f>
        <v>0</v>
      </c>
      <c r="R347" s="681">
        <f>'far 1 a(for internal use only)'!R815</f>
        <v>0</v>
      </c>
      <c r="S347" s="662">
        <f t="shared" si="553"/>
        <v>0</v>
      </c>
      <c r="T347" s="681">
        <f>'far 1 a(for internal use only)'!T815</f>
        <v>0</v>
      </c>
      <c r="U347" s="681">
        <f>'far 1 a(for internal use only)'!U815</f>
        <v>0</v>
      </c>
      <c r="V347" s="681">
        <f>'far 1 a(for internal use only)'!V815</f>
        <v>0</v>
      </c>
      <c r="W347" s="681">
        <f>'far 1 a(for internal use only)'!W815</f>
        <v>0</v>
      </c>
      <c r="X347" s="662">
        <f t="shared" si="554"/>
        <v>0</v>
      </c>
      <c r="Y347" s="662">
        <f t="shared" si="555"/>
        <v>0</v>
      </c>
      <c r="Z347" s="662">
        <f t="shared" si="556"/>
        <v>0</v>
      </c>
      <c r="AA347" s="682">
        <f>'far 1 a(for internal use only)'!AA815</f>
        <v>0</v>
      </c>
      <c r="AB347" s="663">
        <f t="shared" si="557"/>
        <v>0</v>
      </c>
    </row>
    <row r="348" spans="1:28" s="90" customFormat="1" ht="14.1" hidden="1" customHeight="1" x14ac:dyDescent="0.2">
      <c r="A348" s="301"/>
      <c r="B348" s="348" t="s">
        <v>443</v>
      </c>
      <c r="C348" s="608"/>
      <c r="D348" s="608"/>
      <c r="E348" s="608"/>
      <c r="F348" s="370"/>
      <c r="G348" s="652"/>
      <c r="H348" s="652"/>
      <c r="I348" s="652"/>
      <c r="J348" s="652"/>
      <c r="K348" s="684"/>
      <c r="L348" s="684"/>
      <c r="M348" s="684"/>
      <c r="N348" s="685"/>
      <c r="O348" s="684"/>
      <c r="P348" s="684"/>
      <c r="Q348" s="684"/>
      <c r="R348" s="684"/>
      <c r="S348" s="684"/>
      <c r="T348" s="684"/>
      <c r="U348" s="684"/>
      <c r="V348" s="684"/>
      <c r="W348" s="684"/>
      <c r="X348" s="684"/>
      <c r="Y348" s="684"/>
      <c r="Z348" s="684"/>
      <c r="AA348" s="684"/>
      <c r="AB348" s="686"/>
    </row>
    <row r="349" spans="1:28" s="90" customFormat="1" ht="14.1" hidden="1" customHeight="1" x14ac:dyDescent="0.2">
      <c r="A349" s="301"/>
      <c r="B349" s="349" t="s">
        <v>444</v>
      </c>
      <c r="C349" s="608"/>
      <c r="D349" s="608"/>
      <c r="E349" s="608"/>
      <c r="F349" s="370" t="s">
        <v>445</v>
      </c>
      <c r="G349" s="681">
        <f>'far 1 a(for internal use only)'!G817</f>
        <v>0</v>
      </c>
      <c r="H349" s="681">
        <f>'far 1 a(for internal use only)'!H817</f>
        <v>0</v>
      </c>
      <c r="I349" s="660">
        <f t="shared" ref="I349:I351" si="558">G349+H349</f>
        <v>0</v>
      </c>
      <c r="J349" s="660">
        <f t="shared" ref="J349:J351" si="559">I349</f>
        <v>0</v>
      </c>
      <c r="K349" s="681">
        <f>'far 1 a(for internal use only)'!K817</f>
        <v>0</v>
      </c>
      <c r="L349" s="681">
        <f>'far 1 a(for internal use only)'!L817</f>
        <v>0</v>
      </c>
      <c r="M349" s="681">
        <f>'far 1 a(for internal use only)'!M817</f>
        <v>0</v>
      </c>
      <c r="N349" s="661">
        <f t="shared" ref="N349:N351" si="560">J349+K349-L349+M349</f>
        <v>0</v>
      </c>
      <c r="O349" s="681">
        <f>'far 1 a(for internal use only)'!O817</f>
        <v>0</v>
      </c>
      <c r="P349" s="681">
        <f>'far 1 a(for internal use only)'!P817</f>
        <v>0</v>
      </c>
      <c r="Q349" s="681">
        <f>'far 1 a(for internal use only)'!Q817</f>
        <v>0</v>
      </c>
      <c r="R349" s="681">
        <f>'far 1 a(for internal use only)'!R817</f>
        <v>0</v>
      </c>
      <c r="S349" s="662">
        <f t="shared" ref="S349:S351" si="561">SUM(O349:R349)</f>
        <v>0</v>
      </c>
      <c r="T349" s="681">
        <f>'far 1 a(for internal use only)'!T817</f>
        <v>0</v>
      </c>
      <c r="U349" s="681">
        <f>'far 1 a(for internal use only)'!U817</f>
        <v>0</v>
      </c>
      <c r="V349" s="681">
        <f>'far 1 a(for internal use only)'!V817</f>
        <v>0</v>
      </c>
      <c r="W349" s="681">
        <f>'far 1 a(for internal use only)'!W817</f>
        <v>0</v>
      </c>
      <c r="X349" s="662">
        <f t="shared" ref="X349:X351" si="562">SUM(T349:W349)</f>
        <v>0</v>
      </c>
      <c r="Y349" s="662">
        <f t="shared" ref="Y349:Y351" si="563">I349-N349</f>
        <v>0</v>
      </c>
      <c r="Z349" s="662">
        <f t="shared" ref="Z349:Z351" si="564">N349-S349</f>
        <v>0</v>
      </c>
      <c r="AA349" s="682">
        <f>'far 1 a(for internal use only)'!AA817</f>
        <v>0</v>
      </c>
      <c r="AB349" s="663">
        <f t="shared" ref="AB349:AB351" si="565">+S349-X349-AA349</f>
        <v>0</v>
      </c>
    </row>
    <row r="350" spans="1:28" s="90" customFormat="1" ht="14.1" hidden="1" customHeight="1" x14ac:dyDescent="0.2">
      <c r="A350" s="301"/>
      <c r="B350" s="349" t="s">
        <v>446</v>
      </c>
      <c r="C350" s="608"/>
      <c r="D350" s="608"/>
      <c r="E350" s="608"/>
      <c r="F350" s="370" t="s">
        <v>447</v>
      </c>
      <c r="G350" s="681">
        <f>'far 1 a(for internal use only)'!G818</f>
        <v>0</v>
      </c>
      <c r="H350" s="681">
        <f>'far 1 a(for internal use only)'!H818</f>
        <v>0</v>
      </c>
      <c r="I350" s="660">
        <f t="shared" si="558"/>
        <v>0</v>
      </c>
      <c r="J350" s="660">
        <f t="shared" si="559"/>
        <v>0</v>
      </c>
      <c r="K350" s="681">
        <f>'far 1 a(for internal use only)'!K818</f>
        <v>0</v>
      </c>
      <c r="L350" s="681">
        <f>'far 1 a(for internal use only)'!L818</f>
        <v>0</v>
      </c>
      <c r="M350" s="681">
        <f>'far 1 a(for internal use only)'!M818</f>
        <v>0</v>
      </c>
      <c r="N350" s="661">
        <f t="shared" si="560"/>
        <v>0</v>
      </c>
      <c r="O350" s="681">
        <f>'far 1 a(for internal use only)'!O818</f>
        <v>0</v>
      </c>
      <c r="P350" s="681">
        <f>'far 1 a(for internal use only)'!P818</f>
        <v>0</v>
      </c>
      <c r="Q350" s="681">
        <f>'far 1 a(for internal use only)'!Q818</f>
        <v>0</v>
      </c>
      <c r="R350" s="681">
        <f>'far 1 a(for internal use only)'!R818</f>
        <v>0</v>
      </c>
      <c r="S350" s="662">
        <f t="shared" si="561"/>
        <v>0</v>
      </c>
      <c r="T350" s="681">
        <f>'far 1 a(for internal use only)'!T818</f>
        <v>0</v>
      </c>
      <c r="U350" s="681">
        <f>'far 1 a(for internal use only)'!U818</f>
        <v>0</v>
      </c>
      <c r="V350" s="681">
        <f>'far 1 a(for internal use only)'!V818</f>
        <v>0</v>
      </c>
      <c r="W350" s="681">
        <f>'far 1 a(for internal use only)'!W818</f>
        <v>0</v>
      </c>
      <c r="X350" s="662">
        <f t="shared" si="562"/>
        <v>0</v>
      </c>
      <c r="Y350" s="662">
        <f t="shared" si="563"/>
        <v>0</v>
      </c>
      <c r="Z350" s="662">
        <f t="shared" si="564"/>
        <v>0</v>
      </c>
      <c r="AA350" s="682">
        <f>'far 1 a(for internal use only)'!AA818</f>
        <v>0</v>
      </c>
      <c r="AB350" s="663">
        <f t="shared" si="565"/>
        <v>0</v>
      </c>
    </row>
    <row r="351" spans="1:28" s="90" customFormat="1" ht="14.1" hidden="1" customHeight="1" x14ac:dyDescent="0.2">
      <c r="A351" s="301"/>
      <c r="B351" s="349" t="s">
        <v>448</v>
      </c>
      <c r="C351" s="608"/>
      <c r="D351" s="608"/>
      <c r="E351" s="608"/>
      <c r="F351" s="370" t="s">
        <v>449</v>
      </c>
      <c r="G351" s="681">
        <f>'far 1 a(for internal use only)'!G819</f>
        <v>0</v>
      </c>
      <c r="H351" s="681">
        <f>'far 1 a(for internal use only)'!H819</f>
        <v>0</v>
      </c>
      <c r="I351" s="660">
        <f t="shared" si="558"/>
        <v>0</v>
      </c>
      <c r="J351" s="660">
        <f t="shared" si="559"/>
        <v>0</v>
      </c>
      <c r="K351" s="681">
        <f>'far 1 a(for internal use only)'!K819</f>
        <v>0</v>
      </c>
      <c r="L351" s="681">
        <f>'far 1 a(for internal use only)'!L819</f>
        <v>0</v>
      </c>
      <c r="M351" s="681">
        <f>'far 1 a(for internal use only)'!M819</f>
        <v>0</v>
      </c>
      <c r="N351" s="661">
        <f t="shared" si="560"/>
        <v>0</v>
      </c>
      <c r="O351" s="681">
        <f>'far 1 a(for internal use only)'!O819</f>
        <v>0</v>
      </c>
      <c r="P351" s="681">
        <f>'far 1 a(for internal use only)'!P819</f>
        <v>0</v>
      </c>
      <c r="Q351" s="681">
        <f>'far 1 a(for internal use only)'!Q819</f>
        <v>0</v>
      </c>
      <c r="R351" s="681">
        <f>'far 1 a(for internal use only)'!R819</f>
        <v>0</v>
      </c>
      <c r="S351" s="662">
        <f t="shared" si="561"/>
        <v>0</v>
      </c>
      <c r="T351" s="681">
        <f>'far 1 a(for internal use only)'!T819</f>
        <v>0</v>
      </c>
      <c r="U351" s="681">
        <f>'far 1 a(for internal use only)'!U819</f>
        <v>0</v>
      </c>
      <c r="V351" s="681">
        <f>'far 1 a(for internal use only)'!V819</f>
        <v>0</v>
      </c>
      <c r="W351" s="681">
        <f>'far 1 a(for internal use only)'!W819</f>
        <v>0</v>
      </c>
      <c r="X351" s="662">
        <f t="shared" si="562"/>
        <v>0</v>
      </c>
      <c r="Y351" s="662">
        <f t="shared" si="563"/>
        <v>0</v>
      </c>
      <c r="Z351" s="662">
        <f t="shared" si="564"/>
        <v>0</v>
      </c>
      <c r="AA351" s="682">
        <f>'far 1 a(for internal use only)'!AA819</f>
        <v>0</v>
      </c>
      <c r="AB351" s="663">
        <f t="shared" si="565"/>
        <v>0</v>
      </c>
    </row>
    <row r="352" spans="1:28" s="90" customFormat="1" ht="14.1" hidden="1" customHeight="1" x14ac:dyDescent="0.2">
      <c r="A352" s="301"/>
      <c r="B352" s="348" t="s">
        <v>450</v>
      </c>
      <c r="C352" s="608"/>
      <c r="D352" s="608"/>
      <c r="E352" s="608"/>
      <c r="F352" s="370"/>
      <c r="G352" s="652"/>
      <c r="H352" s="652"/>
      <c r="I352" s="652"/>
      <c r="J352" s="652"/>
      <c r="K352" s="684"/>
      <c r="L352" s="684"/>
      <c r="M352" s="684"/>
      <c r="N352" s="685"/>
      <c r="O352" s="684"/>
      <c r="P352" s="684"/>
      <c r="Q352" s="684"/>
      <c r="R352" s="684"/>
      <c r="S352" s="684"/>
      <c r="T352" s="684"/>
      <c r="U352" s="684"/>
      <c r="V352" s="684"/>
      <c r="W352" s="684"/>
      <c r="X352" s="684"/>
      <c r="Y352" s="684"/>
      <c r="Z352" s="684"/>
      <c r="AA352" s="684"/>
      <c r="AB352" s="686"/>
    </row>
    <row r="353" spans="1:28" s="90" customFormat="1" ht="14.1" hidden="1" customHeight="1" x14ac:dyDescent="0.2">
      <c r="A353" s="301"/>
      <c r="B353" s="349" t="s">
        <v>451</v>
      </c>
      <c r="C353" s="608"/>
      <c r="D353" s="608"/>
      <c r="E353" s="608"/>
      <c r="F353" s="370" t="s">
        <v>452</v>
      </c>
      <c r="G353" s="681">
        <f>'far 1 a(for internal use only)'!G821</f>
        <v>0</v>
      </c>
      <c r="H353" s="681">
        <f>'far 1 a(for internal use only)'!H821</f>
        <v>0</v>
      </c>
      <c r="I353" s="660">
        <f t="shared" ref="I353:I359" si="566">G353+H353</f>
        <v>0</v>
      </c>
      <c r="J353" s="660">
        <f t="shared" ref="J353:J359" si="567">I353</f>
        <v>0</v>
      </c>
      <c r="K353" s="681">
        <f>'far 1 a(for internal use only)'!K821</f>
        <v>0</v>
      </c>
      <c r="L353" s="681">
        <f>'far 1 a(for internal use only)'!L821</f>
        <v>0</v>
      </c>
      <c r="M353" s="681">
        <f>'far 1 a(for internal use only)'!M821</f>
        <v>0</v>
      </c>
      <c r="N353" s="661">
        <f t="shared" ref="N353:N359" si="568">J353+K353-L353+M353</f>
        <v>0</v>
      </c>
      <c r="O353" s="681">
        <f>'far 1 a(for internal use only)'!O821</f>
        <v>0</v>
      </c>
      <c r="P353" s="681">
        <f>'far 1 a(for internal use only)'!P821</f>
        <v>0</v>
      </c>
      <c r="Q353" s="681">
        <f>'far 1 a(for internal use only)'!Q821</f>
        <v>0</v>
      </c>
      <c r="R353" s="681">
        <f>'far 1 a(for internal use only)'!R821</f>
        <v>0</v>
      </c>
      <c r="S353" s="662">
        <f t="shared" ref="S353:S359" si="569">SUM(O353:R353)</f>
        <v>0</v>
      </c>
      <c r="T353" s="681">
        <f>'far 1 a(for internal use only)'!T821</f>
        <v>0</v>
      </c>
      <c r="U353" s="681">
        <f>'far 1 a(for internal use only)'!U821</f>
        <v>0</v>
      </c>
      <c r="V353" s="681">
        <f>'far 1 a(for internal use only)'!V821</f>
        <v>0</v>
      </c>
      <c r="W353" s="681">
        <f>'far 1 a(for internal use only)'!W821</f>
        <v>0</v>
      </c>
      <c r="X353" s="662">
        <f t="shared" ref="X353:X359" si="570">SUM(T353:W353)</f>
        <v>0</v>
      </c>
      <c r="Y353" s="662">
        <f t="shared" ref="Y353:Y359" si="571">I353-N353</f>
        <v>0</v>
      </c>
      <c r="Z353" s="662">
        <f t="shared" ref="Z353:Z359" si="572">N353-S353</f>
        <v>0</v>
      </c>
      <c r="AA353" s="682">
        <f>'far 1 a(for internal use only)'!AA821</f>
        <v>0</v>
      </c>
      <c r="AB353" s="663">
        <f t="shared" ref="AB353:AB359" si="573">+S353-X353-AA353</f>
        <v>0</v>
      </c>
    </row>
    <row r="354" spans="1:28" s="90" customFormat="1" ht="14.1" hidden="1" customHeight="1" x14ac:dyDescent="0.2">
      <c r="A354" s="301"/>
      <c r="B354" s="349" t="s">
        <v>453</v>
      </c>
      <c r="C354" s="608"/>
      <c r="D354" s="608"/>
      <c r="E354" s="608"/>
      <c r="F354" s="370" t="s">
        <v>454</v>
      </c>
      <c r="G354" s="681">
        <f>'far 1 a(for internal use only)'!G822</f>
        <v>0</v>
      </c>
      <c r="H354" s="681">
        <f>'far 1 a(for internal use only)'!H822</f>
        <v>0</v>
      </c>
      <c r="I354" s="660">
        <f t="shared" si="566"/>
        <v>0</v>
      </c>
      <c r="J354" s="660">
        <f t="shared" si="567"/>
        <v>0</v>
      </c>
      <c r="K354" s="681">
        <f>'far 1 a(for internal use only)'!K822</f>
        <v>0</v>
      </c>
      <c r="L354" s="681">
        <f>'far 1 a(for internal use only)'!L822</f>
        <v>0</v>
      </c>
      <c r="M354" s="681">
        <f>'far 1 a(for internal use only)'!M822</f>
        <v>0</v>
      </c>
      <c r="N354" s="661">
        <f t="shared" si="568"/>
        <v>0</v>
      </c>
      <c r="O354" s="681">
        <f>'far 1 a(for internal use only)'!O822</f>
        <v>0</v>
      </c>
      <c r="P354" s="681">
        <f>'far 1 a(for internal use only)'!P822</f>
        <v>0</v>
      </c>
      <c r="Q354" s="681">
        <f>'far 1 a(for internal use only)'!Q822</f>
        <v>0</v>
      </c>
      <c r="R354" s="681">
        <f>'far 1 a(for internal use only)'!R822</f>
        <v>0</v>
      </c>
      <c r="S354" s="662">
        <f t="shared" si="569"/>
        <v>0</v>
      </c>
      <c r="T354" s="681">
        <f>'far 1 a(for internal use only)'!T822</f>
        <v>0</v>
      </c>
      <c r="U354" s="681">
        <f>'far 1 a(for internal use only)'!U822</f>
        <v>0</v>
      </c>
      <c r="V354" s="681">
        <f>'far 1 a(for internal use only)'!V822</f>
        <v>0</v>
      </c>
      <c r="W354" s="681">
        <f>'far 1 a(for internal use only)'!W822</f>
        <v>0</v>
      </c>
      <c r="X354" s="662">
        <f t="shared" si="570"/>
        <v>0</v>
      </c>
      <c r="Y354" s="662">
        <f t="shared" si="571"/>
        <v>0</v>
      </c>
      <c r="Z354" s="662">
        <f t="shared" si="572"/>
        <v>0</v>
      </c>
      <c r="AA354" s="682">
        <f>'far 1 a(for internal use only)'!AA822</f>
        <v>0</v>
      </c>
      <c r="AB354" s="663">
        <f t="shared" si="573"/>
        <v>0</v>
      </c>
    </row>
    <row r="355" spans="1:28" s="90" customFormat="1" ht="14.1" hidden="1" customHeight="1" x14ac:dyDescent="0.2">
      <c r="A355" s="301"/>
      <c r="B355" s="349" t="s">
        <v>455</v>
      </c>
      <c r="C355" s="608"/>
      <c r="D355" s="608"/>
      <c r="E355" s="608"/>
      <c r="F355" s="370" t="s">
        <v>456</v>
      </c>
      <c r="G355" s="681">
        <f>'far 1 a(for internal use only)'!G823</f>
        <v>0</v>
      </c>
      <c r="H355" s="681">
        <f>'far 1 a(for internal use only)'!H823</f>
        <v>0</v>
      </c>
      <c r="I355" s="660">
        <f t="shared" si="566"/>
        <v>0</v>
      </c>
      <c r="J355" s="660">
        <f t="shared" si="567"/>
        <v>0</v>
      </c>
      <c r="K355" s="681">
        <f>'far 1 a(for internal use only)'!K823</f>
        <v>0</v>
      </c>
      <c r="L355" s="681">
        <f>'far 1 a(for internal use only)'!L823</f>
        <v>0</v>
      </c>
      <c r="M355" s="681">
        <f>'far 1 a(for internal use only)'!M823</f>
        <v>0</v>
      </c>
      <c r="N355" s="661">
        <f t="shared" si="568"/>
        <v>0</v>
      </c>
      <c r="O355" s="681">
        <f>'far 1 a(for internal use only)'!O823</f>
        <v>0</v>
      </c>
      <c r="P355" s="681">
        <f>'far 1 a(for internal use only)'!P823</f>
        <v>0</v>
      </c>
      <c r="Q355" s="681">
        <f>'far 1 a(for internal use only)'!Q823</f>
        <v>0</v>
      </c>
      <c r="R355" s="681">
        <f>'far 1 a(for internal use only)'!R823</f>
        <v>0</v>
      </c>
      <c r="S355" s="662">
        <f t="shared" si="569"/>
        <v>0</v>
      </c>
      <c r="T355" s="681">
        <f>'far 1 a(for internal use only)'!T823</f>
        <v>0</v>
      </c>
      <c r="U355" s="681">
        <f>'far 1 a(for internal use only)'!U823</f>
        <v>0</v>
      </c>
      <c r="V355" s="681">
        <f>'far 1 a(for internal use only)'!V823</f>
        <v>0</v>
      </c>
      <c r="W355" s="681">
        <f>'far 1 a(for internal use only)'!W823</f>
        <v>0</v>
      </c>
      <c r="X355" s="662">
        <f t="shared" si="570"/>
        <v>0</v>
      </c>
      <c r="Y355" s="662">
        <f t="shared" si="571"/>
        <v>0</v>
      </c>
      <c r="Z355" s="662">
        <f t="shared" si="572"/>
        <v>0</v>
      </c>
      <c r="AA355" s="682">
        <f>'far 1 a(for internal use only)'!AA823</f>
        <v>0</v>
      </c>
      <c r="AB355" s="663">
        <f t="shared" si="573"/>
        <v>0</v>
      </c>
    </row>
    <row r="356" spans="1:28" s="90" customFormat="1" ht="14.1" hidden="1" customHeight="1" x14ac:dyDescent="0.2">
      <c r="A356" s="301"/>
      <c r="B356" s="349" t="s">
        <v>457</v>
      </c>
      <c r="C356" s="608"/>
      <c r="D356" s="608"/>
      <c r="E356" s="608"/>
      <c r="F356" s="370" t="s">
        <v>458</v>
      </c>
      <c r="G356" s="681">
        <f>'far 1 a(for internal use only)'!G824</f>
        <v>0</v>
      </c>
      <c r="H356" s="681">
        <f>'far 1 a(for internal use only)'!H824</f>
        <v>0</v>
      </c>
      <c r="I356" s="660">
        <f t="shared" si="566"/>
        <v>0</v>
      </c>
      <c r="J356" s="660">
        <f t="shared" si="567"/>
        <v>0</v>
      </c>
      <c r="K356" s="681">
        <f>'far 1 a(for internal use only)'!K824</f>
        <v>0</v>
      </c>
      <c r="L356" s="681">
        <f>'far 1 a(for internal use only)'!L824</f>
        <v>0</v>
      </c>
      <c r="M356" s="681">
        <f>'far 1 a(for internal use only)'!M824</f>
        <v>0</v>
      </c>
      <c r="N356" s="661">
        <f t="shared" si="568"/>
        <v>0</v>
      </c>
      <c r="O356" s="681">
        <f>'far 1 a(for internal use only)'!O824</f>
        <v>0</v>
      </c>
      <c r="P356" s="681">
        <f>'far 1 a(for internal use only)'!P824</f>
        <v>0</v>
      </c>
      <c r="Q356" s="681">
        <f>'far 1 a(for internal use only)'!Q824</f>
        <v>0</v>
      </c>
      <c r="R356" s="681">
        <f>'far 1 a(for internal use only)'!R824</f>
        <v>0</v>
      </c>
      <c r="S356" s="662">
        <f t="shared" si="569"/>
        <v>0</v>
      </c>
      <c r="T356" s="681">
        <f>'far 1 a(for internal use only)'!T824</f>
        <v>0</v>
      </c>
      <c r="U356" s="681">
        <f>'far 1 a(for internal use only)'!U824</f>
        <v>0</v>
      </c>
      <c r="V356" s="681">
        <f>'far 1 a(for internal use only)'!V824</f>
        <v>0</v>
      </c>
      <c r="W356" s="681">
        <f>'far 1 a(for internal use only)'!W824</f>
        <v>0</v>
      </c>
      <c r="X356" s="662">
        <f t="shared" si="570"/>
        <v>0</v>
      </c>
      <c r="Y356" s="662">
        <f t="shared" si="571"/>
        <v>0</v>
      </c>
      <c r="Z356" s="662">
        <f t="shared" si="572"/>
        <v>0</v>
      </c>
      <c r="AA356" s="682">
        <f>'far 1 a(for internal use only)'!AA824</f>
        <v>0</v>
      </c>
      <c r="AB356" s="663">
        <f t="shared" si="573"/>
        <v>0</v>
      </c>
    </row>
    <row r="357" spans="1:28" s="90" customFormat="1" ht="14.1" hidden="1" customHeight="1" x14ac:dyDescent="0.2">
      <c r="A357" s="301"/>
      <c r="B357" s="349" t="s">
        <v>459</v>
      </c>
      <c r="C357" s="608"/>
      <c r="D357" s="608"/>
      <c r="E357" s="608"/>
      <c r="F357" s="370" t="s">
        <v>460</v>
      </c>
      <c r="G357" s="681">
        <f>'far 1 a(for internal use only)'!G825</f>
        <v>0</v>
      </c>
      <c r="H357" s="681">
        <f>'far 1 a(for internal use only)'!H825</f>
        <v>0</v>
      </c>
      <c r="I357" s="660">
        <f t="shared" si="566"/>
        <v>0</v>
      </c>
      <c r="J357" s="660">
        <f t="shared" si="567"/>
        <v>0</v>
      </c>
      <c r="K357" s="681">
        <f>'far 1 a(for internal use only)'!K825</f>
        <v>0</v>
      </c>
      <c r="L357" s="681">
        <f>'far 1 a(for internal use only)'!L825</f>
        <v>0</v>
      </c>
      <c r="M357" s="681">
        <f>'far 1 a(for internal use only)'!M825</f>
        <v>0</v>
      </c>
      <c r="N357" s="661">
        <f t="shared" si="568"/>
        <v>0</v>
      </c>
      <c r="O357" s="681">
        <f>'far 1 a(for internal use only)'!O825</f>
        <v>0</v>
      </c>
      <c r="P357" s="681">
        <f>'far 1 a(for internal use only)'!P825</f>
        <v>0</v>
      </c>
      <c r="Q357" s="681">
        <f>'far 1 a(for internal use only)'!Q825</f>
        <v>0</v>
      </c>
      <c r="R357" s="681">
        <f>'far 1 a(for internal use only)'!R825</f>
        <v>0</v>
      </c>
      <c r="S357" s="662">
        <f t="shared" si="569"/>
        <v>0</v>
      </c>
      <c r="T357" s="681">
        <f>'far 1 a(for internal use only)'!T825</f>
        <v>0</v>
      </c>
      <c r="U357" s="681">
        <f>'far 1 a(for internal use only)'!U825</f>
        <v>0</v>
      </c>
      <c r="V357" s="681">
        <f>'far 1 a(for internal use only)'!V825</f>
        <v>0</v>
      </c>
      <c r="W357" s="681">
        <f>'far 1 a(for internal use only)'!W825</f>
        <v>0</v>
      </c>
      <c r="X357" s="662">
        <f t="shared" si="570"/>
        <v>0</v>
      </c>
      <c r="Y357" s="662">
        <f t="shared" si="571"/>
        <v>0</v>
      </c>
      <c r="Z357" s="662">
        <f t="shared" si="572"/>
        <v>0</v>
      </c>
      <c r="AA357" s="682">
        <f>'far 1 a(for internal use only)'!AA825</f>
        <v>0</v>
      </c>
      <c r="AB357" s="663">
        <f t="shared" si="573"/>
        <v>0</v>
      </c>
    </row>
    <row r="358" spans="1:28" s="90" customFormat="1" ht="14.1" hidden="1" customHeight="1" x14ac:dyDescent="0.2">
      <c r="A358" s="301"/>
      <c r="B358" s="349" t="s">
        <v>461</v>
      </c>
      <c r="C358" s="608"/>
      <c r="D358" s="608"/>
      <c r="E358" s="608"/>
      <c r="F358" s="370" t="s">
        <v>462</v>
      </c>
      <c r="G358" s="681">
        <f>'far 1 a(for internal use only)'!G826</f>
        <v>0</v>
      </c>
      <c r="H358" s="681">
        <f>'far 1 a(for internal use only)'!H826</f>
        <v>0</v>
      </c>
      <c r="I358" s="660">
        <f t="shared" si="566"/>
        <v>0</v>
      </c>
      <c r="J358" s="660">
        <f t="shared" si="567"/>
        <v>0</v>
      </c>
      <c r="K358" s="681">
        <f>'far 1 a(for internal use only)'!K826</f>
        <v>0</v>
      </c>
      <c r="L358" s="681">
        <f>'far 1 a(for internal use only)'!L826</f>
        <v>0</v>
      </c>
      <c r="M358" s="681">
        <f>'far 1 a(for internal use only)'!M826</f>
        <v>0</v>
      </c>
      <c r="N358" s="661">
        <f t="shared" si="568"/>
        <v>0</v>
      </c>
      <c r="O358" s="681">
        <f>'far 1 a(for internal use only)'!O826</f>
        <v>0</v>
      </c>
      <c r="P358" s="681">
        <f>'far 1 a(for internal use only)'!P826</f>
        <v>0</v>
      </c>
      <c r="Q358" s="681">
        <f>'far 1 a(for internal use only)'!Q826</f>
        <v>0</v>
      </c>
      <c r="R358" s="681">
        <f>'far 1 a(for internal use only)'!R826</f>
        <v>0</v>
      </c>
      <c r="S358" s="662">
        <f t="shared" si="569"/>
        <v>0</v>
      </c>
      <c r="T358" s="681">
        <f>'far 1 a(for internal use only)'!T826</f>
        <v>0</v>
      </c>
      <c r="U358" s="681">
        <f>'far 1 a(for internal use only)'!U826</f>
        <v>0</v>
      </c>
      <c r="V358" s="681">
        <f>'far 1 a(for internal use only)'!V826</f>
        <v>0</v>
      </c>
      <c r="W358" s="681">
        <f>'far 1 a(for internal use only)'!W826</f>
        <v>0</v>
      </c>
      <c r="X358" s="662">
        <f t="shared" si="570"/>
        <v>0</v>
      </c>
      <c r="Y358" s="662">
        <f t="shared" si="571"/>
        <v>0</v>
      </c>
      <c r="Z358" s="662">
        <f t="shared" si="572"/>
        <v>0</v>
      </c>
      <c r="AA358" s="682">
        <f>'far 1 a(for internal use only)'!AA826</f>
        <v>0</v>
      </c>
      <c r="AB358" s="663">
        <f t="shared" si="573"/>
        <v>0</v>
      </c>
    </row>
    <row r="359" spans="1:28" s="90" customFormat="1" ht="14.1" hidden="1" customHeight="1" x14ac:dyDescent="0.2">
      <c r="A359" s="301"/>
      <c r="B359" s="349" t="s">
        <v>463</v>
      </c>
      <c r="C359" s="608"/>
      <c r="D359" s="608"/>
      <c r="E359" s="608"/>
      <c r="F359" s="370" t="s">
        <v>464</v>
      </c>
      <c r="G359" s="681">
        <f>'far 1 a(for internal use only)'!G827</f>
        <v>0</v>
      </c>
      <c r="H359" s="681">
        <f>'far 1 a(for internal use only)'!H827</f>
        <v>0</v>
      </c>
      <c r="I359" s="660">
        <f t="shared" si="566"/>
        <v>0</v>
      </c>
      <c r="J359" s="660">
        <f t="shared" si="567"/>
        <v>0</v>
      </c>
      <c r="K359" s="681">
        <f>'far 1 a(for internal use only)'!K827</f>
        <v>0</v>
      </c>
      <c r="L359" s="681">
        <f>'far 1 a(for internal use only)'!L827</f>
        <v>0</v>
      </c>
      <c r="M359" s="681">
        <f>'far 1 a(for internal use only)'!M827</f>
        <v>0</v>
      </c>
      <c r="N359" s="661">
        <f t="shared" si="568"/>
        <v>0</v>
      </c>
      <c r="O359" s="681">
        <f>'far 1 a(for internal use only)'!O827</f>
        <v>0</v>
      </c>
      <c r="P359" s="681">
        <f>'far 1 a(for internal use only)'!P827</f>
        <v>0</v>
      </c>
      <c r="Q359" s="681">
        <f>'far 1 a(for internal use only)'!Q827</f>
        <v>0</v>
      </c>
      <c r="R359" s="681">
        <f>'far 1 a(for internal use only)'!R827</f>
        <v>0</v>
      </c>
      <c r="S359" s="662">
        <f t="shared" si="569"/>
        <v>0</v>
      </c>
      <c r="T359" s="681">
        <f>'far 1 a(for internal use only)'!T827</f>
        <v>0</v>
      </c>
      <c r="U359" s="681">
        <f>'far 1 a(for internal use only)'!U827</f>
        <v>0</v>
      </c>
      <c r="V359" s="681">
        <f>'far 1 a(for internal use only)'!V827</f>
        <v>0</v>
      </c>
      <c r="W359" s="681">
        <f>'far 1 a(for internal use only)'!W827</f>
        <v>0</v>
      </c>
      <c r="X359" s="662">
        <f t="shared" si="570"/>
        <v>0</v>
      </c>
      <c r="Y359" s="662">
        <f t="shared" si="571"/>
        <v>0</v>
      </c>
      <c r="Z359" s="662">
        <f t="shared" si="572"/>
        <v>0</v>
      </c>
      <c r="AA359" s="682">
        <f>'far 1 a(for internal use only)'!AA827</f>
        <v>0</v>
      </c>
      <c r="AB359" s="663">
        <f t="shared" si="573"/>
        <v>0</v>
      </c>
    </row>
    <row r="360" spans="1:28" s="90" customFormat="1" ht="14.1" hidden="1" customHeight="1" x14ac:dyDescent="0.2">
      <c r="A360" s="301"/>
      <c r="B360" s="348" t="s">
        <v>465</v>
      </c>
      <c r="C360" s="608"/>
      <c r="D360" s="608"/>
      <c r="E360" s="608"/>
      <c r="F360" s="370"/>
      <c r="G360" s="652"/>
      <c r="H360" s="652"/>
      <c r="I360" s="652"/>
      <c r="J360" s="652"/>
      <c r="K360" s="684"/>
      <c r="L360" s="684"/>
      <c r="M360" s="684"/>
      <c r="N360" s="685"/>
      <c r="O360" s="684"/>
      <c r="P360" s="684"/>
      <c r="Q360" s="684"/>
      <c r="R360" s="684"/>
      <c r="S360" s="684"/>
      <c r="T360" s="684"/>
      <c r="U360" s="684"/>
      <c r="V360" s="684"/>
      <c r="W360" s="684"/>
      <c r="X360" s="684"/>
      <c r="Y360" s="684"/>
      <c r="Z360" s="684"/>
      <c r="AA360" s="684"/>
      <c r="AB360" s="686"/>
    </row>
    <row r="361" spans="1:28" s="90" customFormat="1" ht="14.1" hidden="1" customHeight="1" x14ac:dyDescent="0.2">
      <c r="A361" s="301"/>
      <c r="B361" s="349" t="s">
        <v>466</v>
      </c>
      <c r="C361" s="608"/>
      <c r="D361" s="608"/>
      <c r="E361" s="608"/>
      <c r="F361" s="370" t="s">
        <v>467</v>
      </c>
      <c r="G361" s="681">
        <f>'far 1 a(for internal use only)'!G829</f>
        <v>0</v>
      </c>
      <c r="H361" s="681">
        <f>'far 1 a(for internal use only)'!H829</f>
        <v>0</v>
      </c>
      <c r="I361" s="660">
        <f t="shared" ref="I361:I363" si="574">G361+H361</f>
        <v>0</v>
      </c>
      <c r="J361" s="660">
        <f t="shared" ref="J361:J363" si="575">I361</f>
        <v>0</v>
      </c>
      <c r="K361" s="681">
        <f>'far 1 a(for internal use only)'!K829</f>
        <v>0</v>
      </c>
      <c r="L361" s="681">
        <f>'far 1 a(for internal use only)'!L829</f>
        <v>0</v>
      </c>
      <c r="M361" s="681">
        <f>'far 1 a(for internal use only)'!M829</f>
        <v>0</v>
      </c>
      <c r="N361" s="661">
        <f t="shared" ref="N361:N363" si="576">J361+K361-L361+M361</f>
        <v>0</v>
      </c>
      <c r="O361" s="681">
        <f>'far 1 a(for internal use only)'!O829</f>
        <v>0</v>
      </c>
      <c r="P361" s="681">
        <f>'far 1 a(for internal use only)'!P829</f>
        <v>0</v>
      </c>
      <c r="Q361" s="681">
        <f>'far 1 a(for internal use only)'!Q829</f>
        <v>0</v>
      </c>
      <c r="R361" s="681">
        <f>'far 1 a(for internal use only)'!R829</f>
        <v>0</v>
      </c>
      <c r="S361" s="662">
        <f t="shared" ref="S361:S363" si="577">SUM(O361:R361)</f>
        <v>0</v>
      </c>
      <c r="T361" s="681">
        <f>'far 1 a(for internal use only)'!T829</f>
        <v>0</v>
      </c>
      <c r="U361" s="681">
        <f>'far 1 a(for internal use only)'!U829</f>
        <v>0</v>
      </c>
      <c r="V361" s="681">
        <f>'far 1 a(for internal use only)'!V829</f>
        <v>0</v>
      </c>
      <c r="W361" s="681">
        <f>'far 1 a(for internal use only)'!W829</f>
        <v>0</v>
      </c>
      <c r="X361" s="662">
        <f t="shared" ref="X361:X363" si="578">SUM(T361:W361)</f>
        <v>0</v>
      </c>
      <c r="Y361" s="662">
        <f t="shared" ref="Y361:Y363" si="579">I361-N361</f>
        <v>0</v>
      </c>
      <c r="Z361" s="662">
        <f t="shared" ref="Z361:Z363" si="580">N361-S361</f>
        <v>0</v>
      </c>
      <c r="AA361" s="682">
        <f>'far 1 a(for internal use only)'!AA829</f>
        <v>0</v>
      </c>
      <c r="AB361" s="663">
        <f t="shared" ref="AB361:AB363" si="581">+S361-X361-AA361</f>
        <v>0</v>
      </c>
    </row>
    <row r="362" spans="1:28" s="90" customFormat="1" ht="14.1" hidden="1" customHeight="1" x14ac:dyDescent="0.2">
      <c r="A362" s="301"/>
      <c r="B362" s="349" t="s">
        <v>468</v>
      </c>
      <c r="C362" s="608"/>
      <c r="D362" s="608"/>
      <c r="E362" s="608"/>
      <c r="F362" s="370" t="s">
        <v>469</v>
      </c>
      <c r="G362" s="681">
        <f>'far 1 a(for internal use only)'!G830</f>
        <v>0</v>
      </c>
      <c r="H362" s="681">
        <f>'far 1 a(for internal use only)'!H830</f>
        <v>0</v>
      </c>
      <c r="I362" s="660">
        <f t="shared" si="574"/>
        <v>0</v>
      </c>
      <c r="J362" s="660">
        <f t="shared" si="575"/>
        <v>0</v>
      </c>
      <c r="K362" s="681">
        <f>'far 1 a(for internal use only)'!K830</f>
        <v>0</v>
      </c>
      <c r="L362" s="681">
        <f>'far 1 a(for internal use only)'!L830</f>
        <v>0</v>
      </c>
      <c r="M362" s="681">
        <f>'far 1 a(for internal use only)'!M830</f>
        <v>0</v>
      </c>
      <c r="N362" s="661">
        <f t="shared" si="576"/>
        <v>0</v>
      </c>
      <c r="O362" s="681">
        <f>'far 1 a(for internal use only)'!O830</f>
        <v>0</v>
      </c>
      <c r="P362" s="681">
        <f>'far 1 a(for internal use only)'!P830</f>
        <v>0</v>
      </c>
      <c r="Q362" s="681">
        <f>'far 1 a(for internal use only)'!Q830</f>
        <v>0</v>
      </c>
      <c r="R362" s="681">
        <f>'far 1 a(for internal use only)'!R830</f>
        <v>0</v>
      </c>
      <c r="S362" s="662">
        <f t="shared" si="577"/>
        <v>0</v>
      </c>
      <c r="T362" s="681">
        <f>'far 1 a(for internal use only)'!T830</f>
        <v>0</v>
      </c>
      <c r="U362" s="681">
        <f>'far 1 a(for internal use only)'!U830</f>
        <v>0</v>
      </c>
      <c r="V362" s="681">
        <f>'far 1 a(for internal use only)'!V830</f>
        <v>0</v>
      </c>
      <c r="W362" s="681">
        <f>'far 1 a(for internal use only)'!W830</f>
        <v>0</v>
      </c>
      <c r="X362" s="662">
        <f t="shared" si="578"/>
        <v>0</v>
      </c>
      <c r="Y362" s="662">
        <f t="shared" si="579"/>
        <v>0</v>
      </c>
      <c r="Z362" s="662">
        <f t="shared" si="580"/>
        <v>0</v>
      </c>
      <c r="AA362" s="682">
        <f>'far 1 a(for internal use only)'!AA830</f>
        <v>0</v>
      </c>
      <c r="AB362" s="663">
        <f t="shared" si="581"/>
        <v>0</v>
      </c>
    </row>
    <row r="363" spans="1:28" s="90" customFormat="1" ht="14.1" hidden="1" customHeight="1" x14ac:dyDescent="0.2">
      <c r="A363" s="301"/>
      <c r="B363" s="349" t="s">
        <v>470</v>
      </c>
      <c r="C363" s="608"/>
      <c r="D363" s="608"/>
      <c r="E363" s="608"/>
      <c r="F363" s="370" t="s">
        <v>471</v>
      </c>
      <c r="G363" s="681">
        <f>'far 1 a(for internal use only)'!G831</f>
        <v>0</v>
      </c>
      <c r="H363" s="681">
        <f>'far 1 a(for internal use only)'!H831</f>
        <v>0</v>
      </c>
      <c r="I363" s="660">
        <f t="shared" si="574"/>
        <v>0</v>
      </c>
      <c r="J363" s="660">
        <f t="shared" si="575"/>
        <v>0</v>
      </c>
      <c r="K363" s="681">
        <f>'far 1 a(for internal use only)'!K831</f>
        <v>0</v>
      </c>
      <c r="L363" s="681">
        <f>'far 1 a(for internal use only)'!L831</f>
        <v>0</v>
      </c>
      <c r="M363" s="681">
        <f>'far 1 a(for internal use only)'!M831</f>
        <v>0</v>
      </c>
      <c r="N363" s="661">
        <f t="shared" si="576"/>
        <v>0</v>
      </c>
      <c r="O363" s="681">
        <f>'far 1 a(for internal use only)'!O831</f>
        <v>0</v>
      </c>
      <c r="P363" s="681">
        <f>'far 1 a(for internal use only)'!P831</f>
        <v>0</v>
      </c>
      <c r="Q363" s="681">
        <f>'far 1 a(for internal use only)'!Q831</f>
        <v>0</v>
      </c>
      <c r="R363" s="681">
        <f>'far 1 a(for internal use only)'!R831</f>
        <v>0</v>
      </c>
      <c r="S363" s="662">
        <f t="shared" si="577"/>
        <v>0</v>
      </c>
      <c r="T363" s="681">
        <f>'far 1 a(for internal use only)'!T831</f>
        <v>0</v>
      </c>
      <c r="U363" s="681">
        <f>'far 1 a(for internal use only)'!U831</f>
        <v>0</v>
      </c>
      <c r="V363" s="681">
        <f>'far 1 a(for internal use only)'!V831</f>
        <v>0</v>
      </c>
      <c r="W363" s="681">
        <f>'far 1 a(for internal use only)'!W831</f>
        <v>0</v>
      </c>
      <c r="X363" s="662">
        <f t="shared" si="578"/>
        <v>0</v>
      </c>
      <c r="Y363" s="662">
        <f t="shared" si="579"/>
        <v>0</v>
      </c>
      <c r="Z363" s="662">
        <f t="shared" si="580"/>
        <v>0</v>
      </c>
      <c r="AA363" s="682">
        <f>'far 1 a(for internal use only)'!AA831</f>
        <v>0</v>
      </c>
      <c r="AB363" s="663">
        <f t="shared" si="581"/>
        <v>0</v>
      </c>
    </row>
    <row r="364" spans="1:28" s="90" customFormat="1" ht="14.1" hidden="1" customHeight="1" x14ac:dyDescent="0.2">
      <c r="A364" s="301"/>
      <c r="B364" s="348" t="s">
        <v>472</v>
      </c>
      <c r="C364" s="608"/>
      <c r="D364" s="608"/>
      <c r="E364" s="608"/>
      <c r="F364" s="370"/>
      <c r="G364" s="652"/>
      <c r="H364" s="652"/>
      <c r="I364" s="652"/>
      <c r="J364" s="652"/>
      <c r="K364" s="684"/>
      <c r="L364" s="684"/>
      <c r="M364" s="684"/>
      <c r="N364" s="685"/>
      <c r="O364" s="684"/>
      <c r="P364" s="684"/>
      <c r="Q364" s="684"/>
      <c r="R364" s="684"/>
      <c r="S364" s="684"/>
      <c r="T364" s="684"/>
      <c r="U364" s="684"/>
      <c r="V364" s="684"/>
      <c r="W364" s="684"/>
      <c r="X364" s="684"/>
      <c r="Y364" s="684"/>
      <c r="Z364" s="684"/>
      <c r="AA364" s="684"/>
      <c r="AB364" s="686"/>
    </row>
    <row r="365" spans="1:28" s="90" customFormat="1" ht="14.1" hidden="1" customHeight="1" x14ac:dyDescent="0.2">
      <c r="A365" s="301"/>
      <c r="B365" s="349" t="s">
        <v>473</v>
      </c>
      <c r="C365" s="608"/>
      <c r="D365" s="608"/>
      <c r="E365" s="608"/>
      <c r="F365" s="370" t="s">
        <v>474</v>
      </c>
      <c r="G365" s="681">
        <f>'far 1 a(for internal use only)'!G833</f>
        <v>0</v>
      </c>
      <c r="H365" s="681">
        <f>'far 1 a(for internal use only)'!H833</f>
        <v>0</v>
      </c>
      <c r="I365" s="660">
        <f t="shared" ref="I365:I366" si="582">G365+H365</f>
        <v>0</v>
      </c>
      <c r="J365" s="660">
        <f t="shared" ref="J365:J366" si="583">I365</f>
        <v>0</v>
      </c>
      <c r="K365" s="681">
        <f>'far 1 a(for internal use only)'!K833</f>
        <v>0</v>
      </c>
      <c r="L365" s="681">
        <f>'far 1 a(for internal use only)'!L833</f>
        <v>0</v>
      </c>
      <c r="M365" s="681">
        <f>'far 1 a(for internal use only)'!M833</f>
        <v>0</v>
      </c>
      <c r="N365" s="661">
        <f t="shared" ref="N365:N366" si="584">J365+K365-L365+M365</f>
        <v>0</v>
      </c>
      <c r="O365" s="681">
        <f>'far 1 a(for internal use only)'!O833</f>
        <v>0</v>
      </c>
      <c r="P365" s="681">
        <f>'far 1 a(for internal use only)'!P833</f>
        <v>0</v>
      </c>
      <c r="Q365" s="681">
        <f>'far 1 a(for internal use only)'!Q833</f>
        <v>0</v>
      </c>
      <c r="R365" s="681">
        <f>'far 1 a(for internal use only)'!R833</f>
        <v>0</v>
      </c>
      <c r="S365" s="662">
        <f t="shared" ref="S365:S366" si="585">SUM(O365:R365)</f>
        <v>0</v>
      </c>
      <c r="T365" s="681">
        <f>'far 1 a(for internal use only)'!T833</f>
        <v>0</v>
      </c>
      <c r="U365" s="681">
        <f>'far 1 a(for internal use only)'!U833</f>
        <v>0</v>
      </c>
      <c r="V365" s="681">
        <f>'far 1 a(for internal use only)'!V833</f>
        <v>0</v>
      </c>
      <c r="W365" s="681">
        <f>'far 1 a(for internal use only)'!W833</f>
        <v>0</v>
      </c>
      <c r="X365" s="662">
        <f t="shared" ref="X365:X366" si="586">SUM(T365:W365)</f>
        <v>0</v>
      </c>
      <c r="Y365" s="662">
        <f t="shared" ref="Y365:Y366" si="587">I365-N365</f>
        <v>0</v>
      </c>
      <c r="Z365" s="662">
        <f t="shared" ref="Z365:Z366" si="588">N365-S365</f>
        <v>0</v>
      </c>
      <c r="AA365" s="682">
        <f>'far 1 a(for internal use only)'!AA833</f>
        <v>0</v>
      </c>
      <c r="AB365" s="663">
        <f t="shared" ref="AB365:AB366" si="589">+S365-X365-AA365</f>
        <v>0</v>
      </c>
    </row>
    <row r="366" spans="1:28" s="90" customFormat="1" ht="14.1" hidden="1" customHeight="1" x14ac:dyDescent="0.2">
      <c r="A366" s="301"/>
      <c r="B366" s="349" t="s">
        <v>475</v>
      </c>
      <c r="C366" s="608"/>
      <c r="D366" s="608"/>
      <c r="E366" s="608"/>
      <c r="F366" s="370" t="s">
        <v>476</v>
      </c>
      <c r="G366" s="681">
        <f>'far 1 a(for internal use only)'!G834</f>
        <v>0</v>
      </c>
      <c r="H366" s="681">
        <f>'far 1 a(for internal use only)'!H834</f>
        <v>0</v>
      </c>
      <c r="I366" s="660">
        <f t="shared" si="582"/>
        <v>0</v>
      </c>
      <c r="J366" s="660">
        <f t="shared" si="583"/>
        <v>0</v>
      </c>
      <c r="K366" s="681">
        <f>'far 1 a(for internal use only)'!K834</f>
        <v>0</v>
      </c>
      <c r="L366" s="681">
        <f>'far 1 a(for internal use only)'!L834</f>
        <v>0</v>
      </c>
      <c r="M366" s="681">
        <f>'far 1 a(for internal use only)'!M834</f>
        <v>0</v>
      </c>
      <c r="N366" s="661">
        <f t="shared" si="584"/>
        <v>0</v>
      </c>
      <c r="O366" s="681">
        <f>'far 1 a(for internal use only)'!O834</f>
        <v>0</v>
      </c>
      <c r="P366" s="681">
        <f>'far 1 a(for internal use only)'!P834</f>
        <v>0</v>
      </c>
      <c r="Q366" s="681">
        <f>'far 1 a(for internal use only)'!Q834</f>
        <v>0</v>
      </c>
      <c r="R366" s="681">
        <f>'far 1 a(for internal use only)'!R834</f>
        <v>0</v>
      </c>
      <c r="S366" s="662">
        <f t="shared" si="585"/>
        <v>0</v>
      </c>
      <c r="T366" s="681">
        <f>'far 1 a(for internal use only)'!T834</f>
        <v>0</v>
      </c>
      <c r="U366" s="681">
        <f>'far 1 a(for internal use only)'!U834</f>
        <v>0</v>
      </c>
      <c r="V366" s="681">
        <f>'far 1 a(for internal use only)'!V834</f>
        <v>0</v>
      </c>
      <c r="W366" s="681">
        <f>'far 1 a(for internal use only)'!W834</f>
        <v>0</v>
      </c>
      <c r="X366" s="662">
        <f t="shared" si="586"/>
        <v>0</v>
      </c>
      <c r="Y366" s="662">
        <f t="shared" si="587"/>
        <v>0</v>
      </c>
      <c r="Z366" s="662">
        <f t="shared" si="588"/>
        <v>0</v>
      </c>
      <c r="AA366" s="682">
        <f>'far 1 a(for internal use only)'!AA834</f>
        <v>0</v>
      </c>
      <c r="AB366" s="663">
        <f t="shared" si="589"/>
        <v>0</v>
      </c>
    </row>
    <row r="367" spans="1:28" s="90" customFormat="1" ht="14.1" hidden="1" customHeight="1" x14ac:dyDescent="0.2">
      <c r="A367" s="301"/>
      <c r="B367" s="348" t="s">
        <v>477</v>
      </c>
      <c r="C367" s="608"/>
      <c r="D367" s="608"/>
      <c r="E367" s="608"/>
      <c r="F367" s="370"/>
      <c r="G367" s="652"/>
      <c r="H367" s="652"/>
      <c r="I367" s="652"/>
      <c r="J367" s="652"/>
      <c r="K367" s="684"/>
      <c r="L367" s="684"/>
      <c r="M367" s="684"/>
      <c r="N367" s="685"/>
      <c r="O367" s="684"/>
      <c r="P367" s="684"/>
      <c r="Q367" s="684"/>
      <c r="R367" s="684"/>
      <c r="S367" s="684"/>
      <c r="T367" s="684"/>
      <c r="U367" s="684"/>
      <c r="V367" s="684"/>
      <c r="W367" s="684"/>
      <c r="X367" s="684"/>
      <c r="Y367" s="684"/>
      <c r="Z367" s="684"/>
      <c r="AA367" s="684"/>
      <c r="AB367" s="686"/>
    </row>
    <row r="368" spans="1:28" s="90" customFormat="1" ht="14.1" hidden="1" customHeight="1" x14ac:dyDescent="0.2">
      <c r="A368" s="301"/>
      <c r="B368" s="349" t="s">
        <v>478</v>
      </c>
      <c r="C368" s="608"/>
      <c r="D368" s="608"/>
      <c r="E368" s="608"/>
      <c r="F368" s="370" t="s">
        <v>479</v>
      </c>
      <c r="G368" s="681">
        <f>'far 1 a(for internal use only)'!G836</f>
        <v>0</v>
      </c>
      <c r="H368" s="681">
        <f>'far 1 a(for internal use only)'!H836</f>
        <v>0</v>
      </c>
      <c r="I368" s="660">
        <f t="shared" ref="I368" si="590">G368+H368</f>
        <v>0</v>
      </c>
      <c r="J368" s="660">
        <f t="shared" ref="J368" si="591">I368</f>
        <v>0</v>
      </c>
      <c r="K368" s="681">
        <f>'far 1 a(for internal use only)'!K836</f>
        <v>0</v>
      </c>
      <c r="L368" s="681">
        <f>'far 1 a(for internal use only)'!L836</f>
        <v>0</v>
      </c>
      <c r="M368" s="681">
        <f>'far 1 a(for internal use only)'!M836</f>
        <v>0</v>
      </c>
      <c r="N368" s="661">
        <f>J368+K368-L368+M368</f>
        <v>0</v>
      </c>
      <c r="O368" s="681">
        <f>'far 1 a(for internal use only)'!O836</f>
        <v>0</v>
      </c>
      <c r="P368" s="681">
        <f>'far 1 a(for internal use only)'!P836</f>
        <v>0</v>
      </c>
      <c r="Q368" s="681">
        <f>'far 1 a(for internal use only)'!Q836</f>
        <v>0</v>
      </c>
      <c r="R368" s="681">
        <f>'far 1 a(for internal use only)'!R836</f>
        <v>0</v>
      </c>
      <c r="S368" s="662">
        <f t="shared" ref="S368" si="592">SUM(O368:R368)</f>
        <v>0</v>
      </c>
      <c r="T368" s="681">
        <f>'far 1 a(for internal use only)'!T836</f>
        <v>0</v>
      </c>
      <c r="U368" s="681">
        <f>'far 1 a(for internal use only)'!U836</f>
        <v>0</v>
      </c>
      <c r="V368" s="681">
        <f>'far 1 a(for internal use only)'!V836</f>
        <v>0</v>
      </c>
      <c r="W368" s="681">
        <f>'far 1 a(for internal use only)'!W836</f>
        <v>0</v>
      </c>
      <c r="X368" s="662">
        <f t="shared" ref="X368" si="593">SUM(T368:W368)</f>
        <v>0</v>
      </c>
      <c r="Y368" s="662">
        <f t="shared" ref="Y368" si="594">I368-N368</f>
        <v>0</v>
      </c>
      <c r="Z368" s="662">
        <f t="shared" ref="Z368" si="595">N368-S368</f>
        <v>0</v>
      </c>
      <c r="AA368" s="682">
        <f>'far 1 a(for internal use only)'!AA836</f>
        <v>0</v>
      </c>
      <c r="AB368" s="663">
        <f t="shared" ref="AB368" si="596">+S368-X368-AA368</f>
        <v>0</v>
      </c>
    </row>
    <row r="369" spans="1:28" s="90" customFormat="1" ht="14.1" hidden="1" customHeight="1" x14ac:dyDescent="0.2">
      <c r="A369" s="301"/>
      <c r="B369" s="348" t="s">
        <v>480</v>
      </c>
      <c r="C369" s="608"/>
      <c r="D369" s="608"/>
      <c r="E369" s="608"/>
      <c r="F369" s="370"/>
      <c r="G369" s="652"/>
      <c r="H369" s="652"/>
      <c r="I369" s="652"/>
      <c r="J369" s="652"/>
      <c r="K369" s="684"/>
      <c r="L369" s="684"/>
      <c r="M369" s="684"/>
      <c r="N369" s="685"/>
      <c r="O369" s="684"/>
      <c r="P369" s="684"/>
      <c r="Q369" s="684"/>
      <c r="R369" s="684"/>
      <c r="S369" s="684"/>
      <c r="T369" s="684"/>
      <c r="U369" s="684"/>
      <c r="V369" s="684"/>
      <c r="W369" s="684"/>
      <c r="X369" s="684"/>
      <c r="Y369" s="684"/>
      <c r="Z369" s="684"/>
      <c r="AA369" s="684"/>
      <c r="AB369" s="686"/>
    </row>
    <row r="370" spans="1:28" s="90" customFormat="1" ht="14.1" hidden="1" customHeight="1" x14ac:dyDescent="0.2">
      <c r="A370" s="301"/>
      <c r="B370" s="349" t="s">
        <v>481</v>
      </c>
      <c r="C370" s="608"/>
      <c r="D370" s="608"/>
      <c r="E370" s="608"/>
      <c r="F370" s="370" t="s">
        <v>482</v>
      </c>
      <c r="G370" s="681">
        <f>'far 1 a(for internal use only)'!G838</f>
        <v>0</v>
      </c>
      <c r="H370" s="681">
        <f>'far 1 a(for internal use only)'!H838</f>
        <v>0</v>
      </c>
      <c r="I370" s="660">
        <f t="shared" ref="I370" si="597">G370+H370</f>
        <v>0</v>
      </c>
      <c r="J370" s="660">
        <f t="shared" ref="J370" si="598">I370</f>
        <v>0</v>
      </c>
      <c r="K370" s="681">
        <f>'far 1 a(for internal use only)'!K838</f>
        <v>0</v>
      </c>
      <c r="L370" s="681">
        <f>'far 1 a(for internal use only)'!L838</f>
        <v>0</v>
      </c>
      <c r="M370" s="681">
        <f>'far 1 a(for internal use only)'!M838</f>
        <v>0</v>
      </c>
      <c r="N370" s="661">
        <f>J370+K370-L370+M370</f>
        <v>0</v>
      </c>
      <c r="O370" s="681">
        <f>'far 1 a(for internal use only)'!O838</f>
        <v>0</v>
      </c>
      <c r="P370" s="681">
        <f>'far 1 a(for internal use only)'!P838</f>
        <v>0</v>
      </c>
      <c r="Q370" s="681">
        <f>'far 1 a(for internal use only)'!Q838</f>
        <v>0</v>
      </c>
      <c r="R370" s="681">
        <f>'far 1 a(for internal use only)'!R838</f>
        <v>0</v>
      </c>
      <c r="S370" s="662">
        <f t="shared" ref="S370" si="599">SUM(O370:R370)</f>
        <v>0</v>
      </c>
      <c r="T370" s="681">
        <f>'far 1 a(for internal use only)'!T838</f>
        <v>0</v>
      </c>
      <c r="U370" s="681">
        <f>'far 1 a(for internal use only)'!U838</f>
        <v>0</v>
      </c>
      <c r="V370" s="681">
        <f>'far 1 a(for internal use only)'!V838</f>
        <v>0</v>
      </c>
      <c r="W370" s="681">
        <f>'far 1 a(for internal use only)'!W838</f>
        <v>0</v>
      </c>
      <c r="X370" s="662">
        <f t="shared" ref="X370" si="600">SUM(T370:W370)</f>
        <v>0</v>
      </c>
      <c r="Y370" s="662">
        <f t="shared" ref="Y370" si="601">I370-N370</f>
        <v>0</v>
      </c>
      <c r="Z370" s="662">
        <f t="shared" ref="Z370" si="602">N370-S370</f>
        <v>0</v>
      </c>
      <c r="AA370" s="682">
        <f>'far 1 a(for internal use only)'!AA838</f>
        <v>0</v>
      </c>
      <c r="AB370" s="663">
        <f t="shared" ref="AB370" si="603">+S370-X370-AA370</f>
        <v>0</v>
      </c>
    </row>
    <row r="371" spans="1:28" s="90" customFormat="1" ht="14.1" customHeight="1" x14ac:dyDescent="0.2">
      <c r="A371" s="301"/>
      <c r="B371" s="349"/>
      <c r="C371" s="608"/>
      <c r="D371" s="608"/>
      <c r="E371" s="608"/>
      <c r="F371" s="370"/>
      <c r="G371" s="656"/>
      <c r="H371" s="656"/>
      <c r="I371" s="660"/>
      <c r="J371" s="660"/>
      <c r="K371" s="670"/>
      <c r="L371" s="670"/>
      <c r="M371" s="670"/>
      <c r="N371" s="660"/>
      <c r="O371" s="670"/>
      <c r="P371" s="670"/>
      <c r="Q371" s="670"/>
      <c r="R371" s="670"/>
      <c r="S371" s="670"/>
      <c r="T371" s="670"/>
      <c r="U371" s="670"/>
      <c r="V371" s="670"/>
      <c r="W371" s="670"/>
      <c r="X371" s="670"/>
      <c r="Y371" s="670"/>
      <c r="Z371" s="670"/>
      <c r="AA371" s="662"/>
      <c r="AB371" s="663"/>
    </row>
    <row r="372" spans="1:28" s="90" customFormat="1" ht="14.1" customHeight="1" thickBot="1" x14ac:dyDescent="0.25">
      <c r="A372" s="942" t="s">
        <v>678</v>
      </c>
      <c r="B372" s="943"/>
      <c r="C372" s="943"/>
      <c r="D372" s="943"/>
      <c r="E372" s="943"/>
      <c r="F372" s="370"/>
      <c r="G372" s="704">
        <f t="shared" ref="G372:AB372" si="604">G265+G16</f>
        <v>50574379.780000001</v>
      </c>
      <c r="H372" s="704">
        <f t="shared" si="604"/>
        <v>0</v>
      </c>
      <c r="I372" s="704">
        <f t="shared" si="604"/>
        <v>50574379.780000001</v>
      </c>
      <c r="J372" s="704">
        <f t="shared" si="604"/>
        <v>50574379.780000001</v>
      </c>
      <c r="K372" s="704">
        <f t="shared" si="604"/>
        <v>0</v>
      </c>
      <c r="L372" s="704">
        <f t="shared" si="604"/>
        <v>0</v>
      </c>
      <c r="M372" s="704">
        <f t="shared" si="604"/>
        <v>3389009.06</v>
      </c>
      <c r="N372" s="705">
        <f t="shared" si="604"/>
        <v>53963388.840000004</v>
      </c>
      <c r="O372" s="704">
        <f t="shared" si="604"/>
        <v>8168057.5600000005</v>
      </c>
      <c r="P372" s="704">
        <f t="shared" si="604"/>
        <v>7706211.7200000007</v>
      </c>
      <c r="Q372" s="704">
        <f t="shared" si="604"/>
        <v>11369128.800000001</v>
      </c>
      <c r="R372" s="704">
        <f t="shared" si="604"/>
        <v>21792582.160000004</v>
      </c>
      <c r="S372" s="704">
        <f t="shared" si="604"/>
        <v>49035980.240000002</v>
      </c>
      <c r="T372" s="704">
        <f t="shared" si="604"/>
        <v>6588218.96</v>
      </c>
      <c r="U372" s="704">
        <f t="shared" si="604"/>
        <v>8357458.2800000003</v>
      </c>
      <c r="V372" s="704">
        <f t="shared" si="604"/>
        <v>11286443.32</v>
      </c>
      <c r="W372" s="704">
        <f t="shared" si="604"/>
        <v>20246293.23</v>
      </c>
      <c r="X372" s="704">
        <f t="shared" si="604"/>
        <v>46478413.789999999</v>
      </c>
      <c r="Y372" s="704">
        <f t="shared" si="604"/>
        <v>-3389009.06</v>
      </c>
      <c r="Z372" s="704">
        <f t="shared" si="604"/>
        <v>4927408.6000000006</v>
      </c>
      <c r="AA372" s="729">
        <f t="shared" si="604"/>
        <v>206</v>
      </c>
      <c r="AB372" s="723">
        <f t="shared" si="604"/>
        <v>2557360.4500000025</v>
      </c>
    </row>
    <row r="373" spans="1:28" s="90" customFormat="1" ht="14.1" customHeight="1" thickTop="1" x14ac:dyDescent="0.2">
      <c r="A373" s="383"/>
      <c r="B373" s="384"/>
      <c r="C373" s="384"/>
      <c r="D373" s="384"/>
      <c r="E373" s="384"/>
      <c r="F373" s="385"/>
      <c r="G373" s="706"/>
      <c r="H373" s="706"/>
      <c r="I373" s="706"/>
      <c r="J373" s="706"/>
      <c r="K373" s="706"/>
      <c r="L373" s="706"/>
      <c r="M373" s="706"/>
      <c r="N373" s="707"/>
      <c r="O373" s="706"/>
      <c r="P373" s="706"/>
      <c r="Q373" s="706"/>
      <c r="R373" s="706"/>
      <c r="S373" s="706"/>
      <c r="T373" s="706"/>
      <c r="U373" s="706"/>
      <c r="V373" s="706"/>
      <c r="W373" s="706"/>
      <c r="X373" s="706"/>
      <c r="Y373" s="706"/>
      <c r="Z373" s="706"/>
      <c r="AA373" s="706"/>
      <c r="AB373" s="708"/>
    </row>
    <row r="374" spans="1:28" s="90" customFormat="1" ht="14.1" customHeight="1" x14ac:dyDescent="0.2">
      <c r="A374" s="607"/>
      <c r="B374" s="608"/>
      <c r="C374" s="608"/>
      <c r="D374" s="608"/>
      <c r="E374" s="608"/>
      <c r="F374" s="370"/>
      <c r="G374" s="709"/>
      <c r="H374" s="709"/>
      <c r="I374" s="709"/>
      <c r="J374" s="709"/>
      <c r="K374" s="709"/>
      <c r="L374" s="709"/>
      <c r="M374" s="709"/>
      <c r="N374" s="710"/>
      <c r="O374" s="709"/>
      <c r="P374" s="709"/>
      <c r="Q374" s="709"/>
      <c r="R374" s="709"/>
      <c r="S374" s="709"/>
      <c r="T374" s="709"/>
      <c r="U374" s="709"/>
      <c r="V374" s="709"/>
      <c r="W374" s="709"/>
      <c r="X374" s="709"/>
      <c r="Y374" s="709"/>
      <c r="Z374" s="709"/>
      <c r="AA374" s="709"/>
      <c r="AB374" s="659"/>
    </row>
    <row r="375" spans="1:28" s="90" customFormat="1" ht="14.1" customHeight="1" x14ac:dyDescent="0.2">
      <c r="A375" s="607"/>
      <c r="B375" s="608"/>
      <c r="C375" s="608"/>
      <c r="D375" s="608"/>
      <c r="E375" s="608"/>
      <c r="F375" s="387" t="s">
        <v>226</v>
      </c>
      <c r="G375" s="709"/>
      <c r="H375" s="709"/>
      <c r="I375" s="709"/>
      <c r="J375" s="709"/>
      <c r="K375" s="709"/>
      <c r="L375" s="709"/>
      <c r="M375" s="709"/>
      <c r="N375" s="710"/>
      <c r="O375" s="711" t="s">
        <v>227</v>
      </c>
      <c r="P375" s="709"/>
      <c r="Q375" s="709"/>
      <c r="R375" s="709"/>
      <c r="S375" s="709"/>
      <c r="T375" s="709"/>
      <c r="U375" s="709"/>
      <c r="V375" s="709"/>
      <c r="W375" s="711" t="s">
        <v>228</v>
      </c>
      <c r="X375" s="709"/>
      <c r="Y375" s="709"/>
      <c r="Z375" s="709"/>
      <c r="AA375" s="709"/>
      <c r="AB375" s="659"/>
    </row>
    <row r="376" spans="1:28" s="90" customFormat="1" ht="14.1" customHeight="1" x14ac:dyDescent="0.2">
      <c r="A376" s="607"/>
      <c r="B376" s="608"/>
      <c r="C376" s="608"/>
      <c r="D376" s="608"/>
      <c r="E376" s="608"/>
      <c r="F376" s="370"/>
      <c r="G376" s="709"/>
      <c r="H376" s="709"/>
      <c r="I376" s="709"/>
      <c r="J376" s="709"/>
      <c r="K376" s="709"/>
      <c r="L376" s="709"/>
      <c r="M376" s="709"/>
      <c r="N376" s="710"/>
      <c r="O376" s="709"/>
      <c r="P376" s="709"/>
      <c r="Q376" s="709"/>
      <c r="R376" s="709"/>
      <c r="S376" s="709"/>
      <c r="T376" s="709"/>
      <c r="U376" s="709"/>
      <c r="V376" s="709"/>
      <c r="W376" s="709"/>
      <c r="X376" s="709"/>
      <c r="Y376" s="709"/>
      <c r="Z376" s="709"/>
      <c r="AA376" s="709"/>
      <c r="AB376" s="659"/>
    </row>
    <row r="377" spans="1:28" s="90" customFormat="1" ht="14.1" customHeight="1" x14ac:dyDescent="0.2">
      <c r="A377" s="607"/>
      <c r="B377" s="608"/>
      <c r="C377" s="608"/>
      <c r="D377" s="963"/>
      <c r="E377" s="963"/>
      <c r="F377" s="370"/>
      <c r="G377" s="994"/>
      <c r="H377" s="994"/>
      <c r="I377" s="994"/>
      <c r="J377" s="994"/>
      <c r="K377" s="709"/>
      <c r="L377" s="709"/>
      <c r="M377" s="709"/>
      <c r="N377" s="710"/>
      <c r="O377" s="994"/>
      <c r="P377" s="994"/>
      <c r="Q377" s="994"/>
      <c r="R377" s="994"/>
      <c r="S377" s="709"/>
      <c r="T377" s="709"/>
      <c r="U377" s="709"/>
      <c r="V377" s="709"/>
      <c r="W377" s="994"/>
      <c r="X377" s="994"/>
      <c r="Y377" s="994"/>
      <c r="Z377" s="994"/>
      <c r="AA377" s="709"/>
      <c r="AB377" s="659"/>
    </row>
    <row r="378" spans="1:28" ht="14.1" customHeight="1" thickBot="1" x14ac:dyDescent="0.25">
      <c r="A378" s="142"/>
      <c r="B378" s="143"/>
      <c r="C378" s="144"/>
      <c r="D378" s="958" t="s">
        <v>692</v>
      </c>
      <c r="E378" s="958"/>
      <c r="F378" s="712"/>
      <c r="G378" s="995" t="s">
        <v>691</v>
      </c>
      <c r="H378" s="995"/>
      <c r="I378" s="995"/>
      <c r="J378" s="995"/>
      <c r="K378" s="713"/>
      <c r="L378" s="713"/>
      <c r="M378" s="713"/>
      <c r="N378" s="714"/>
      <c r="O378" s="995" t="s">
        <v>693</v>
      </c>
      <c r="P378" s="995"/>
      <c r="Q378" s="995"/>
      <c r="R378" s="995"/>
      <c r="S378" s="715"/>
      <c r="T378" s="144"/>
      <c r="U378" s="144"/>
      <c r="V378" s="144"/>
      <c r="W378" s="995" t="s">
        <v>694</v>
      </c>
      <c r="X378" s="995"/>
      <c r="Y378" s="995"/>
      <c r="Z378" s="995"/>
      <c r="AA378" s="144"/>
      <c r="AB378" s="319"/>
    </row>
  </sheetData>
  <mergeCells count="43">
    <mergeCell ref="W377:Z377"/>
    <mergeCell ref="D378:E378"/>
    <mergeCell ref="G378:J378"/>
    <mergeCell ref="O378:R378"/>
    <mergeCell ref="W378:Z378"/>
    <mergeCell ref="Z12:Z13"/>
    <mergeCell ref="G12:G13"/>
    <mergeCell ref="H12:H13"/>
    <mergeCell ref="I12:I13"/>
    <mergeCell ref="J12:J13"/>
    <mergeCell ref="K12:K13"/>
    <mergeCell ref="L12:L13"/>
    <mergeCell ref="S12:S13"/>
    <mergeCell ref="T12:T13"/>
    <mergeCell ref="M12:M13"/>
    <mergeCell ref="N12:N13"/>
    <mergeCell ref="O12:O13"/>
    <mergeCell ref="P12:P13"/>
    <mergeCell ref="Q12:Q13"/>
    <mergeCell ref="R12:R13"/>
    <mergeCell ref="A372:E372"/>
    <mergeCell ref="D377:E377"/>
    <mergeCell ref="G377:J377"/>
    <mergeCell ref="O377:R377"/>
    <mergeCell ref="A14:E14"/>
    <mergeCell ref="A16:E16"/>
    <mergeCell ref="A265:E265"/>
    <mergeCell ref="Y1:Z1"/>
    <mergeCell ref="A2:AB2"/>
    <mergeCell ref="A3:AB3"/>
    <mergeCell ref="A11:E13"/>
    <mergeCell ref="F11:F13"/>
    <mergeCell ref="G11:I11"/>
    <mergeCell ref="J11:N11"/>
    <mergeCell ref="O11:S11"/>
    <mergeCell ref="T11:X11"/>
    <mergeCell ref="Y11:AB11"/>
    <mergeCell ref="AA12:AB12"/>
    <mergeCell ref="U12:U13"/>
    <mergeCell ref="V12:V13"/>
    <mergeCell ref="W12:W13"/>
    <mergeCell ref="X12:X13"/>
    <mergeCell ref="Y12:Y13"/>
  </mergeCells>
  <pageMargins left="0.5" right="0.3" top="0.38" bottom="0.71" header="0.12" footer="0.38"/>
  <pageSetup paperSize="5" scale="80" orientation="landscape" r:id="rId1"/>
  <headerFooter alignWithMargins="0">
    <oddFooter>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Check Box 1">
              <controlPr defaultSize="0" autoFill="0" autoLine="0" autoPict="0" altText="">
                <anchor moveWithCells="1">
                  <from>
                    <xdr:col>23</xdr:col>
                    <xdr:colOff>400050</xdr:colOff>
                    <xdr:row>3</xdr:row>
                    <xdr:rowOff>123825</xdr:rowOff>
                  </from>
                  <to>
                    <xdr:col>23</xdr:col>
                    <xdr:colOff>714375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Check Box 2">
              <controlPr defaultSize="0" autoFill="0" autoLine="0" autoPict="0" altText="">
                <anchor moveWithCells="1">
                  <from>
                    <xdr:col>23</xdr:col>
                    <xdr:colOff>400050</xdr:colOff>
                    <xdr:row>4</xdr:row>
                    <xdr:rowOff>123825</xdr:rowOff>
                  </from>
                  <to>
                    <xdr:col>23</xdr:col>
                    <xdr:colOff>714375</xdr:colOff>
                    <xdr:row>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r:id="rId6" name="Check Box 3">
              <controlPr defaultSize="0" autoFill="0" autoLine="0" autoPict="0" altText="">
                <anchor moveWithCells="1">
                  <from>
                    <xdr:col>23</xdr:col>
                    <xdr:colOff>409575</xdr:colOff>
                    <xdr:row>5</xdr:row>
                    <xdr:rowOff>123825</xdr:rowOff>
                  </from>
                  <to>
                    <xdr:col>23</xdr:col>
                    <xdr:colOff>723900</xdr:colOff>
                    <xdr:row>7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T57"/>
  <sheetViews>
    <sheetView showGridLines="0" zoomScale="85" zoomScaleNormal="70" workbookViewId="0">
      <selection activeCell="M49" sqref="M49"/>
    </sheetView>
  </sheetViews>
  <sheetFormatPr defaultRowHeight="15" x14ac:dyDescent="0.2"/>
  <cols>
    <col min="1" max="1" width="1.28515625" style="393" customWidth="1"/>
    <col min="2" max="2" width="5.28515625" style="393" customWidth="1"/>
    <col min="3" max="3" width="23.140625" style="393" customWidth="1"/>
    <col min="4" max="4" width="13.5703125" style="484" customWidth="1"/>
    <col min="5" max="5" width="25.28515625" style="484" customWidth="1"/>
    <col min="6" max="6" width="13.28515625" style="484" customWidth="1"/>
    <col min="7" max="7" width="17.7109375" style="393" bestFit="1" customWidth="1"/>
    <col min="8" max="8" width="18.28515625" style="393" customWidth="1"/>
    <col min="9" max="9" width="17.7109375" style="393" bestFit="1" customWidth="1"/>
    <col min="10" max="10" width="18.5703125" style="393" bestFit="1" customWidth="1"/>
    <col min="11" max="11" width="7.28515625" style="393" customWidth="1"/>
    <col min="12" max="12" width="8.140625" style="393" customWidth="1"/>
    <col min="13" max="13" width="8" style="393" customWidth="1"/>
    <col min="14" max="14" width="6" style="393" customWidth="1"/>
    <col min="15" max="15" width="15.140625" style="393" customWidth="1"/>
    <col min="16" max="16" width="15" style="393" customWidth="1"/>
    <col min="17" max="17" width="14.42578125" style="393" customWidth="1"/>
    <col min="18" max="18" width="15.5703125" style="484" customWidth="1"/>
    <col min="19" max="19" width="2.140625" style="393" customWidth="1"/>
    <col min="20" max="20" width="19.140625" style="393" customWidth="1"/>
    <col min="21" max="16384" width="9.140625" style="393"/>
  </cols>
  <sheetData>
    <row r="1" spans="1:19" x14ac:dyDescent="0.2">
      <c r="A1" s="389"/>
      <c r="B1" s="390"/>
      <c r="C1" s="390"/>
      <c r="D1" s="391"/>
      <c r="E1" s="391"/>
      <c r="F1" s="391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1"/>
      <c r="S1" s="392"/>
    </row>
    <row r="2" spans="1:19" x14ac:dyDescent="0.2">
      <c r="A2" s="394"/>
      <c r="B2" s="395"/>
      <c r="C2" s="396"/>
      <c r="D2" s="397"/>
      <c r="E2" s="397"/>
      <c r="F2" s="397"/>
      <c r="G2" s="396"/>
      <c r="H2" s="396"/>
      <c r="I2" s="396"/>
      <c r="J2" s="396"/>
      <c r="K2" s="396"/>
      <c r="L2" s="396"/>
      <c r="M2" s="396"/>
      <c r="N2" s="398"/>
      <c r="O2" s="396"/>
      <c r="P2" s="396"/>
      <c r="Q2" s="398" t="s">
        <v>490</v>
      </c>
      <c r="R2" s="399"/>
      <c r="S2" s="400"/>
    </row>
    <row r="3" spans="1:19" ht="15" customHeight="1" x14ac:dyDescent="0.2">
      <c r="A3" s="394"/>
      <c r="B3" s="1008" t="s">
        <v>491</v>
      </c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10"/>
      <c r="S3" s="400"/>
    </row>
    <row r="4" spans="1:19" x14ac:dyDescent="0.2">
      <c r="A4" s="394"/>
      <c r="B4" s="1008" t="str">
        <f>'detailed fund u'!A3</f>
        <v>As of Quarterly Ending December 31, 2016</v>
      </c>
      <c r="C4" s="1009"/>
      <c r="D4" s="1009"/>
      <c r="E4" s="1009"/>
      <c r="F4" s="1009"/>
      <c r="G4" s="1009"/>
      <c r="H4" s="1009"/>
      <c r="I4" s="1009"/>
      <c r="J4" s="1009"/>
      <c r="K4" s="1009"/>
      <c r="L4" s="1009"/>
      <c r="M4" s="1009"/>
      <c r="N4" s="1009"/>
      <c r="O4" s="1009"/>
      <c r="P4" s="1009"/>
      <c r="Q4" s="1009"/>
      <c r="R4" s="1010"/>
      <c r="S4" s="400"/>
    </row>
    <row r="5" spans="1:19" x14ac:dyDescent="0.25">
      <c r="A5" s="394"/>
      <c r="B5" s="401" t="s">
        <v>69</v>
      </c>
      <c r="C5" s="402"/>
      <c r="D5" s="575" t="s">
        <v>71</v>
      </c>
      <c r="E5" s="575"/>
      <c r="F5" s="403"/>
      <c r="G5" s="404"/>
      <c r="H5" s="404"/>
      <c r="I5" s="404"/>
      <c r="J5" s="404"/>
      <c r="K5" s="404"/>
      <c r="L5" s="404"/>
      <c r="M5" s="405"/>
      <c r="N5" s="406"/>
      <c r="O5" s="404"/>
      <c r="P5" s="405"/>
      <c r="Q5" s="406" t="s">
        <v>74</v>
      </c>
      <c r="R5" s="407"/>
      <c r="S5" s="400"/>
    </row>
    <row r="6" spans="1:19" ht="15" customHeight="1" x14ac:dyDescent="0.25">
      <c r="A6" s="394"/>
      <c r="B6" s="401" t="s">
        <v>72</v>
      </c>
      <c r="C6" s="402"/>
      <c r="D6" s="577" t="s">
        <v>73</v>
      </c>
      <c r="E6" s="577"/>
      <c r="F6" s="403"/>
      <c r="G6" s="404"/>
      <c r="H6" s="404"/>
      <c r="I6" s="404"/>
      <c r="J6" s="404"/>
      <c r="K6" s="404"/>
      <c r="L6" s="404"/>
      <c r="M6" s="405"/>
      <c r="N6" s="406"/>
      <c r="O6" s="404"/>
      <c r="P6" s="405"/>
      <c r="Q6" s="406" t="s">
        <v>76</v>
      </c>
      <c r="R6" s="407"/>
      <c r="S6" s="400"/>
    </row>
    <row r="7" spans="1:19" s="404" customFormat="1" ht="15" customHeight="1" x14ac:dyDescent="0.2">
      <c r="A7" s="394"/>
      <c r="B7" s="408" t="s">
        <v>75</v>
      </c>
      <c r="C7" s="409"/>
      <c r="D7" s="579" t="str">
        <f>'far 1 a(for internal use only)'!D7</f>
        <v>Region VII</v>
      </c>
      <c r="E7" s="579"/>
      <c r="F7" s="410"/>
      <c r="G7" s="410"/>
      <c r="H7" s="410"/>
      <c r="I7" s="410"/>
      <c r="J7" s="410"/>
      <c r="K7" s="410"/>
      <c r="L7" s="410"/>
      <c r="M7" s="411"/>
      <c r="N7" s="412"/>
      <c r="O7" s="410"/>
      <c r="P7" s="411"/>
      <c r="Q7" s="412" t="s">
        <v>78</v>
      </c>
      <c r="R7" s="413"/>
      <c r="S7" s="400"/>
    </row>
    <row r="8" spans="1:19" s="404" customFormat="1" ht="15" customHeight="1" x14ac:dyDescent="0.25">
      <c r="A8" s="394"/>
      <c r="B8" s="401" t="s">
        <v>77</v>
      </c>
      <c r="C8" s="402"/>
      <c r="D8" s="580" t="str">
        <f>'far 1 a(for internal use only)'!D8</f>
        <v>10 003 03 00007</v>
      </c>
      <c r="E8" s="580"/>
      <c r="F8" s="410"/>
      <c r="G8" s="410"/>
      <c r="H8" s="410"/>
      <c r="I8" s="410"/>
      <c r="J8" s="410"/>
      <c r="K8" s="410"/>
      <c r="L8" s="410"/>
      <c r="M8" s="410"/>
      <c r="N8" s="410"/>
      <c r="O8" s="410"/>
      <c r="P8" s="410"/>
      <c r="Q8" s="410"/>
      <c r="R8" s="413"/>
      <c r="S8" s="400"/>
    </row>
    <row r="9" spans="1:19" s="404" customFormat="1" ht="15" customHeight="1" x14ac:dyDescent="0.25">
      <c r="A9" s="394"/>
      <c r="B9" s="401" t="s">
        <v>79</v>
      </c>
      <c r="C9" s="402"/>
      <c r="D9" s="581" t="s">
        <v>2</v>
      </c>
      <c r="E9" s="581"/>
      <c r="F9" s="410"/>
      <c r="G9" s="410"/>
      <c r="H9" s="410"/>
      <c r="I9" s="410"/>
      <c r="J9" s="410"/>
      <c r="K9" s="410"/>
      <c r="L9" s="410"/>
      <c r="M9" s="410"/>
      <c r="N9" s="410"/>
      <c r="O9" s="410"/>
      <c r="P9" s="410"/>
      <c r="Q9" s="410"/>
      <c r="R9" s="413"/>
      <c r="S9" s="400"/>
    </row>
    <row r="10" spans="1:19" s="404" customFormat="1" ht="13.5" customHeight="1" x14ac:dyDescent="0.2">
      <c r="A10" s="394"/>
      <c r="B10" s="414"/>
      <c r="D10" s="403"/>
      <c r="E10" s="403"/>
      <c r="F10" s="403"/>
      <c r="G10" s="415"/>
      <c r="H10" s="415"/>
      <c r="I10" s="415"/>
      <c r="J10" s="415"/>
      <c r="K10" s="415"/>
      <c r="L10" s="415"/>
      <c r="M10" s="415"/>
      <c r="N10" s="415"/>
      <c r="O10" s="415"/>
      <c r="P10" s="415"/>
      <c r="Q10" s="415"/>
      <c r="R10" s="416"/>
      <c r="S10" s="400"/>
    </row>
    <row r="11" spans="1:19" s="404" customFormat="1" ht="17.25" customHeight="1" x14ac:dyDescent="0.2">
      <c r="A11" s="394"/>
      <c r="B11" s="1011" t="s">
        <v>492</v>
      </c>
      <c r="C11" s="1013" t="s">
        <v>493</v>
      </c>
      <c r="D11" s="1014"/>
      <c r="E11" s="1013" t="s">
        <v>494</v>
      </c>
      <c r="F11" s="1014"/>
      <c r="G11" s="1013" t="s">
        <v>495</v>
      </c>
      <c r="H11" s="1015"/>
      <c r="I11" s="1015"/>
      <c r="J11" s="1014"/>
      <c r="K11" s="1013" t="s">
        <v>496</v>
      </c>
      <c r="L11" s="1015"/>
      <c r="M11" s="1015"/>
      <c r="N11" s="1014"/>
      <c r="O11" s="999" t="s">
        <v>497</v>
      </c>
      <c r="P11" s="1000"/>
      <c r="Q11" s="1000"/>
      <c r="R11" s="1001"/>
      <c r="S11" s="400"/>
    </row>
    <row r="12" spans="1:19" s="403" customFormat="1" ht="18" customHeight="1" x14ac:dyDescent="0.2">
      <c r="A12" s="417"/>
      <c r="B12" s="1012"/>
      <c r="C12" s="418" t="s">
        <v>498</v>
      </c>
      <c r="D12" s="418" t="s">
        <v>499</v>
      </c>
      <c r="E12" s="418" t="s">
        <v>500</v>
      </c>
      <c r="F12" s="418" t="s">
        <v>501</v>
      </c>
      <c r="G12" s="419" t="s">
        <v>11</v>
      </c>
      <c r="H12" s="419" t="s">
        <v>12</v>
      </c>
      <c r="I12" s="419" t="s">
        <v>502</v>
      </c>
      <c r="J12" s="419" t="s">
        <v>95</v>
      </c>
      <c r="K12" s="419" t="s">
        <v>11</v>
      </c>
      <c r="L12" s="419" t="s">
        <v>12</v>
      </c>
      <c r="M12" s="419" t="s">
        <v>502</v>
      </c>
      <c r="N12" s="419" t="s">
        <v>95</v>
      </c>
      <c r="O12" s="420" t="s">
        <v>11</v>
      </c>
      <c r="P12" s="420" t="s">
        <v>12</v>
      </c>
      <c r="Q12" s="420" t="s">
        <v>502</v>
      </c>
      <c r="R12" s="419" t="s">
        <v>95</v>
      </c>
      <c r="S12" s="421"/>
    </row>
    <row r="13" spans="1:19" s="403" customFormat="1" ht="14.25" customHeight="1" x14ac:dyDescent="0.2">
      <c r="A13" s="417"/>
      <c r="B13" s="422">
        <v>1</v>
      </c>
      <c r="C13" s="422">
        <v>2</v>
      </c>
      <c r="D13" s="422">
        <v>3</v>
      </c>
      <c r="E13" s="422">
        <v>4</v>
      </c>
      <c r="F13" s="422">
        <v>5</v>
      </c>
      <c r="G13" s="422">
        <v>6</v>
      </c>
      <c r="H13" s="422">
        <v>7</v>
      </c>
      <c r="I13" s="422">
        <v>8</v>
      </c>
      <c r="J13" s="422" t="s">
        <v>503</v>
      </c>
      <c r="K13" s="422">
        <v>10</v>
      </c>
      <c r="L13" s="422">
        <v>11</v>
      </c>
      <c r="M13" s="422">
        <v>12</v>
      </c>
      <c r="N13" s="422" t="s">
        <v>504</v>
      </c>
      <c r="O13" s="422" t="s">
        <v>505</v>
      </c>
      <c r="P13" s="422" t="s">
        <v>506</v>
      </c>
      <c r="Q13" s="422" t="s">
        <v>507</v>
      </c>
      <c r="R13" s="422" t="s">
        <v>508</v>
      </c>
      <c r="S13" s="421"/>
    </row>
    <row r="14" spans="1:19" s="427" customFormat="1" ht="14.25" customHeight="1" x14ac:dyDescent="0.2">
      <c r="A14" s="423"/>
      <c r="B14" s="1002" t="s">
        <v>509</v>
      </c>
      <c r="C14" s="1003"/>
      <c r="D14" s="424"/>
      <c r="E14" s="424"/>
      <c r="F14" s="424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6"/>
    </row>
    <row r="15" spans="1:19" s="436" customFormat="1" ht="28.5" customHeight="1" x14ac:dyDescent="0.25">
      <c r="A15" s="428"/>
      <c r="B15" s="429">
        <v>1</v>
      </c>
      <c r="C15" s="430" t="s">
        <v>710</v>
      </c>
      <c r="D15" s="431">
        <v>42370</v>
      </c>
      <c r="E15" s="432" t="s">
        <v>510</v>
      </c>
      <c r="F15" s="433" t="s">
        <v>282</v>
      </c>
      <c r="G15" s="748">
        <f>16890000+86000</f>
        <v>16976000</v>
      </c>
      <c r="H15" s="748">
        <v>29212000</v>
      </c>
      <c r="I15" s="748">
        <v>1400000</v>
      </c>
      <c r="J15" s="486">
        <f t="shared" ref="J15:J24" si="0">SUM(G15:I15)</f>
        <v>47588000</v>
      </c>
      <c r="K15" s="486"/>
      <c r="L15" s="486"/>
      <c r="M15" s="486"/>
      <c r="N15" s="486">
        <f t="shared" ref="N15:N24" si="1">SUM(K15:M15)</f>
        <v>0</v>
      </c>
      <c r="O15" s="486">
        <f t="shared" ref="O15:Q24" si="2">G15-K15</f>
        <v>16976000</v>
      </c>
      <c r="P15" s="486">
        <f t="shared" si="2"/>
        <v>29212000</v>
      </c>
      <c r="Q15" s="486">
        <f t="shared" si="2"/>
        <v>1400000</v>
      </c>
      <c r="R15" s="486">
        <f t="shared" ref="R15:R24" si="3">SUM(O15:Q15)</f>
        <v>47588000</v>
      </c>
      <c r="S15" s="435"/>
    </row>
    <row r="16" spans="1:19" s="404" customFormat="1" ht="30" x14ac:dyDescent="0.25">
      <c r="A16" s="394"/>
      <c r="B16" s="437">
        <f t="shared" ref="B16:B23" si="4">B15+1</f>
        <v>2</v>
      </c>
      <c r="C16" s="430" t="s">
        <v>710</v>
      </c>
      <c r="D16" s="431">
        <v>42370</v>
      </c>
      <c r="E16" s="440" t="s">
        <v>695</v>
      </c>
      <c r="F16" s="433" t="s">
        <v>483</v>
      </c>
      <c r="G16" s="434">
        <v>1659000</v>
      </c>
      <c r="H16" s="434"/>
      <c r="I16" s="434"/>
      <c r="J16" s="438">
        <f t="shared" si="0"/>
        <v>1659000</v>
      </c>
      <c r="K16" s="438"/>
      <c r="L16" s="438"/>
      <c r="M16" s="438"/>
      <c r="N16" s="438">
        <f t="shared" si="1"/>
        <v>0</v>
      </c>
      <c r="O16" s="438">
        <f t="shared" si="2"/>
        <v>1659000</v>
      </c>
      <c r="P16" s="438">
        <f t="shared" si="2"/>
        <v>0</v>
      </c>
      <c r="Q16" s="438">
        <f t="shared" si="2"/>
        <v>0</v>
      </c>
      <c r="R16" s="438">
        <f t="shared" si="3"/>
        <v>1659000</v>
      </c>
      <c r="S16" s="400"/>
    </row>
    <row r="17" spans="1:19" s="404" customFormat="1" ht="30" x14ac:dyDescent="0.25">
      <c r="A17" s="394"/>
      <c r="B17" s="437">
        <f t="shared" si="4"/>
        <v>3</v>
      </c>
      <c r="C17" s="430" t="s">
        <v>710</v>
      </c>
      <c r="D17" s="431">
        <v>42370</v>
      </c>
      <c r="E17" s="440" t="s">
        <v>697</v>
      </c>
      <c r="F17" s="433" t="s">
        <v>282</v>
      </c>
      <c r="G17" s="434"/>
      <c r="H17" s="434">
        <v>869079.78</v>
      </c>
      <c r="I17" s="434"/>
      <c r="J17" s="438">
        <f t="shared" si="0"/>
        <v>869079.78</v>
      </c>
      <c r="K17" s="438"/>
      <c r="L17" s="438"/>
      <c r="M17" s="438"/>
      <c r="N17" s="438">
        <f t="shared" si="1"/>
        <v>0</v>
      </c>
      <c r="O17" s="438">
        <f t="shared" si="2"/>
        <v>0</v>
      </c>
      <c r="P17" s="438">
        <f t="shared" si="2"/>
        <v>869079.78</v>
      </c>
      <c r="Q17" s="438">
        <f t="shared" si="2"/>
        <v>0</v>
      </c>
      <c r="R17" s="438">
        <f t="shared" si="3"/>
        <v>869079.78</v>
      </c>
      <c r="S17" s="400"/>
    </row>
    <row r="18" spans="1:19" s="404" customFormat="1" ht="30" x14ac:dyDescent="0.25">
      <c r="A18" s="394"/>
      <c r="B18" s="437">
        <f t="shared" si="4"/>
        <v>4</v>
      </c>
      <c r="C18" s="430" t="s">
        <v>710</v>
      </c>
      <c r="D18" s="431">
        <v>42685</v>
      </c>
      <c r="E18" s="754" t="s">
        <v>806</v>
      </c>
      <c r="F18" s="433" t="s">
        <v>485</v>
      </c>
      <c r="G18" s="434">
        <v>458300</v>
      </c>
      <c r="H18" s="434"/>
      <c r="I18" s="434"/>
      <c r="J18" s="438">
        <f t="shared" si="0"/>
        <v>458300</v>
      </c>
      <c r="K18" s="438"/>
      <c r="L18" s="438"/>
      <c r="M18" s="438"/>
      <c r="N18" s="438">
        <f t="shared" si="1"/>
        <v>0</v>
      </c>
      <c r="O18" s="438">
        <f t="shared" si="2"/>
        <v>458300</v>
      </c>
      <c r="P18" s="438">
        <f t="shared" si="2"/>
        <v>0</v>
      </c>
      <c r="Q18" s="438">
        <f t="shared" si="2"/>
        <v>0</v>
      </c>
      <c r="R18" s="438">
        <f t="shared" si="3"/>
        <v>458300</v>
      </c>
      <c r="S18" s="400"/>
    </row>
    <row r="19" spans="1:19" s="404" customFormat="1" x14ac:dyDescent="0.25">
      <c r="A19" s="394"/>
      <c r="B19" s="437">
        <f t="shared" si="4"/>
        <v>5</v>
      </c>
      <c r="C19" s="439"/>
      <c r="D19" s="431"/>
      <c r="E19" s="440"/>
      <c r="F19" s="433"/>
      <c r="G19" s="434"/>
      <c r="H19" s="441"/>
      <c r="I19" s="438"/>
      <c r="J19" s="438">
        <f t="shared" si="0"/>
        <v>0</v>
      </c>
      <c r="K19" s="438"/>
      <c r="L19" s="438"/>
      <c r="M19" s="438"/>
      <c r="N19" s="438">
        <f t="shared" si="1"/>
        <v>0</v>
      </c>
      <c r="O19" s="438">
        <f t="shared" si="2"/>
        <v>0</v>
      </c>
      <c r="P19" s="438">
        <f t="shared" si="2"/>
        <v>0</v>
      </c>
      <c r="Q19" s="438">
        <f t="shared" si="2"/>
        <v>0</v>
      </c>
      <c r="R19" s="438">
        <f t="shared" si="3"/>
        <v>0</v>
      </c>
      <c r="S19" s="400"/>
    </row>
    <row r="20" spans="1:19" s="404" customFormat="1" x14ac:dyDescent="0.25">
      <c r="A20" s="394"/>
      <c r="B20" s="437">
        <f t="shared" si="4"/>
        <v>6</v>
      </c>
      <c r="C20" s="439"/>
      <c r="D20" s="431"/>
      <c r="E20" s="440"/>
      <c r="F20" s="433"/>
      <c r="G20" s="434"/>
      <c r="H20" s="438"/>
      <c r="I20" s="438"/>
      <c r="J20" s="438">
        <f t="shared" si="0"/>
        <v>0</v>
      </c>
      <c r="K20" s="438"/>
      <c r="L20" s="438"/>
      <c r="M20" s="438"/>
      <c r="N20" s="438">
        <f t="shared" si="1"/>
        <v>0</v>
      </c>
      <c r="O20" s="438">
        <f t="shared" si="2"/>
        <v>0</v>
      </c>
      <c r="P20" s="438">
        <f t="shared" si="2"/>
        <v>0</v>
      </c>
      <c r="Q20" s="438">
        <f t="shared" si="2"/>
        <v>0</v>
      </c>
      <c r="R20" s="438">
        <f t="shared" si="3"/>
        <v>0</v>
      </c>
      <c r="S20" s="400"/>
    </row>
    <row r="21" spans="1:19" s="404" customFormat="1" x14ac:dyDescent="0.25">
      <c r="A21" s="394"/>
      <c r="B21" s="437">
        <f t="shared" si="4"/>
        <v>7</v>
      </c>
      <c r="C21" s="439"/>
      <c r="D21" s="431"/>
      <c r="E21" s="440"/>
      <c r="F21" s="433"/>
      <c r="G21" s="438"/>
      <c r="H21" s="438"/>
      <c r="I21" s="438"/>
      <c r="J21" s="438">
        <f t="shared" si="0"/>
        <v>0</v>
      </c>
      <c r="K21" s="438"/>
      <c r="L21" s="438"/>
      <c r="M21" s="438"/>
      <c r="N21" s="438">
        <f t="shared" si="1"/>
        <v>0</v>
      </c>
      <c r="O21" s="438">
        <f t="shared" si="2"/>
        <v>0</v>
      </c>
      <c r="P21" s="438">
        <f t="shared" si="2"/>
        <v>0</v>
      </c>
      <c r="Q21" s="438">
        <f t="shared" si="2"/>
        <v>0</v>
      </c>
      <c r="R21" s="438">
        <f t="shared" si="3"/>
        <v>0</v>
      </c>
      <c r="S21" s="400"/>
    </row>
    <row r="22" spans="1:19" s="404" customFormat="1" x14ac:dyDescent="0.25">
      <c r="A22" s="394"/>
      <c r="B22" s="437">
        <f t="shared" si="4"/>
        <v>8</v>
      </c>
      <c r="C22" s="439"/>
      <c r="D22" s="431"/>
      <c r="E22" s="440"/>
      <c r="F22" s="433"/>
      <c r="G22" s="438"/>
      <c r="H22" s="438"/>
      <c r="I22" s="438"/>
      <c r="J22" s="438">
        <f t="shared" si="0"/>
        <v>0</v>
      </c>
      <c r="K22" s="438"/>
      <c r="L22" s="438"/>
      <c r="M22" s="438"/>
      <c r="N22" s="438">
        <f t="shared" si="1"/>
        <v>0</v>
      </c>
      <c r="O22" s="438">
        <f t="shared" si="2"/>
        <v>0</v>
      </c>
      <c r="P22" s="438">
        <f t="shared" si="2"/>
        <v>0</v>
      </c>
      <c r="Q22" s="438">
        <f t="shared" si="2"/>
        <v>0</v>
      </c>
      <c r="R22" s="438">
        <f t="shared" si="3"/>
        <v>0</v>
      </c>
      <c r="S22" s="400"/>
    </row>
    <row r="23" spans="1:19" s="404" customFormat="1" x14ac:dyDescent="0.2">
      <c r="A23" s="394"/>
      <c r="B23" s="437">
        <f t="shared" si="4"/>
        <v>9</v>
      </c>
      <c r="C23" s="442"/>
      <c r="D23" s="443"/>
      <c r="E23" s="437"/>
      <c r="F23" s="437"/>
      <c r="G23" s="438"/>
      <c r="H23" s="438"/>
      <c r="I23" s="438"/>
      <c r="J23" s="438">
        <f t="shared" si="0"/>
        <v>0</v>
      </c>
      <c r="K23" s="438"/>
      <c r="L23" s="438"/>
      <c r="M23" s="438"/>
      <c r="N23" s="438">
        <f t="shared" si="1"/>
        <v>0</v>
      </c>
      <c r="O23" s="438">
        <f t="shared" si="2"/>
        <v>0</v>
      </c>
      <c r="P23" s="438">
        <f t="shared" si="2"/>
        <v>0</v>
      </c>
      <c r="Q23" s="438">
        <f t="shared" si="2"/>
        <v>0</v>
      </c>
      <c r="R23" s="438">
        <f t="shared" si="3"/>
        <v>0</v>
      </c>
      <c r="S23" s="400"/>
    </row>
    <row r="24" spans="1:19" s="404" customFormat="1" x14ac:dyDescent="0.2">
      <c r="A24" s="394"/>
      <c r="B24" s="444"/>
      <c r="C24" s="442"/>
      <c r="D24" s="445"/>
      <c r="E24" s="437"/>
      <c r="F24" s="437"/>
      <c r="G24" s="438"/>
      <c r="H24" s="438"/>
      <c r="I24" s="438"/>
      <c r="J24" s="438">
        <f t="shared" si="0"/>
        <v>0</v>
      </c>
      <c r="K24" s="438"/>
      <c r="L24" s="438"/>
      <c r="M24" s="438"/>
      <c r="N24" s="438">
        <f t="shared" si="1"/>
        <v>0</v>
      </c>
      <c r="O24" s="438">
        <f t="shared" si="2"/>
        <v>0</v>
      </c>
      <c r="P24" s="438">
        <f t="shared" si="2"/>
        <v>0</v>
      </c>
      <c r="Q24" s="438">
        <f t="shared" si="2"/>
        <v>0</v>
      </c>
      <c r="R24" s="438">
        <f t="shared" si="3"/>
        <v>0</v>
      </c>
      <c r="S24" s="400"/>
    </row>
    <row r="25" spans="1:19" s="404" customFormat="1" ht="17.25" x14ac:dyDescent="0.2">
      <c r="A25" s="394"/>
      <c r="B25" s="446"/>
      <c r="C25" s="446" t="s">
        <v>512</v>
      </c>
      <c r="D25" s="445"/>
      <c r="E25" s="447"/>
      <c r="F25" s="447"/>
      <c r="G25" s="448">
        <f t="shared" ref="G25:R25" si="5">SUM(G15:G24)</f>
        <v>19093300</v>
      </c>
      <c r="H25" s="448">
        <f t="shared" si="5"/>
        <v>30081079.780000001</v>
      </c>
      <c r="I25" s="448">
        <f t="shared" si="5"/>
        <v>1400000</v>
      </c>
      <c r="J25" s="448">
        <f t="shared" si="5"/>
        <v>50574379.780000001</v>
      </c>
      <c r="K25" s="448">
        <f t="shared" si="5"/>
        <v>0</v>
      </c>
      <c r="L25" s="448">
        <f t="shared" si="5"/>
        <v>0</v>
      </c>
      <c r="M25" s="448">
        <f t="shared" si="5"/>
        <v>0</v>
      </c>
      <c r="N25" s="448">
        <f t="shared" si="5"/>
        <v>0</v>
      </c>
      <c r="O25" s="448">
        <f t="shared" si="5"/>
        <v>19093300</v>
      </c>
      <c r="P25" s="448">
        <f t="shared" si="5"/>
        <v>30081079.780000001</v>
      </c>
      <c r="Q25" s="448">
        <f t="shared" si="5"/>
        <v>1400000</v>
      </c>
      <c r="R25" s="448">
        <f t="shared" si="5"/>
        <v>50574379.780000001</v>
      </c>
      <c r="S25" s="400"/>
    </row>
    <row r="26" spans="1:19" s="404" customFormat="1" x14ac:dyDescent="0.2">
      <c r="A26" s="394"/>
      <c r="B26" s="1002" t="s">
        <v>513</v>
      </c>
      <c r="C26" s="1003"/>
      <c r="D26" s="445"/>
      <c r="E26" s="437"/>
      <c r="F26" s="437"/>
      <c r="G26" s="438"/>
      <c r="H26" s="438"/>
      <c r="I26" s="438"/>
      <c r="J26" s="438"/>
      <c r="K26" s="438"/>
      <c r="L26" s="438"/>
      <c r="M26" s="438"/>
      <c r="N26" s="438"/>
      <c r="O26" s="438"/>
      <c r="P26" s="438"/>
      <c r="Q26" s="438"/>
      <c r="R26" s="438"/>
      <c r="S26" s="400"/>
    </row>
    <row r="27" spans="1:19" s="404" customFormat="1" x14ac:dyDescent="0.2">
      <c r="A27" s="394"/>
      <c r="B27" s="1004" t="s">
        <v>514</v>
      </c>
      <c r="C27" s="1005"/>
      <c r="D27" s="445"/>
      <c r="E27" s="437"/>
      <c r="F27" s="437"/>
      <c r="G27" s="438"/>
      <c r="H27" s="438"/>
      <c r="I27" s="438"/>
      <c r="J27" s="438"/>
      <c r="K27" s="438"/>
      <c r="L27" s="438"/>
      <c r="M27" s="438"/>
      <c r="N27" s="438"/>
      <c r="O27" s="438"/>
      <c r="P27" s="438"/>
      <c r="Q27" s="438"/>
      <c r="R27" s="438"/>
      <c r="S27" s="400"/>
    </row>
    <row r="28" spans="1:19" s="404" customFormat="1" x14ac:dyDescent="0.25">
      <c r="A28" s="394"/>
      <c r="B28" s="449">
        <v>1</v>
      </c>
      <c r="C28" s="854" t="s">
        <v>803</v>
      </c>
      <c r="D28" s="757">
        <v>42439</v>
      </c>
      <c r="E28" s="754" t="s">
        <v>806</v>
      </c>
      <c r="F28" s="433" t="s">
        <v>485</v>
      </c>
      <c r="G28" s="438">
        <v>1078000</v>
      </c>
      <c r="H28" s="434"/>
      <c r="I28" s="438"/>
      <c r="J28" s="438">
        <f t="shared" ref="J28:J37" si="6">SUM(G28:I28)</f>
        <v>1078000</v>
      </c>
      <c r="K28" s="438"/>
      <c r="L28" s="438"/>
      <c r="M28" s="438"/>
      <c r="N28" s="438">
        <f t="shared" ref="N28:N37" si="7">SUM(K28:M28)</f>
        <v>0</v>
      </c>
      <c r="O28" s="438">
        <f t="shared" ref="O28:Q37" si="8">G28-K28</f>
        <v>1078000</v>
      </c>
      <c r="P28" s="438">
        <f t="shared" si="8"/>
        <v>0</v>
      </c>
      <c r="Q28" s="438">
        <f t="shared" si="8"/>
        <v>0</v>
      </c>
      <c r="R28" s="438">
        <f t="shared" ref="R28:R37" si="9">SUM(O28:Q28)</f>
        <v>1078000</v>
      </c>
      <c r="S28" s="400"/>
    </row>
    <row r="29" spans="1:19" s="404" customFormat="1" x14ac:dyDescent="0.25">
      <c r="A29" s="394"/>
      <c r="B29" s="449">
        <f>B28+1</f>
        <v>2</v>
      </c>
      <c r="C29" s="854" t="s">
        <v>804</v>
      </c>
      <c r="D29" s="758">
        <v>42439</v>
      </c>
      <c r="E29" s="754" t="s">
        <v>695</v>
      </c>
      <c r="F29" s="433" t="s">
        <v>483</v>
      </c>
      <c r="G29" s="438">
        <v>119000</v>
      </c>
      <c r="H29" s="441"/>
      <c r="I29" s="438"/>
      <c r="J29" s="438">
        <f t="shared" si="6"/>
        <v>119000</v>
      </c>
      <c r="K29" s="438"/>
      <c r="L29" s="438"/>
      <c r="M29" s="438"/>
      <c r="N29" s="438">
        <f t="shared" si="7"/>
        <v>0</v>
      </c>
      <c r="O29" s="438">
        <f t="shared" si="8"/>
        <v>119000</v>
      </c>
      <c r="P29" s="438">
        <f t="shared" si="8"/>
        <v>0</v>
      </c>
      <c r="Q29" s="438">
        <f t="shared" si="8"/>
        <v>0</v>
      </c>
      <c r="R29" s="438">
        <f t="shared" si="9"/>
        <v>119000</v>
      </c>
      <c r="S29" s="400"/>
    </row>
    <row r="30" spans="1:19" s="404" customFormat="1" x14ac:dyDescent="0.2">
      <c r="A30" s="394"/>
      <c r="B30" s="449">
        <f t="shared" ref="B30:B33" si="10">B29+1</f>
        <v>3</v>
      </c>
      <c r="C30" s="855" t="s">
        <v>746</v>
      </c>
      <c r="D30" s="443">
        <v>42440</v>
      </c>
      <c r="E30" s="754" t="s">
        <v>510</v>
      </c>
      <c r="F30" s="755" t="s">
        <v>282</v>
      </c>
      <c r="G30" s="438"/>
      <c r="H30" s="756">
        <v>263600</v>
      </c>
      <c r="I30" s="438"/>
      <c r="J30" s="438">
        <f t="shared" si="6"/>
        <v>263600</v>
      </c>
      <c r="K30" s="438"/>
      <c r="L30" s="438"/>
      <c r="M30" s="438"/>
      <c r="N30" s="438">
        <f t="shared" si="7"/>
        <v>0</v>
      </c>
      <c r="O30" s="438">
        <f t="shared" si="8"/>
        <v>0</v>
      </c>
      <c r="P30" s="438">
        <f t="shared" si="8"/>
        <v>263600</v>
      </c>
      <c r="Q30" s="438">
        <f t="shared" si="8"/>
        <v>0</v>
      </c>
      <c r="R30" s="438">
        <f t="shared" si="9"/>
        <v>263600</v>
      </c>
      <c r="S30" s="400"/>
    </row>
    <row r="31" spans="1:19" s="404" customFormat="1" x14ac:dyDescent="0.25">
      <c r="A31" s="394"/>
      <c r="B31" s="449">
        <f t="shared" si="10"/>
        <v>4</v>
      </c>
      <c r="C31" s="855" t="s">
        <v>802</v>
      </c>
      <c r="D31" s="443">
        <v>42495</v>
      </c>
      <c r="E31" s="754" t="s">
        <v>510</v>
      </c>
      <c r="F31" s="433" t="s">
        <v>282</v>
      </c>
      <c r="G31" s="438">
        <v>0</v>
      </c>
      <c r="H31" s="438">
        <v>105616</v>
      </c>
      <c r="I31" s="451"/>
      <c r="J31" s="438">
        <f t="shared" si="6"/>
        <v>105616</v>
      </c>
      <c r="K31" s="438"/>
      <c r="L31" s="438"/>
      <c r="M31" s="438"/>
      <c r="N31" s="438">
        <f t="shared" si="7"/>
        <v>0</v>
      </c>
      <c r="O31" s="438">
        <f t="shared" si="8"/>
        <v>0</v>
      </c>
      <c r="P31" s="438">
        <f t="shared" si="8"/>
        <v>105616</v>
      </c>
      <c r="Q31" s="438">
        <f t="shared" si="8"/>
        <v>0</v>
      </c>
      <c r="R31" s="438">
        <f t="shared" si="9"/>
        <v>105616</v>
      </c>
      <c r="S31" s="400"/>
    </row>
    <row r="32" spans="1:19" s="404" customFormat="1" x14ac:dyDescent="0.25">
      <c r="A32" s="394"/>
      <c r="B32" s="449">
        <f t="shared" si="10"/>
        <v>5</v>
      </c>
      <c r="C32" s="856" t="s">
        <v>805</v>
      </c>
      <c r="D32" s="443">
        <v>42509</v>
      </c>
      <c r="E32" s="432" t="s">
        <v>806</v>
      </c>
      <c r="F32" s="433" t="s">
        <v>485</v>
      </c>
      <c r="G32" s="438">
        <v>1166428</v>
      </c>
      <c r="H32" s="438"/>
      <c r="I32" s="438"/>
      <c r="J32" s="438">
        <f t="shared" si="6"/>
        <v>1166428</v>
      </c>
      <c r="K32" s="438"/>
      <c r="L32" s="438"/>
      <c r="M32" s="438"/>
      <c r="N32" s="438">
        <f t="shared" si="7"/>
        <v>0</v>
      </c>
      <c r="O32" s="438">
        <f t="shared" si="8"/>
        <v>1166428</v>
      </c>
      <c r="P32" s="438">
        <f t="shared" si="8"/>
        <v>0</v>
      </c>
      <c r="Q32" s="438">
        <f t="shared" si="8"/>
        <v>0</v>
      </c>
      <c r="R32" s="438">
        <f t="shared" si="9"/>
        <v>1166428</v>
      </c>
      <c r="S32" s="400"/>
    </row>
    <row r="33" spans="1:20" s="404" customFormat="1" x14ac:dyDescent="0.25">
      <c r="A33" s="394"/>
      <c r="B33" s="449">
        <f t="shared" si="10"/>
        <v>6</v>
      </c>
      <c r="C33" s="450" t="s">
        <v>809</v>
      </c>
      <c r="D33" s="443">
        <v>42412</v>
      </c>
      <c r="E33" s="440" t="s">
        <v>510</v>
      </c>
      <c r="F33" s="433" t="s">
        <v>282</v>
      </c>
      <c r="G33" s="438"/>
      <c r="H33" s="438"/>
      <c r="I33" s="438">
        <v>190000</v>
      </c>
      <c r="J33" s="438">
        <f t="shared" si="6"/>
        <v>190000</v>
      </c>
      <c r="K33" s="438"/>
      <c r="L33" s="438"/>
      <c r="M33" s="438"/>
      <c r="N33" s="438">
        <f t="shared" si="7"/>
        <v>0</v>
      </c>
      <c r="O33" s="438">
        <f t="shared" si="8"/>
        <v>0</v>
      </c>
      <c r="P33" s="438">
        <f t="shared" si="8"/>
        <v>0</v>
      </c>
      <c r="Q33" s="438">
        <f t="shared" si="8"/>
        <v>190000</v>
      </c>
      <c r="R33" s="438">
        <f t="shared" si="9"/>
        <v>190000</v>
      </c>
      <c r="S33" s="400"/>
    </row>
    <row r="34" spans="1:20" s="404" customFormat="1" x14ac:dyDescent="0.25">
      <c r="A34" s="394"/>
      <c r="B34" s="449">
        <f>B32+1</f>
        <v>6</v>
      </c>
      <c r="C34" s="450" t="s">
        <v>810</v>
      </c>
      <c r="D34" s="443">
        <v>42566</v>
      </c>
      <c r="E34" s="432" t="s">
        <v>811</v>
      </c>
      <c r="F34" s="433" t="s">
        <v>280</v>
      </c>
      <c r="G34" s="438"/>
      <c r="H34" s="438">
        <v>248000</v>
      </c>
      <c r="I34" s="438"/>
      <c r="J34" s="438">
        <f t="shared" ref="J34" si="11">SUM(G34:I34)</f>
        <v>248000</v>
      </c>
      <c r="K34" s="438"/>
      <c r="L34" s="438"/>
      <c r="M34" s="438"/>
      <c r="N34" s="438">
        <f t="shared" ref="N34" si="12">SUM(K34:M34)</f>
        <v>0</v>
      </c>
      <c r="O34" s="438">
        <f t="shared" ref="O34" si="13">G34-K34</f>
        <v>0</v>
      </c>
      <c r="P34" s="438">
        <f t="shared" ref="P34" si="14">H34-L34</f>
        <v>248000</v>
      </c>
      <c r="Q34" s="438">
        <f t="shared" ref="Q34" si="15">I34-M34</f>
        <v>0</v>
      </c>
      <c r="R34" s="438">
        <f t="shared" ref="R34" si="16">SUM(O34:Q34)</f>
        <v>248000</v>
      </c>
      <c r="S34" s="400"/>
    </row>
    <row r="35" spans="1:20" s="404" customFormat="1" x14ac:dyDescent="0.25">
      <c r="A35" s="394"/>
      <c r="B35" s="449">
        <f>B33+1</f>
        <v>7</v>
      </c>
      <c r="C35" s="450" t="s">
        <v>819</v>
      </c>
      <c r="D35" s="445">
        <v>42643</v>
      </c>
      <c r="E35" s="432" t="s">
        <v>510</v>
      </c>
      <c r="F35" s="433" t="s">
        <v>282</v>
      </c>
      <c r="G35" s="438">
        <v>218365.06</v>
      </c>
      <c r="H35" s="438"/>
      <c r="I35" s="438"/>
      <c r="J35" s="438">
        <f t="shared" si="6"/>
        <v>218365.06</v>
      </c>
      <c r="K35" s="438"/>
      <c r="L35" s="438"/>
      <c r="M35" s="438"/>
      <c r="N35" s="438">
        <f t="shared" si="7"/>
        <v>0</v>
      </c>
      <c r="O35" s="438">
        <f t="shared" si="8"/>
        <v>218365.06</v>
      </c>
      <c r="P35" s="438">
        <f t="shared" si="8"/>
        <v>0</v>
      </c>
      <c r="Q35" s="438">
        <f t="shared" si="8"/>
        <v>0</v>
      </c>
      <c r="R35" s="438">
        <f t="shared" si="9"/>
        <v>218365.06</v>
      </c>
      <c r="S35" s="400"/>
    </row>
    <row r="36" spans="1:20" s="404" customFormat="1" x14ac:dyDescent="0.2">
      <c r="A36" s="394"/>
      <c r="B36" s="444">
        <v>8</v>
      </c>
      <c r="C36" s="442"/>
      <c r="D36" s="452"/>
      <c r="E36" s="437"/>
      <c r="F36" s="437"/>
      <c r="G36" s="438"/>
      <c r="H36" s="438"/>
      <c r="I36" s="438"/>
      <c r="J36" s="438">
        <f t="shared" ref="J36" si="17">SUM(G36:I36)</f>
        <v>0</v>
      </c>
      <c r="K36" s="438"/>
      <c r="L36" s="438"/>
      <c r="M36" s="438"/>
      <c r="N36" s="438">
        <f t="shared" ref="N36" si="18">SUM(K36:M36)</f>
        <v>0</v>
      </c>
      <c r="O36" s="438">
        <f t="shared" ref="O36" si="19">G36-K36</f>
        <v>0</v>
      </c>
      <c r="P36" s="438">
        <f t="shared" ref="P36" si="20">H36-L36</f>
        <v>0</v>
      </c>
      <c r="Q36" s="438">
        <f t="shared" ref="Q36" si="21">I36-M36</f>
        <v>0</v>
      </c>
      <c r="R36" s="438">
        <f t="shared" ref="R36" si="22">SUM(O36:Q36)</f>
        <v>0</v>
      </c>
      <c r="S36" s="400"/>
    </row>
    <row r="37" spans="1:20" s="404" customFormat="1" x14ac:dyDescent="0.2">
      <c r="A37" s="394"/>
      <c r="B37" s="444"/>
      <c r="C37" s="442"/>
      <c r="D37" s="452"/>
      <c r="E37" s="437"/>
      <c r="F37" s="437"/>
      <c r="G37" s="438"/>
      <c r="H37" s="438"/>
      <c r="I37" s="438"/>
      <c r="J37" s="438">
        <f t="shared" si="6"/>
        <v>0</v>
      </c>
      <c r="K37" s="438"/>
      <c r="L37" s="438"/>
      <c r="M37" s="438"/>
      <c r="N37" s="438">
        <f t="shared" si="7"/>
        <v>0</v>
      </c>
      <c r="O37" s="438">
        <f t="shared" si="8"/>
        <v>0</v>
      </c>
      <c r="P37" s="438">
        <f t="shared" si="8"/>
        <v>0</v>
      </c>
      <c r="Q37" s="438">
        <f t="shared" si="8"/>
        <v>0</v>
      </c>
      <c r="R37" s="438">
        <f t="shared" si="9"/>
        <v>0</v>
      </c>
      <c r="S37" s="400"/>
    </row>
    <row r="38" spans="1:20" s="404" customFormat="1" ht="17.25" x14ac:dyDescent="0.2">
      <c r="A38" s="394"/>
      <c r="B38" s="437"/>
      <c r="C38" s="446" t="s">
        <v>515</v>
      </c>
      <c r="D38" s="453"/>
      <c r="E38" s="437"/>
      <c r="F38" s="437"/>
      <c r="G38" s="448">
        <f t="shared" ref="G38:R38" si="23">SUM(G28:G37)</f>
        <v>2581793.06</v>
      </c>
      <c r="H38" s="448">
        <f t="shared" si="23"/>
        <v>617216</v>
      </c>
      <c r="I38" s="448">
        <f t="shared" si="23"/>
        <v>190000</v>
      </c>
      <c r="J38" s="448">
        <f t="shared" si="23"/>
        <v>3389009.06</v>
      </c>
      <c r="K38" s="448">
        <f t="shared" si="23"/>
        <v>0</v>
      </c>
      <c r="L38" s="448">
        <f t="shared" si="23"/>
        <v>0</v>
      </c>
      <c r="M38" s="448">
        <f t="shared" si="23"/>
        <v>0</v>
      </c>
      <c r="N38" s="448">
        <f t="shared" si="23"/>
        <v>0</v>
      </c>
      <c r="O38" s="448">
        <f t="shared" si="23"/>
        <v>2581793.06</v>
      </c>
      <c r="P38" s="448">
        <f t="shared" si="23"/>
        <v>617216</v>
      </c>
      <c r="Q38" s="448">
        <f t="shared" si="23"/>
        <v>190000</v>
      </c>
      <c r="R38" s="448">
        <f t="shared" si="23"/>
        <v>3389009.06</v>
      </c>
      <c r="S38" s="400"/>
    </row>
    <row r="39" spans="1:20" s="404" customFormat="1" ht="17.25" x14ac:dyDescent="0.2">
      <c r="A39" s="394"/>
      <c r="B39" s="437"/>
      <c r="C39" s="446" t="s">
        <v>516</v>
      </c>
      <c r="D39" s="453"/>
      <c r="E39" s="437"/>
      <c r="F39" s="437"/>
      <c r="G39" s="448">
        <f t="shared" ref="G39:R39" si="24">G25+G38</f>
        <v>21675093.059999999</v>
      </c>
      <c r="H39" s="448">
        <f t="shared" si="24"/>
        <v>30698295.780000001</v>
      </c>
      <c r="I39" s="448">
        <f t="shared" si="24"/>
        <v>1590000</v>
      </c>
      <c r="J39" s="448">
        <f t="shared" si="24"/>
        <v>53963388.840000004</v>
      </c>
      <c r="K39" s="448">
        <f t="shared" si="24"/>
        <v>0</v>
      </c>
      <c r="L39" s="448">
        <f t="shared" si="24"/>
        <v>0</v>
      </c>
      <c r="M39" s="448">
        <f t="shared" si="24"/>
        <v>0</v>
      </c>
      <c r="N39" s="448">
        <f t="shared" si="24"/>
        <v>0</v>
      </c>
      <c r="O39" s="448">
        <f t="shared" si="24"/>
        <v>21675093.059999999</v>
      </c>
      <c r="P39" s="448">
        <f t="shared" si="24"/>
        <v>30698295.780000001</v>
      </c>
      <c r="Q39" s="448">
        <f t="shared" si="24"/>
        <v>1590000</v>
      </c>
      <c r="R39" s="448">
        <f t="shared" si="24"/>
        <v>53963388.840000004</v>
      </c>
      <c r="S39" s="400"/>
    </row>
    <row r="40" spans="1:20" s="404" customFormat="1" ht="15" customHeight="1" x14ac:dyDescent="0.2">
      <c r="A40" s="394"/>
      <c r="B40" s="395"/>
      <c r="C40" s="454"/>
      <c r="D40" s="397"/>
      <c r="E40" s="397"/>
      <c r="F40" s="397"/>
      <c r="G40" s="455"/>
      <c r="H40" s="455"/>
      <c r="I40" s="455"/>
      <c r="J40" s="456"/>
      <c r="K40" s="455"/>
      <c r="L40" s="455"/>
      <c r="M40" s="455"/>
      <c r="N40" s="455"/>
      <c r="O40" s="455"/>
      <c r="P40" s="455"/>
      <c r="Q40" s="455"/>
      <c r="R40" s="457"/>
      <c r="S40" s="400"/>
    </row>
    <row r="41" spans="1:20" s="404" customFormat="1" ht="15" customHeight="1" x14ac:dyDescent="0.2">
      <c r="A41" s="394"/>
      <c r="B41" s="414"/>
      <c r="C41" s="458"/>
      <c r="D41" s="1006" t="s">
        <v>517</v>
      </c>
      <c r="E41" s="1007"/>
      <c r="F41" s="500"/>
      <c r="G41" s="501">
        <f t="shared" ref="G41:R41" si="25">SUM(G42:G47)</f>
        <v>21675093.059999999</v>
      </c>
      <c r="H41" s="502">
        <f t="shared" si="25"/>
        <v>30698295.780000001</v>
      </c>
      <c r="I41" s="501">
        <f t="shared" si="25"/>
        <v>1590000</v>
      </c>
      <c r="J41" s="503">
        <f t="shared" si="25"/>
        <v>53963388.840000004</v>
      </c>
      <c r="K41" s="501">
        <f t="shared" si="25"/>
        <v>0</v>
      </c>
      <c r="L41" s="503">
        <f t="shared" si="25"/>
        <v>0</v>
      </c>
      <c r="M41" s="501">
        <f t="shared" si="25"/>
        <v>0</v>
      </c>
      <c r="N41" s="503">
        <f t="shared" si="25"/>
        <v>0</v>
      </c>
      <c r="O41" s="501">
        <f t="shared" si="25"/>
        <v>21675093.059999999</v>
      </c>
      <c r="P41" s="503">
        <f t="shared" si="25"/>
        <v>30698295.780000001</v>
      </c>
      <c r="Q41" s="501">
        <f t="shared" si="25"/>
        <v>1590000</v>
      </c>
      <c r="R41" s="504">
        <f t="shared" si="25"/>
        <v>53963388.840000004</v>
      </c>
      <c r="S41" s="400"/>
      <c r="T41" s="459"/>
    </row>
    <row r="42" spans="1:20" s="404" customFormat="1" ht="15" customHeight="1" x14ac:dyDescent="0.25">
      <c r="A42" s="394"/>
      <c r="B42" s="414"/>
      <c r="C42" s="458"/>
      <c r="D42" s="996" t="s">
        <v>510</v>
      </c>
      <c r="E42" s="997"/>
      <c r="F42" s="433" t="s">
        <v>282</v>
      </c>
      <c r="G42" s="438">
        <f>G15+G35</f>
        <v>17194365.059999999</v>
      </c>
      <c r="H42" s="438">
        <f>+H31+H30+H15</f>
        <v>29581216</v>
      </c>
      <c r="I42" s="438">
        <f>I25+I33</f>
        <v>1590000</v>
      </c>
      <c r="J42" s="460">
        <f>SUM(G42:I42)</f>
        <v>48365581.060000002</v>
      </c>
      <c r="K42" s="438"/>
      <c r="L42" s="460">
        <f>SUM(L28:L35)</f>
        <v>0</v>
      </c>
      <c r="M42" s="438">
        <f>SUM(M28:M35)</f>
        <v>0</v>
      </c>
      <c r="N42" s="460">
        <f>SUM(K42:M42)</f>
        <v>0</v>
      </c>
      <c r="O42" s="438">
        <f>G42-K42</f>
        <v>17194365.059999999</v>
      </c>
      <c r="P42" s="460">
        <f>H42-L42</f>
        <v>29581216</v>
      </c>
      <c r="Q42" s="438">
        <f>I42-M42</f>
        <v>1590000</v>
      </c>
      <c r="R42" s="461">
        <f>SUM(O42:Q42)</f>
        <v>48365581.060000002</v>
      </c>
      <c r="S42" s="400"/>
      <c r="T42" s="459"/>
    </row>
    <row r="43" spans="1:20" s="404" customFormat="1" ht="15" customHeight="1" x14ac:dyDescent="0.2">
      <c r="A43" s="394"/>
      <c r="B43" s="414"/>
      <c r="C43" s="458"/>
      <c r="D43" s="462" t="s">
        <v>511</v>
      </c>
      <c r="E43" s="463"/>
      <c r="F43" s="437" t="s">
        <v>485</v>
      </c>
      <c r="G43" s="438">
        <f>+G28+G32+G18</f>
        <v>2702728</v>
      </c>
      <c r="H43" s="438"/>
      <c r="I43" s="438"/>
      <c r="J43" s="460">
        <f>SUM(G43:I43)</f>
        <v>2702728</v>
      </c>
      <c r="K43" s="438"/>
      <c r="L43" s="460"/>
      <c r="M43" s="438"/>
      <c r="N43" s="460"/>
      <c r="O43" s="438">
        <f>G43-K43</f>
        <v>2702728</v>
      </c>
      <c r="P43" s="460"/>
      <c r="Q43" s="438"/>
      <c r="R43" s="461">
        <f>SUM(O43:Q43)</f>
        <v>2702728</v>
      </c>
      <c r="S43" s="400"/>
      <c r="T43" s="459"/>
    </row>
    <row r="44" spans="1:20" s="404" customFormat="1" ht="15" customHeight="1" x14ac:dyDescent="0.25">
      <c r="A44" s="394"/>
      <c r="B44" s="414"/>
      <c r="C44" s="458"/>
      <c r="D44" s="996" t="s">
        <v>518</v>
      </c>
      <c r="E44" s="997"/>
      <c r="F44" s="433" t="s">
        <v>487</v>
      </c>
      <c r="G44" s="438"/>
      <c r="H44" s="438"/>
      <c r="I44" s="438"/>
      <c r="J44" s="460">
        <f>SUM(G44:I44)</f>
        <v>0</v>
      </c>
      <c r="K44" s="438"/>
      <c r="L44" s="460"/>
      <c r="M44" s="438"/>
      <c r="N44" s="460">
        <f>SUM(K44:M44)</f>
        <v>0</v>
      </c>
      <c r="O44" s="438">
        <f>G44-K44</f>
        <v>0</v>
      </c>
      <c r="P44" s="460">
        <f>H44-L44</f>
        <v>0</v>
      </c>
      <c r="Q44" s="438">
        <f>I44-M44</f>
        <v>0</v>
      </c>
      <c r="R44" s="461">
        <f>SUM(O44:Q44)</f>
        <v>0</v>
      </c>
      <c r="S44" s="400"/>
      <c r="T44" s="459"/>
    </row>
    <row r="45" spans="1:20" s="404" customFormat="1" ht="15" customHeight="1" x14ac:dyDescent="0.25">
      <c r="A45" s="394"/>
      <c r="B45" s="414"/>
      <c r="C45" s="458"/>
      <c r="D45" s="996" t="s">
        <v>695</v>
      </c>
      <c r="E45" s="997"/>
      <c r="F45" s="433" t="s">
        <v>483</v>
      </c>
      <c r="G45" s="438">
        <f>G16+G29</f>
        <v>1778000</v>
      </c>
      <c r="H45" s="438"/>
      <c r="I45" s="438"/>
      <c r="J45" s="460">
        <f>SUM(G45:I45)</f>
        <v>1778000</v>
      </c>
      <c r="K45" s="438"/>
      <c r="L45" s="460"/>
      <c r="M45" s="438"/>
      <c r="N45" s="460">
        <f>SUM(K45:M45)</f>
        <v>0</v>
      </c>
      <c r="O45" s="438">
        <f>G45-K45</f>
        <v>1778000</v>
      </c>
      <c r="P45" s="460">
        <f>H45-L45</f>
        <v>0</v>
      </c>
      <c r="Q45" s="438">
        <f>I45-M45</f>
        <v>0</v>
      </c>
      <c r="R45" s="461">
        <f>SUM(O45:Q45)</f>
        <v>1778000</v>
      </c>
      <c r="S45" s="400"/>
      <c r="T45" s="459"/>
    </row>
    <row r="46" spans="1:20" s="404" customFormat="1" ht="15" customHeight="1" x14ac:dyDescent="0.25">
      <c r="A46" s="394"/>
      <c r="B46" s="414"/>
      <c r="C46" s="458"/>
      <c r="D46" s="996" t="s">
        <v>696</v>
      </c>
      <c r="E46" s="997"/>
      <c r="F46" s="433" t="s">
        <v>280</v>
      </c>
      <c r="G46" s="438"/>
      <c r="H46" s="438">
        <f>+H34</f>
        <v>248000</v>
      </c>
      <c r="I46" s="438"/>
      <c r="J46" s="460">
        <f t="shared" ref="J46:J47" si="26">SUM(G46:I46)</f>
        <v>248000</v>
      </c>
      <c r="K46" s="438"/>
      <c r="L46" s="460"/>
      <c r="M46" s="438"/>
      <c r="N46" s="460">
        <f t="shared" ref="N46:N47" si="27">SUM(K46:M46)</f>
        <v>0</v>
      </c>
      <c r="O46" s="438">
        <f t="shared" ref="O46:O47" si="28">G46-K46</f>
        <v>0</v>
      </c>
      <c r="P46" s="460">
        <f t="shared" ref="P46:P47" si="29">H46-L46</f>
        <v>248000</v>
      </c>
      <c r="Q46" s="438">
        <f t="shared" ref="Q46:Q47" si="30">I46-M46</f>
        <v>0</v>
      </c>
      <c r="R46" s="461">
        <f t="shared" ref="R46:R47" si="31">SUM(O46:Q46)</f>
        <v>248000</v>
      </c>
      <c r="S46" s="400"/>
      <c r="T46" s="459"/>
    </row>
    <row r="47" spans="1:20" s="404" customFormat="1" ht="15" customHeight="1" x14ac:dyDescent="0.25">
      <c r="A47" s="394"/>
      <c r="B47" s="464"/>
      <c r="C47" s="465"/>
      <c r="D47" s="996" t="s">
        <v>697</v>
      </c>
      <c r="E47" s="997"/>
      <c r="F47" s="433" t="s">
        <v>676</v>
      </c>
      <c r="G47" s="438"/>
      <c r="H47" s="438">
        <f>+H17</f>
        <v>869079.78</v>
      </c>
      <c r="I47" s="438"/>
      <c r="J47" s="460">
        <f t="shared" si="26"/>
        <v>869079.78</v>
      </c>
      <c r="K47" s="438"/>
      <c r="L47" s="438"/>
      <c r="M47" s="438"/>
      <c r="N47" s="460">
        <f t="shared" si="27"/>
        <v>0</v>
      </c>
      <c r="O47" s="438">
        <f t="shared" si="28"/>
        <v>0</v>
      </c>
      <c r="P47" s="460">
        <f t="shared" si="29"/>
        <v>869079.78</v>
      </c>
      <c r="Q47" s="438">
        <f t="shared" si="30"/>
        <v>0</v>
      </c>
      <c r="R47" s="461">
        <f t="shared" si="31"/>
        <v>869079.78</v>
      </c>
      <c r="S47" s="400"/>
      <c r="T47" s="459"/>
    </row>
    <row r="48" spans="1:20" s="404" customFormat="1" ht="15" customHeight="1" x14ac:dyDescent="0.2">
      <c r="A48" s="394"/>
      <c r="B48" s="414"/>
      <c r="C48" s="458"/>
      <c r="D48" s="403"/>
      <c r="E48" s="403"/>
      <c r="F48" s="403"/>
      <c r="G48" s="466"/>
      <c r="H48" s="466"/>
      <c r="I48" s="466"/>
      <c r="J48" s="466"/>
      <c r="K48" s="466"/>
      <c r="L48" s="466"/>
      <c r="M48" s="466"/>
      <c r="N48" s="466"/>
      <c r="O48" s="466"/>
      <c r="P48" s="466"/>
      <c r="Q48" s="466"/>
      <c r="R48" s="467"/>
      <c r="S48" s="400"/>
    </row>
    <row r="49" spans="1:19" s="404" customFormat="1" x14ac:dyDescent="0.25">
      <c r="A49" s="394"/>
      <c r="B49" s="414"/>
      <c r="C49" s="468" t="s">
        <v>65</v>
      </c>
      <c r="D49" s="403"/>
      <c r="E49" s="403"/>
      <c r="F49" s="403"/>
      <c r="G49" s="469"/>
      <c r="H49" s="466"/>
      <c r="I49" s="466"/>
      <c r="J49" s="466"/>
      <c r="K49" s="466"/>
      <c r="L49" s="466"/>
      <c r="M49" s="466"/>
      <c r="N49" s="466"/>
      <c r="O49" s="466"/>
      <c r="P49" s="466"/>
      <c r="Q49" s="466"/>
      <c r="R49" s="467"/>
      <c r="S49" s="400"/>
    </row>
    <row r="50" spans="1:19" s="404" customFormat="1" x14ac:dyDescent="0.25">
      <c r="A50" s="394"/>
      <c r="B50" s="414"/>
      <c r="C50" s="468"/>
      <c r="D50" s="403"/>
      <c r="E50" s="403"/>
      <c r="F50" s="403"/>
      <c r="G50" s="458"/>
      <c r="H50" s="466"/>
      <c r="I50" s="466"/>
      <c r="J50" s="466">
        <f>+J39-J41</f>
        <v>0</v>
      </c>
      <c r="K50" s="466"/>
      <c r="L50" s="466"/>
      <c r="M50" s="466"/>
      <c r="N50" s="466"/>
      <c r="O50" s="466"/>
      <c r="P50" s="466"/>
      <c r="Q50" s="466"/>
      <c r="R50" s="467"/>
      <c r="S50" s="400"/>
    </row>
    <row r="51" spans="1:19" s="404" customFormat="1" x14ac:dyDescent="0.25">
      <c r="A51" s="394"/>
      <c r="B51" s="414"/>
      <c r="C51" s="470"/>
      <c r="D51" s="403"/>
      <c r="E51" s="403"/>
      <c r="F51" s="403"/>
      <c r="G51" s="471"/>
      <c r="H51" s="466"/>
      <c r="I51" s="466"/>
      <c r="J51" s="466"/>
      <c r="K51" s="466"/>
      <c r="L51" s="466"/>
      <c r="M51" s="466"/>
      <c r="N51" s="466"/>
      <c r="O51" s="466"/>
      <c r="P51" s="466"/>
      <c r="Q51" s="466"/>
      <c r="R51" s="467"/>
      <c r="S51" s="400"/>
    </row>
    <row r="52" spans="1:19" s="404" customFormat="1" ht="15.75" customHeight="1" x14ac:dyDescent="0.25">
      <c r="A52" s="394"/>
      <c r="B52" s="414"/>
      <c r="C52" s="472" t="s">
        <v>66</v>
      </c>
      <c r="D52" s="403"/>
      <c r="E52" s="403"/>
      <c r="F52" s="403"/>
      <c r="G52" s="473"/>
      <c r="H52" s="466"/>
      <c r="I52" s="466"/>
      <c r="J52" s="466"/>
      <c r="K52" s="466"/>
      <c r="L52" s="466"/>
      <c r="M52" s="466"/>
      <c r="N52" s="466"/>
      <c r="O52" s="466"/>
      <c r="P52" s="466"/>
      <c r="Q52" s="466"/>
      <c r="R52" s="467"/>
      <c r="S52" s="400"/>
    </row>
    <row r="53" spans="1:19" s="404" customFormat="1" x14ac:dyDescent="0.25">
      <c r="A53" s="394"/>
      <c r="B53" s="464"/>
      <c r="C53" s="474"/>
      <c r="D53" s="475"/>
      <c r="E53" s="475"/>
      <c r="F53" s="475"/>
      <c r="G53" s="476"/>
      <c r="H53" s="477"/>
      <c r="I53" s="477"/>
      <c r="J53" s="477"/>
      <c r="K53" s="477"/>
      <c r="L53" s="477"/>
      <c r="M53" s="998"/>
      <c r="N53" s="998"/>
      <c r="O53" s="477"/>
      <c r="P53" s="477"/>
      <c r="Q53" s="478"/>
      <c r="R53" s="479"/>
      <c r="S53" s="400"/>
    </row>
    <row r="54" spans="1:19" ht="15.75" thickBot="1" x14ac:dyDescent="0.25">
      <c r="A54" s="480"/>
      <c r="B54" s="481"/>
      <c r="C54" s="481"/>
      <c r="D54" s="482"/>
      <c r="E54" s="482"/>
      <c r="F54" s="482"/>
      <c r="G54" s="481"/>
      <c r="H54" s="481"/>
      <c r="I54" s="481"/>
      <c r="J54" s="481"/>
      <c r="K54" s="481"/>
      <c r="L54" s="481"/>
      <c r="M54" s="481"/>
      <c r="N54" s="481"/>
      <c r="O54" s="481"/>
      <c r="P54" s="481"/>
      <c r="Q54" s="481"/>
      <c r="R54" s="482"/>
      <c r="S54" s="483"/>
    </row>
    <row r="55" spans="1:19" collapsed="1" x14ac:dyDescent="0.2"/>
    <row r="57" spans="1:19" x14ac:dyDescent="0.2">
      <c r="G57" s="485"/>
    </row>
  </sheetData>
  <mergeCells count="18">
    <mergeCell ref="B3:R3"/>
    <mergeCell ref="B4:R4"/>
    <mergeCell ref="B11:B12"/>
    <mergeCell ref="C11:D11"/>
    <mergeCell ref="E11:F11"/>
    <mergeCell ref="G11:J11"/>
    <mergeCell ref="K11:N11"/>
    <mergeCell ref="B14:C14"/>
    <mergeCell ref="B26:C26"/>
    <mergeCell ref="B27:C27"/>
    <mergeCell ref="D41:E41"/>
    <mergeCell ref="D42:E42"/>
    <mergeCell ref="D44:E44"/>
    <mergeCell ref="D45:E45"/>
    <mergeCell ref="D47:E47"/>
    <mergeCell ref="M53:N53"/>
    <mergeCell ref="O11:R11"/>
    <mergeCell ref="D46:E46"/>
  </mergeCells>
  <pageMargins left="0.25" right="0" top="0.25" bottom="0.25" header="0.25" footer="0"/>
  <pageSetup paperSize="5" scale="65" orientation="landscape" r:id="rId1"/>
  <headerFooter alignWithMargins="0">
    <oddFooter>&amp;R&amp;P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Check Box 1">
              <controlPr defaultSize="0" autoFill="0" autoLine="0" autoPict="0" altText="">
                <anchor moveWithCells="1">
                  <from>
                    <xdr:col>15</xdr:col>
                    <xdr:colOff>638175</xdr:colOff>
                    <xdr:row>3</xdr:row>
                    <xdr:rowOff>123825</xdr:rowOff>
                  </from>
                  <to>
                    <xdr:col>15</xdr:col>
                    <xdr:colOff>952500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Check Box 2">
              <controlPr defaultSize="0" autoFill="0" autoLine="0" autoPict="0" altText="">
                <anchor moveWithCells="1">
                  <from>
                    <xdr:col>15</xdr:col>
                    <xdr:colOff>638175</xdr:colOff>
                    <xdr:row>4</xdr:row>
                    <xdr:rowOff>123825</xdr:rowOff>
                  </from>
                  <to>
                    <xdr:col>15</xdr:col>
                    <xdr:colOff>952500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Check Box 3">
              <controlPr defaultSize="0" autoFill="0" autoLine="0" autoPict="0" altText="">
                <anchor moveWithCells="1">
                  <from>
                    <xdr:col>15</xdr:col>
                    <xdr:colOff>638175</xdr:colOff>
                    <xdr:row>5</xdr:row>
                    <xdr:rowOff>123825</xdr:rowOff>
                  </from>
                  <to>
                    <xdr:col>15</xdr:col>
                    <xdr:colOff>952500</xdr:colOff>
                    <xdr:row>6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I27"/>
  <sheetViews>
    <sheetView workbookViewId="0">
      <selection activeCell="I16" sqref="I16"/>
    </sheetView>
  </sheetViews>
  <sheetFormatPr defaultRowHeight="15" x14ac:dyDescent="0.25"/>
  <cols>
    <col min="1" max="1" width="18.42578125" style="508" customWidth="1"/>
    <col min="2" max="2" width="17.42578125" style="508" customWidth="1"/>
    <col min="3" max="3" width="16.5703125" style="508" customWidth="1"/>
    <col min="4" max="4" width="14.5703125" style="508" customWidth="1"/>
    <col min="5" max="5" width="19.140625" style="508" customWidth="1"/>
    <col min="6" max="6" width="3" style="508" customWidth="1"/>
    <col min="7" max="7" width="14.5703125" style="508" customWidth="1"/>
    <col min="8" max="8" width="12.28515625" style="508" bestFit="1" customWidth="1"/>
    <col min="9" max="16384" width="9.140625" style="508"/>
  </cols>
  <sheetData>
    <row r="1" spans="1:8" x14ac:dyDescent="0.25">
      <c r="A1" s="508" t="s">
        <v>281</v>
      </c>
    </row>
    <row r="2" spans="1:8" x14ac:dyDescent="0.25">
      <c r="B2" s="1016" t="s">
        <v>704</v>
      </c>
      <c r="C2" s="1016"/>
      <c r="D2" s="1016"/>
      <c r="E2" s="1016"/>
    </row>
    <row r="3" spans="1:8" x14ac:dyDescent="0.25">
      <c r="B3" s="509" t="s">
        <v>11</v>
      </c>
      <c r="C3" s="509" t="s">
        <v>12</v>
      </c>
      <c r="D3" s="509" t="s">
        <v>13</v>
      </c>
      <c r="E3" s="509" t="s">
        <v>14</v>
      </c>
    </row>
    <row r="4" spans="1:8" x14ac:dyDescent="0.25">
      <c r="A4" s="508" t="s">
        <v>699</v>
      </c>
      <c r="B4" s="510">
        <f>'detailed fund u'!W296</f>
        <v>22650093.059999999</v>
      </c>
      <c r="C4" s="510">
        <f>'detailed fund u'!X296</f>
        <v>29723295.780000001</v>
      </c>
      <c r="D4" s="510">
        <f>'detailed fund u'!Y296</f>
        <v>1590000</v>
      </c>
      <c r="E4" s="510">
        <f>SUM(B4:D4)</f>
        <v>53963388.840000004</v>
      </c>
      <c r="H4" s="510"/>
    </row>
    <row r="5" spans="1:8" x14ac:dyDescent="0.25">
      <c r="A5" s="508" t="s">
        <v>703</v>
      </c>
      <c r="B5" s="510">
        <f>'detailed fund u'!AQ296</f>
        <v>22343730.059999999</v>
      </c>
      <c r="C5" s="510">
        <f>'detailed fund u'!AR296</f>
        <v>25160200.340000004</v>
      </c>
      <c r="D5" s="510">
        <f>'detailed fund u'!AS296</f>
        <v>1532049.84</v>
      </c>
      <c r="E5" s="510">
        <f t="shared" ref="E5:E6" si="0">SUM(B5:D5)</f>
        <v>49035980.24000001</v>
      </c>
      <c r="G5" s="510"/>
    </row>
    <row r="6" spans="1:8" x14ac:dyDescent="0.25">
      <c r="A6" s="508" t="s">
        <v>700</v>
      </c>
      <c r="B6" s="510">
        <f>'detailed fund u'!BK296</f>
        <v>22343729.059999999</v>
      </c>
      <c r="C6" s="510">
        <f>'detailed fund u'!BL296</f>
        <v>22602634.889999997</v>
      </c>
      <c r="D6" s="510">
        <f>'detailed fund u'!BM296</f>
        <v>1532049.84</v>
      </c>
      <c r="E6" s="510">
        <f t="shared" si="0"/>
        <v>46478413.789999999</v>
      </c>
      <c r="G6" s="510"/>
    </row>
    <row r="8" spans="1:8" x14ac:dyDescent="0.25">
      <c r="B8" s="1016" t="s">
        <v>701</v>
      </c>
      <c r="C8" s="1016"/>
      <c r="D8" s="1016"/>
      <c r="E8" s="1016"/>
    </row>
    <row r="9" spans="1:8" x14ac:dyDescent="0.25">
      <c r="B9" s="509" t="s">
        <v>11</v>
      </c>
      <c r="C9" s="509" t="s">
        <v>12</v>
      </c>
      <c r="D9" s="509" t="s">
        <v>13</v>
      </c>
      <c r="E9" s="509" t="s">
        <v>14</v>
      </c>
    </row>
    <row r="10" spans="1:8" x14ac:dyDescent="0.25">
      <c r="A10" s="508" t="s">
        <v>699</v>
      </c>
      <c r="B10" s="510">
        <f>'far 1'!N154</f>
        <v>22650093.059999999</v>
      </c>
      <c r="C10" s="510">
        <f>'far 1'!N155</f>
        <v>29723295.780000001</v>
      </c>
      <c r="D10" s="510">
        <f>'far 1'!N156</f>
        <v>1590000</v>
      </c>
      <c r="E10" s="510">
        <f>SUM(B10:D10)</f>
        <v>53963388.840000004</v>
      </c>
      <c r="G10" s="510"/>
    </row>
    <row r="11" spans="1:8" x14ac:dyDescent="0.25">
      <c r="A11" s="508" t="s">
        <v>703</v>
      </c>
      <c r="B11" s="510">
        <f>'far 1'!S154</f>
        <v>22343730.060000002</v>
      </c>
      <c r="C11" s="510">
        <f>'far 1'!S155</f>
        <v>25160200.34</v>
      </c>
      <c r="D11" s="510">
        <f>'far 1'!S156</f>
        <v>1532049.84</v>
      </c>
      <c r="E11" s="510">
        <f t="shared" ref="E11:E12" si="1">SUM(B11:D11)</f>
        <v>49035980.24000001</v>
      </c>
    </row>
    <row r="12" spans="1:8" x14ac:dyDescent="0.25">
      <c r="A12" s="508" t="s">
        <v>700</v>
      </c>
      <c r="B12" s="510">
        <f>'far 1'!X154</f>
        <v>22343729.059999999</v>
      </c>
      <c r="C12" s="510">
        <f>'far 1'!X155</f>
        <v>22602634.890000001</v>
      </c>
      <c r="D12" s="510">
        <f>'far 1'!X156</f>
        <v>1532049.84</v>
      </c>
      <c r="E12" s="510">
        <f t="shared" si="1"/>
        <v>46478413.790000007</v>
      </c>
      <c r="G12" s="510"/>
    </row>
    <row r="14" spans="1:8" x14ac:dyDescent="0.25">
      <c r="B14" s="1016" t="s">
        <v>702</v>
      </c>
      <c r="C14" s="1016"/>
      <c r="D14" s="1016"/>
      <c r="E14" s="1016"/>
    </row>
    <row r="15" spans="1:8" x14ac:dyDescent="0.25">
      <c r="B15" s="509" t="s">
        <v>11</v>
      </c>
      <c r="C15" s="509" t="s">
        <v>12</v>
      </c>
      <c r="D15" s="509" t="s">
        <v>13</v>
      </c>
      <c r="E15" s="509" t="s">
        <v>14</v>
      </c>
    </row>
    <row r="16" spans="1:8" x14ac:dyDescent="0.25">
      <c r="A16" s="508" t="s">
        <v>699</v>
      </c>
      <c r="B16" s="510">
        <f>'far 1a'!$N$19+'far 1a'!$N$149+'far 1a'!$N$235</f>
        <v>22650093.060000002</v>
      </c>
      <c r="C16" s="510">
        <f>'far 1a'!$N$268+'far 1a'!$N$159+'far 1a'!$N$43</f>
        <v>29723295.780000001</v>
      </c>
      <c r="D16" s="510">
        <f>'far 1a'!$N$118+'far 1a'!$N$343</f>
        <v>1590000</v>
      </c>
      <c r="E16" s="510">
        <f>SUM(B16:D16)</f>
        <v>53963388.840000004</v>
      </c>
    </row>
    <row r="17" spans="1:9" x14ac:dyDescent="0.25">
      <c r="A17" s="508" t="s">
        <v>703</v>
      </c>
      <c r="B17" s="510">
        <f>'far 1a'!$S$19+'far 1a'!$S$149+'far 1a'!$S$235</f>
        <v>22343730.059999999</v>
      </c>
      <c r="C17" s="510">
        <f>'far 1a'!$S$268+'far 1a'!$S$159+'far 1a'!$S$43</f>
        <v>25160200.340000004</v>
      </c>
      <c r="D17" s="510">
        <f>'far 1a'!$S$118+'far 1a'!$S$343</f>
        <v>1532049.84</v>
      </c>
      <c r="E17" s="510">
        <f>SUM(B17:D17)</f>
        <v>49035980.24000001</v>
      </c>
      <c r="G17" s="510"/>
    </row>
    <row r="18" spans="1:9" x14ac:dyDescent="0.25">
      <c r="A18" s="508" t="s">
        <v>700</v>
      </c>
      <c r="B18" s="510">
        <f>'far 1a'!$X$19+'far 1a'!$X$149+'far 1a'!$X$235</f>
        <v>22343729.059999999</v>
      </c>
      <c r="C18" s="510">
        <f>'far 1a'!$X$268+'far 1a'!$X$159+'far 1a'!$X$43</f>
        <v>22602634.890000001</v>
      </c>
      <c r="D18" s="510">
        <f>'far 1a'!$X$118+'far 1a'!$X$343</f>
        <v>1532049.84</v>
      </c>
      <c r="E18" s="510">
        <f>SUM(B18:D18)</f>
        <v>46478413.790000007</v>
      </c>
      <c r="G18" s="510"/>
    </row>
    <row r="20" spans="1:9" x14ac:dyDescent="0.25">
      <c r="A20" s="508" t="s">
        <v>742</v>
      </c>
      <c r="B20" s="509" t="s">
        <v>11</v>
      </c>
      <c r="C20" s="509" t="s">
        <v>12</v>
      </c>
      <c r="D20" s="509" t="s">
        <v>13</v>
      </c>
      <c r="E20" s="509" t="s">
        <v>14</v>
      </c>
      <c r="I20" s="508" t="s">
        <v>813</v>
      </c>
    </row>
    <row r="21" spans="1:9" x14ac:dyDescent="0.25">
      <c r="A21" s="508" t="s">
        <v>699</v>
      </c>
      <c r="B21" s="510">
        <f>B10-B16</f>
        <v>0</v>
      </c>
      <c r="C21" s="510">
        <f t="shared" ref="C21:D21" si="2">C10-C16</f>
        <v>0</v>
      </c>
      <c r="D21" s="510">
        <f t="shared" si="2"/>
        <v>0</v>
      </c>
      <c r="E21" s="510">
        <f>SUM(B21:D21)</f>
        <v>0</v>
      </c>
      <c r="G21" s="510"/>
    </row>
    <row r="22" spans="1:9" x14ac:dyDescent="0.25">
      <c r="A22" s="508" t="s">
        <v>703</v>
      </c>
      <c r="B22" s="510">
        <f t="shared" ref="B22:D23" si="3">B11-B17</f>
        <v>0</v>
      </c>
      <c r="C22" s="510">
        <f t="shared" si="3"/>
        <v>0</v>
      </c>
      <c r="D22" s="510">
        <f t="shared" si="3"/>
        <v>0</v>
      </c>
      <c r="E22" s="510">
        <f>SUM(B22:D22)</f>
        <v>0</v>
      </c>
      <c r="G22" s="510"/>
    </row>
    <row r="23" spans="1:9" x14ac:dyDescent="0.25">
      <c r="A23" s="508" t="s">
        <v>700</v>
      </c>
      <c r="B23" s="510">
        <f t="shared" si="3"/>
        <v>0</v>
      </c>
      <c r="C23" s="510">
        <f t="shared" si="3"/>
        <v>0</v>
      </c>
      <c r="D23" s="510">
        <f t="shared" si="3"/>
        <v>0</v>
      </c>
      <c r="E23" s="510">
        <f>SUM(B23:D23)</f>
        <v>0</v>
      </c>
      <c r="G23" s="510">
        <f>+E17-E18</f>
        <v>2557566.450000003</v>
      </c>
    </row>
    <row r="24" spans="1:9" x14ac:dyDescent="0.25">
      <c r="G24" s="510"/>
    </row>
    <row r="25" spans="1:9" x14ac:dyDescent="0.25">
      <c r="G25" s="510"/>
    </row>
    <row r="26" spans="1:9" x14ac:dyDescent="0.25">
      <c r="B26" s="510"/>
      <c r="C26" s="510"/>
    </row>
    <row r="27" spans="1:9" x14ac:dyDescent="0.25">
      <c r="G27" s="510"/>
    </row>
  </sheetData>
  <mergeCells count="3">
    <mergeCell ref="B2:E2"/>
    <mergeCell ref="B8:E8"/>
    <mergeCell ref="B14:E14"/>
  </mergeCells>
  <pageMargins left="0.7" right="0.7" top="0.75" bottom="0.75" header="0.3" footer="0.3"/>
  <pageSetup paperSize="9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>
      <selection activeCell="F13" sqref="F13"/>
    </sheetView>
  </sheetViews>
  <sheetFormatPr defaultRowHeight="12.75" x14ac:dyDescent="0.2"/>
  <cols>
    <col min="1" max="4" width="9.140625" style="870"/>
  </cols>
  <sheetData/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fmr-denr</vt:lpstr>
      <vt:lpstr>fmr</vt:lpstr>
      <vt:lpstr>detailed fund u</vt:lpstr>
      <vt:lpstr>far 1</vt:lpstr>
      <vt:lpstr>far 1 a(for internal use only)</vt:lpstr>
      <vt:lpstr>far 1a</vt:lpstr>
      <vt:lpstr>far 1b regular</vt:lpstr>
      <vt:lpstr>SUMMARY</vt:lpstr>
      <vt:lpstr>Sheet1</vt:lpstr>
      <vt:lpstr>'far 1b regular'!Print_Area</vt:lpstr>
      <vt:lpstr>fmr!Print_Area</vt:lpstr>
      <vt:lpstr>'far 1b regular'!Print_Titles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Mitch</dc:creator>
  <cp:lastModifiedBy>Mines</cp:lastModifiedBy>
  <cp:lastPrinted>2017-01-07T03:36:34Z</cp:lastPrinted>
  <dcterms:created xsi:type="dcterms:W3CDTF">2016-01-19T07:55:10Z</dcterms:created>
  <dcterms:modified xsi:type="dcterms:W3CDTF">2017-07-12T01:35:26Z</dcterms:modified>
</cp:coreProperties>
</file>